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53" firstSheet="13" activeTab="3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土地案例"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38" i="39"/>
  <c r="N25" i="1" l="1"/>
  <c r="B16" i="74" l="1"/>
  <c r="K118" i="9"/>
  <c r="N24" i="1" l="1"/>
  <c r="N23"/>
  <c r="N21"/>
  <c r="N22"/>
  <c r="N20"/>
  <c r="C15" i="74" l="1"/>
  <c r="B15"/>
  <c r="J10" i="77" l="1"/>
  <c r="J9"/>
  <c r="J8"/>
  <c r="J7"/>
  <c r="J6"/>
  <c r="K5"/>
  <c r="J5"/>
  <c r="J4"/>
  <c r="I14" i="3" l="1"/>
  <c r="L25" i="1" s="1"/>
  <c r="I15" i="3"/>
  <c r="I16"/>
  <c r="I17"/>
  <c r="I19"/>
  <c r="I13"/>
  <c r="C14"/>
  <c r="C15"/>
  <c r="C16"/>
  <c r="C17"/>
  <c r="C18"/>
  <c r="C19"/>
  <c r="C13"/>
  <c r="E71" i="39"/>
  <c r="F71" s="1"/>
  <c r="G71" s="1"/>
  <c r="H71" s="1"/>
  <c r="I71" s="1"/>
  <c r="J71" s="1"/>
  <c r="K71" s="1"/>
  <c r="L71" s="1"/>
  <c r="M71" s="1"/>
  <c r="N71" s="1"/>
  <c r="O71" s="1"/>
  <c r="D71"/>
  <c r="G38"/>
  <c r="G11"/>
  <c r="G7"/>
  <c r="G5"/>
  <c r="E11"/>
  <c r="E7"/>
  <c r="E5"/>
  <c r="L14" i="78"/>
  <c r="L15"/>
  <c r="L13"/>
  <c r="I38" i="39"/>
  <c r="I11"/>
  <c r="I7"/>
  <c r="I5"/>
  <c r="M116" l="1"/>
  <c r="L116"/>
  <c r="K116"/>
  <c r="J116"/>
  <c r="I116"/>
  <c r="H116"/>
  <c r="G116"/>
  <c r="F116"/>
  <c r="E116"/>
  <c r="D116"/>
  <c r="C116"/>
  <c r="C38"/>
  <c r="C10"/>
  <c r="L12" i="78"/>
  <c r="L11"/>
  <c r="L10"/>
  <c r="L9"/>
  <c r="L8"/>
  <c r="L7"/>
  <c r="L6"/>
  <c r="L5"/>
  <c r="L4"/>
  <c r="L3"/>
  <c r="L2"/>
  <c r="B169" i="77" l="1"/>
  <c r="M179"/>
  <c r="P178"/>
  <c r="P177"/>
  <c r="P176"/>
  <c r="N175"/>
  <c r="P175" s="1"/>
  <c r="P174"/>
  <c r="P173"/>
  <c r="P172"/>
  <c r="P171"/>
  <c r="P170"/>
  <c r="M168"/>
  <c r="N168" s="1"/>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168" s="1"/>
  <c r="P179" l="1"/>
  <c r="P180" s="1"/>
  <c r="A167" l="1"/>
  <c r="E161"/>
  <c r="B170" s="1"/>
  <c r="G41" l="1"/>
  <c r="E11"/>
  <c r="J11" l="1"/>
  <c r="I11"/>
  <c r="A165"/>
  <c r="C167" s="1"/>
  <c r="N5"/>
  <c r="A21" i="62"/>
  <c r="A20"/>
  <c r="A22" i="51"/>
  <c r="A21"/>
  <c r="A20"/>
  <c r="A14" i="62" l="1"/>
  <c r="A13"/>
  <c r="A2" i="53"/>
  <c r="A19" i="62" l="1"/>
  <c r="A12"/>
  <c r="A120" i="9"/>
  <c r="H2" i="52"/>
  <c r="A1"/>
  <c r="A3" i="53"/>
  <c r="L5" i="71" l="1"/>
  <c r="Q5" s="1"/>
  <c r="K5"/>
  <c r="P5" s="1"/>
  <c r="J5"/>
  <c r="O5" s="1"/>
  <c r="I5"/>
  <c r="N5" s="1"/>
  <c r="A15" i="51" l="1"/>
  <c r="B12" i="76"/>
  <c r="E13"/>
  <c r="E9"/>
  <c r="E10"/>
  <c r="E12"/>
  <c r="B8"/>
  <c r="E8"/>
  <c r="E7"/>
  <c r="B11"/>
  <c r="B13"/>
  <c r="B9"/>
  <c r="B10"/>
  <c r="B7"/>
  <c r="E11"/>
  <c r="C76" i="9" l="1"/>
  <c r="I107" i="40" l="1"/>
  <c r="K6" i="4" l="1"/>
  <c r="B22" i="31" l="1"/>
  <c r="N56" i="9" l="1"/>
  <c r="M56"/>
  <c r="K56"/>
  <c r="E16" i="74" l="1"/>
  <c r="F16"/>
  <c r="E17"/>
  <c r="F17"/>
  <c r="E18"/>
  <c r="F18"/>
  <c r="E19"/>
  <c r="F19"/>
  <c r="E20"/>
  <c r="F20"/>
  <c r="E21"/>
  <c r="F21"/>
  <c r="E22"/>
  <c r="F22"/>
  <c r="E23"/>
  <c r="F23"/>
  <c r="B3" l="1"/>
  <c r="C91" i="9" l="1"/>
  <c r="B8" i="72"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6" i="73"/>
  <c r="D3"/>
  <c r="F3"/>
  <c r="F5"/>
  <c r="D7"/>
  <c r="D6"/>
  <c r="F4"/>
  <c r="D4"/>
  <c r="E20" i="43" l="1"/>
  <c r="I1" i="73"/>
  <c r="B39" i="1" s="1"/>
  <c r="D5" i="73"/>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E41"/>
  <c r="Q40"/>
  <c r="F41" s="1"/>
  <c r="F42" s="1"/>
  <c r="F43" s="1"/>
  <c r="V43" s="1"/>
  <c r="P40"/>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F34"/>
  <c r="F35" s="1"/>
  <c r="V35" s="1"/>
  <c r="Q33"/>
  <c r="P33"/>
  <c r="O33"/>
  <c r="N33"/>
  <c r="C33"/>
  <c r="Q32"/>
  <c r="F33"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V19" s="1"/>
  <c r="Q16"/>
  <c r="AB16" s="1"/>
  <c r="P16"/>
  <c r="O16"/>
  <c r="N16"/>
  <c r="D16"/>
  <c r="Q15"/>
  <c r="AB15" s="1"/>
  <c r="P15"/>
  <c r="O15"/>
  <c r="Y15" s="1"/>
  <c r="Z15" s="1"/>
  <c r="N15"/>
  <c r="Q14"/>
  <c r="AB14" s="1"/>
  <c r="P14"/>
  <c r="O14"/>
  <c r="Y14" s="1"/>
  <c r="Z14" s="1"/>
  <c r="N14"/>
  <c r="X14" s="1"/>
  <c r="Q13"/>
  <c r="AB13" s="1"/>
  <c r="P13"/>
  <c r="AA13" s="1"/>
  <c r="O13"/>
  <c r="Y13" s="1"/>
  <c r="Z13" s="1"/>
  <c r="N13"/>
  <c r="X13" s="1"/>
  <c r="F13"/>
  <c r="F14" s="1"/>
  <c r="F15" s="1"/>
  <c r="V15" s="1"/>
  <c r="Q12"/>
  <c r="P12"/>
  <c r="O12"/>
  <c r="N12"/>
  <c r="D12"/>
  <c r="Q11"/>
  <c r="AB11" s="1"/>
  <c r="P11"/>
  <c r="O11"/>
  <c r="Y11" s="1"/>
  <c r="Z11" s="1"/>
  <c r="N11"/>
  <c r="Q10"/>
  <c r="AB10" s="1"/>
  <c r="P10"/>
  <c r="O10"/>
  <c r="Y10" s="1"/>
  <c r="Z10" s="1"/>
  <c r="N10"/>
  <c r="X10" s="1"/>
  <c r="Q9"/>
  <c r="AB9" s="1"/>
  <c r="P9"/>
  <c r="AA9" s="1"/>
  <c r="O9"/>
  <c r="Y9" s="1"/>
  <c r="Z9" s="1"/>
  <c r="N9"/>
  <c r="X9" s="1"/>
  <c r="F9"/>
  <c r="F10" s="1"/>
  <c r="F11" s="1"/>
  <c r="V11" s="1"/>
  <c r="Q8"/>
  <c r="P8"/>
  <c r="O8"/>
  <c r="N8"/>
  <c r="D8"/>
  <c r="O7"/>
  <c r="N7"/>
  <c r="B13" l="1"/>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AB8"/>
  <c r="AA10"/>
  <c r="X11"/>
  <c r="AA11"/>
  <c r="C13"/>
  <c r="Y12"/>
  <c r="Z12" s="1"/>
  <c r="AB12"/>
  <c r="AA14"/>
  <c r="X15"/>
  <c r="AA15"/>
  <c r="C17"/>
  <c r="Y16"/>
  <c r="Z16" s="1"/>
  <c r="X17"/>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M19" i="43" s="1"/>
  <c r="T23" i="71"/>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E9" s="1"/>
  <c r="A10"/>
  <c r="E10" s="1"/>
  <c r="A11"/>
  <c r="E11" s="1"/>
  <c r="A12"/>
  <c r="E12" s="1"/>
  <c r="A13"/>
  <c r="E13" s="1"/>
  <c r="A6"/>
  <c r="Z25" i="40" l="1"/>
  <c r="Q25"/>
  <c r="D94"/>
  <c r="E94" s="1"/>
  <c r="F25"/>
  <c r="AA25" s="1"/>
  <c r="Z29" i="39"/>
  <c r="Q29"/>
  <c r="D103"/>
  <c r="E103" s="1"/>
  <c r="F29"/>
  <c r="AA29" s="1"/>
  <c r="Z18" i="36"/>
  <c r="Q18"/>
  <c r="E66"/>
  <c r="F66" s="1"/>
  <c r="D66"/>
  <c r="H18"/>
  <c r="AB18" s="1"/>
  <c r="F18"/>
  <c r="AA18" s="1"/>
  <c r="C18"/>
  <c r="Q18" i="35"/>
  <c r="Z18" s="1"/>
  <c r="D68"/>
  <c r="E68" s="1"/>
  <c r="F18"/>
  <c r="AA18" s="1"/>
  <c r="C18"/>
  <c r="Z21" i="37"/>
  <c r="Q21"/>
  <c r="D77"/>
  <c r="E77" s="1"/>
  <c r="C21"/>
  <c r="Z21" i="34"/>
  <c r="Q21"/>
  <c r="D84"/>
  <c r="E84" s="1"/>
  <c r="F21"/>
  <c r="AA21" s="1"/>
  <c r="C21"/>
  <c r="Q21" i="33"/>
  <c r="Z21" s="1"/>
  <c r="D83"/>
  <c r="E83" s="1"/>
  <c r="C21"/>
  <c r="C21" i="21"/>
  <c r="Z21"/>
  <c r="Q21"/>
  <c r="H19"/>
  <c r="D83"/>
  <c r="F21" s="1"/>
  <c r="AA21" s="1"/>
  <c r="D81"/>
  <c r="G20" i="20"/>
  <c r="B86" i="43" s="1"/>
  <c r="C22" i="20"/>
  <c r="AO10" i="1"/>
  <c r="AO11"/>
  <c r="AO13"/>
  <c r="AO12"/>
  <c r="AO9"/>
  <c r="B12" i="70" l="1"/>
  <c r="B10"/>
  <c r="B11"/>
  <c r="B13"/>
  <c r="B9"/>
  <c r="C25" i="40"/>
  <c r="B66" i="43"/>
  <c r="B75"/>
  <c r="B55"/>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F113" i="43"/>
  <c r="N99"/>
  <c r="N108" s="1"/>
  <c r="D99"/>
  <c r="D108" s="1"/>
  <c r="E99"/>
  <c r="E108" s="1"/>
  <c r="F99"/>
  <c r="F108" s="1"/>
  <c r="G99"/>
  <c r="G108" s="1"/>
  <c r="H99"/>
  <c r="H108" s="1"/>
  <c r="I99"/>
  <c r="I108" s="1"/>
  <c r="J99"/>
  <c r="J108" s="1"/>
  <c r="K99"/>
  <c r="K108" s="1"/>
  <c r="L99"/>
  <c r="L108" s="1"/>
  <c r="M99"/>
  <c r="M108" s="1"/>
  <c r="C99"/>
  <c r="C108" s="1"/>
  <c r="N100"/>
  <c r="D100"/>
  <c r="H100"/>
  <c r="L100"/>
  <c r="E100"/>
  <c r="I100"/>
  <c r="M100"/>
  <c r="B48"/>
  <c r="B84"/>
  <c r="B83"/>
  <c r="B72"/>
  <c r="B61"/>
  <c r="B50"/>
  <c r="D82"/>
  <c r="D83"/>
  <c r="D84"/>
  <c r="D85"/>
  <c r="D86"/>
  <c r="D87"/>
  <c r="D88"/>
  <c r="D81"/>
  <c r="D67"/>
  <c r="D61"/>
  <c r="D65"/>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A8"/>
  <c r="B8" s="1"/>
  <c r="E8" s="1"/>
  <c r="A9"/>
  <c r="A10"/>
  <c r="K10" s="1"/>
  <c r="M10" s="1"/>
  <c r="O10" s="1"/>
  <c r="A11"/>
  <c r="A12"/>
  <c r="A13"/>
  <c r="A6"/>
  <c r="B11"/>
  <c r="E11" s="1"/>
  <c r="B7"/>
  <c r="E7"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BT111"/>
  <c r="BS111"/>
  <c r="BR111"/>
  <c r="BQ111"/>
  <c r="BP111"/>
  <c r="BO111"/>
  <c r="BN111"/>
  <c r="BM111"/>
  <c r="BL111"/>
  <c r="BK111"/>
  <c r="BJ111"/>
  <c r="BI111"/>
  <c r="BH111"/>
  <c r="BG111"/>
  <c r="BF111"/>
  <c r="BE111"/>
  <c r="BD111"/>
  <c r="BC111"/>
  <c r="BB111"/>
  <c r="BA111" s="1"/>
  <c r="AZ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BA109" s="1"/>
  <c r="AX109"/>
  <c r="AW109"/>
  <c r="AV109"/>
  <c r="AC109"/>
  <c r="H109"/>
  <c r="G109"/>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BT105"/>
  <c r="BS105"/>
  <c r="BR105"/>
  <c r="BQ105"/>
  <c r="BP105"/>
  <c r="BO105"/>
  <c r="BN105"/>
  <c r="BM105"/>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L103" s="1"/>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AX102"/>
  <c r="AW102"/>
  <c r="AV102"/>
  <c r="AC102"/>
  <c r="H102"/>
  <c r="G102" s="1"/>
  <c r="BT101"/>
  <c r="BS101"/>
  <c r="BR101"/>
  <c r="BQ101"/>
  <c r="BP101"/>
  <c r="BO101"/>
  <c r="BN101"/>
  <c r="BM101"/>
  <c r="BL101" s="1"/>
  <c r="BK101"/>
  <c r="BJ101"/>
  <c r="BI101"/>
  <c r="BH101"/>
  <c r="BG101"/>
  <c r="BF101"/>
  <c r="BE101"/>
  <c r="BD101"/>
  <c r="BC101"/>
  <c r="BB101"/>
  <c r="AX101"/>
  <c r="AW101"/>
  <c r="AV101"/>
  <c r="AC101"/>
  <c r="H101"/>
  <c r="BT100"/>
  <c r="BS100"/>
  <c r="BR100"/>
  <c r="BQ100"/>
  <c r="BP100"/>
  <c r="BO100"/>
  <c r="BN100"/>
  <c r="BM100"/>
  <c r="BL100"/>
  <c r="BK100"/>
  <c r="BJ100"/>
  <c r="BI100"/>
  <c r="BH100"/>
  <c r="BG100"/>
  <c r="BF100"/>
  <c r="BE100"/>
  <c r="BD100"/>
  <c r="BC100"/>
  <c r="BB100"/>
  <c r="BA100" s="1"/>
  <c r="AZ100" s="1"/>
  <c r="AX100"/>
  <c r="AW100"/>
  <c r="AV100"/>
  <c r="AC100"/>
  <c r="H100"/>
  <c r="BT99"/>
  <c r="BS99"/>
  <c r="BR99"/>
  <c r="BQ99"/>
  <c r="BP99"/>
  <c r="BO99"/>
  <c r="BN99"/>
  <c r="BM99"/>
  <c r="BL99"/>
  <c r="BK99"/>
  <c r="BJ99"/>
  <c r="BI99"/>
  <c r="BH99"/>
  <c r="BG99"/>
  <c r="BF99"/>
  <c r="BE99"/>
  <c r="BD99"/>
  <c r="BC99"/>
  <c r="BB99"/>
  <c r="BA99" s="1"/>
  <c r="AZ99" s="1"/>
  <c r="AX99"/>
  <c r="AW99"/>
  <c r="AV99"/>
  <c r="AC99"/>
  <c r="H99"/>
  <c r="BT98"/>
  <c r="BS98"/>
  <c r="BR98"/>
  <c r="BQ98"/>
  <c r="BP98"/>
  <c r="BO98"/>
  <c r="BN98"/>
  <c r="BM98"/>
  <c r="BL98"/>
  <c r="BK98"/>
  <c r="BJ98"/>
  <c r="BI98"/>
  <c r="BH98"/>
  <c r="BG98"/>
  <c r="BF98"/>
  <c r="BE98"/>
  <c r="BD98"/>
  <c r="BC98"/>
  <c r="BB98"/>
  <c r="BA98" s="1"/>
  <c r="AZ98" s="1"/>
  <c r="AX98"/>
  <c r="AW98"/>
  <c r="AV98"/>
  <c r="AC98"/>
  <c r="H98"/>
  <c r="BT97"/>
  <c r="BS97"/>
  <c r="BR97"/>
  <c r="BQ97"/>
  <c r="BP97"/>
  <c r="BO97"/>
  <c r="BN97"/>
  <c r="BM97"/>
  <c r="BK97"/>
  <c r="BJ97"/>
  <c r="BI97"/>
  <c r="BH97"/>
  <c r="BG97"/>
  <c r="BF97"/>
  <c r="BE97"/>
  <c r="BD97"/>
  <c r="BC97"/>
  <c r="BB97"/>
  <c r="AX97"/>
  <c r="AW97"/>
  <c r="AV97"/>
  <c r="AC97"/>
  <c r="H97"/>
  <c r="G97" s="1"/>
  <c r="BT96"/>
  <c r="BS96"/>
  <c r="BR96"/>
  <c r="BQ96"/>
  <c r="BP96"/>
  <c r="BO96"/>
  <c r="BN96"/>
  <c r="BM96"/>
  <c r="BL96" s="1"/>
  <c r="BK96"/>
  <c r="BJ96"/>
  <c r="BI96"/>
  <c r="BH96"/>
  <c r="BG96"/>
  <c r="BF96"/>
  <c r="BE96"/>
  <c r="BD96"/>
  <c r="BC96"/>
  <c r="BB96"/>
  <c r="AX96"/>
  <c r="AW96"/>
  <c r="AV96"/>
  <c r="AC96"/>
  <c r="H96"/>
  <c r="G96"/>
  <c r="BT95"/>
  <c r="BS95"/>
  <c r="BR95"/>
  <c r="BQ95"/>
  <c r="BP95"/>
  <c r="BO95"/>
  <c r="BN95"/>
  <c r="BM95"/>
  <c r="BK95"/>
  <c r="BJ95"/>
  <c r="BI95"/>
  <c r="BH95"/>
  <c r="BG95"/>
  <c r="BF95"/>
  <c r="BE95"/>
  <c r="BD95"/>
  <c r="BC95"/>
  <c r="BB95"/>
  <c r="AX95"/>
  <c r="AW95"/>
  <c r="AV95"/>
  <c r="AC95"/>
  <c r="H95"/>
  <c r="G95"/>
  <c r="BT94"/>
  <c r="BS94"/>
  <c r="BR94"/>
  <c r="BQ94"/>
  <c r="BP94"/>
  <c r="BO94"/>
  <c r="BN94"/>
  <c r="BM94"/>
  <c r="BK94"/>
  <c r="BJ94"/>
  <c r="BI94"/>
  <c r="BH94"/>
  <c r="BG94"/>
  <c r="BF94"/>
  <c r="BE94"/>
  <c r="BD94"/>
  <c r="BC94"/>
  <c r="BB94"/>
  <c r="BA94" s="1"/>
  <c r="AX94"/>
  <c r="AW94"/>
  <c r="AV94"/>
  <c r="AC94"/>
  <c r="H94"/>
  <c r="BT93"/>
  <c r="BS93"/>
  <c r="BR93"/>
  <c r="BQ93"/>
  <c r="BP93"/>
  <c r="BO93"/>
  <c r="BN93"/>
  <c r="BM93"/>
  <c r="BL93"/>
  <c r="BK93"/>
  <c r="BJ93"/>
  <c r="BI93"/>
  <c r="BH93"/>
  <c r="BG93"/>
  <c r="BF93"/>
  <c r="BE93"/>
  <c r="BD93"/>
  <c r="BC93"/>
  <c r="BB93"/>
  <c r="BA93" s="1"/>
  <c r="AZ93" s="1"/>
  <c r="AX93"/>
  <c r="AW93"/>
  <c r="AV93"/>
  <c r="AC93"/>
  <c r="H93"/>
  <c r="BT92"/>
  <c r="BS92"/>
  <c r="BR92"/>
  <c r="BQ92"/>
  <c r="BP92"/>
  <c r="BO92"/>
  <c r="BN92"/>
  <c r="BM92"/>
  <c r="BL92"/>
  <c r="BK92"/>
  <c r="BJ92"/>
  <c r="BI92"/>
  <c r="BH92"/>
  <c r="BG92"/>
  <c r="BF92"/>
  <c r="BE92"/>
  <c r="BD92"/>
  <c r="BC92"/>
  <c r="BB92"/>
  <c r="BA92" s="1"/>
  <c r="AZ92" s="1"/>
  <c r="AX92"/>
  <c r="AW92"/>
  <c r="AV92"/>
  <c r="AC92"/>
  <c r="H92"/>
  <c r="BT91"/>
  <c r="BS91"/>
  <c r="BR91"/>
  <c r="BQ91"/>
  <c r="BP91"/>
  <c r="BO91"/>
  <c r="BN91"/>
  <c r="BM91"/>
  <c r="BK91"/>
  <c r="BJ91"/>
  <c r="BI91"/>
  <c r="BH91"/>
  <c r="BG91"/>
  <c r="BF91"/>
  <c r="BE91"/>
  <c r="BD91"/>
  <c r="BC91"/>
  <c r="BB91"/>
  <c r="AX91"/>
  <c r="AW91"/>
  <c r="AV91"/>
  <c r="AC91"/>
  <c r="H91"/>
  <c r="G91" s="1"/>
  <c r="BT90"/>
  <c r="BS90"/>
  <c r="BR90"/>
  <c r="BQ90"/>
  <c r="BP90"/>
  <c r="BO90"/>
  <c r="BN90"/>
  <c r="BM90"/>
  <c r="BL90" s="1"/>
  <c r="BK90"/>
  <c r="BJ90"/>
  <c r="BI90"/>
  <c r="BH90"/>
  <c r="BG90"/>
  <c r="BF90"/>
  <c r="BE90"/>
  <c r="BD90"/>
  <c r="BC90"/>
  <c r="BB90"/>
  <c r="AX90"/>
  <c r="AW90"/>
  <c r="AV90"/>
  <c r="AC90"/>
  <c r="H90"/>
  <c r="G90"/>
  <c r="BT89"/>
  <c r="BS89"/>
  <c r="BR89"/>
  <c r="BQ89"/>
  <c r="BP89"/>
  <c r="BO89"/>
  <c r="BN89"/>
  <c r="BM89"/>
  <c r="BL89" s="1"/>
  <c r="BK89"/>
  <c r="BJ89"/>
  <c r="BI89"/>
  <c r="BH89"/>
  <c r="BG89"/>
  <c r="BF89"/>
  <c r="BE89"/>
  <c r="BD89"/>
  <c r="BC89"/>
  <c r="BB89"/>
  <c r="AX89"/>
  <c r="AW89"/>
  <c r="AV89"/>
  <c r="AC89"/>
  <c r="H89"/>
  <c r="G89" s="1"/>
  <c r="BT88"/>
  <c r="BS88"/>
  <c r="BR88"/>
  <c r="BQ88"/>
  <c r="BP88"/>
  <c r="BO88"/>
  <c r="BN88"/>
  <c r="BM88"/>
  <c r="BK88"/>
  <c r="BJ88"/>
  <c r="BI88"/>
  <c r="BH88"/>
  <c r="BG88"/>
  <c r="BF88"/>
  <c r="BE88"/>
  <c r="BD88"/>
  <c r="BC88"/>
  <c r="BB88"/>
  <c r="BA88" s="1"/>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AX86"/>
  <c r="AW86"/>
  <c r="AV86"/>
  <c r="AC86"/>
  <c r="H86"/>
  <c r="G86" s="1"/>
  <c r="BT85"/>
  <c r="BS85"/>
  <c r="BR85"/>
  <c r="BQ85"/>
  <c r="BP85"/>
  <c r="BO85"/>
  <c r="BN85"/>
  <c r="BM85"/>
  <c r="BL85" s="1"/>
  <c r="BK85"/>
  <c r="BJ85"/>
  <c r="BI85"/>
  <c r="BH85"/>
  <c r="BG85"/>
  <c r="BF85"/>
  <c r="BE85"/>
  <c r="BD85"/>
  <c r="BC85"/>
  <c r="BB85"/>
  <c r="AX85"/>
  <c r="AW85"/>
  <c r="AV85"/>
  <c r="AC85"/>
  <c r="H85"/>
  <c r="G85" s="1"/>
  <c r="BT84"/>
  <c r="BS84"/>
  <c r="BR84"/>
  <c r="BQ84"/>
  <c r="BP84"/>
  <c r="BO84"/>
  <c r="BN84"/>
  <c r="BM84"/>
  <c r="BL84" s="1"/>
  <c r="BK84"/>
  <c r="BJ84"/>
  <c r="BI84"/>
  <c r="BH84"/>
  <c r="BG84"/>
  <c r="BF84"/>
  <c r="BE84"/>
  <c r="BD84"/>
  <c r="BC84"/>
  <c r="BB84"/>
  <c r="AX84"/>
  <c r="AW84"/>
  <c r="AV84"/>
  <c r="AC84"/>
  <c r="H84"/>
  <c r="G84" s="1"/>
  <c r="BT83"/>
  <c r="BS83"/>
  <c r="BR83"/>
  <c r="BQ83"/>
  <c r="BP83"/>
  <c r="BO83"/>
  <c r="BN83"/>
  <c r="BM83"/>
  <c r="BL83" s="1"/>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G82" s="1"/>
  <c r="BT81"/>
  <c r="BS81"/>
  <c r="BR81"/>
  <c r="BQ81"/>
  <c r="BP81"/>
  <c r="BO81"/>
  <c r="BN81"/>
  <c r="BM81"/>
  <c r="BK81"/>
  <c r="BJ81"/>
  <c r="BI81"/>
  <c r="BH81"/>
  <c r="BG81"/>
  <c r="BF81"/>
  <c r="BE81"/>
  <c r="BD81"/>
  <c r="BC81"/>
  <c r="BB81"/>
  <c r="AX81"/>
  <c r="AW81"/>
  <c r="AV81"/>
  <c r="AC81"/>
  <c r="H81"/>
  <c r="G81" s="1"/>
  <c r="BT80"/>
  <c r="BS80"/>
  <c r="BR80"/>
  <c r="BQ80"/>
  <c r="BP80"/>
  <c r="BO80"/>
  <c r="BN80"/>
  <c r="BM80"/>
  <c r="BL80" s="1"/>
  <c r="BK80"/>
  <c r="BJ80"/>
  <c r="BI80"/>
  <c r="BH80"/>
  <c r="BG80"/>
  <c r="BF80"/>
  <c r="BE80"/>
  <c r="BD80"/>
  <c r="BC80"/>
  <c r="BB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BA77" s="1"/>
  <c r="AZ77" s="1"/>
  <c r="AX77"/>
  <c r="AW77"/>
  <c r="AV77"/>
  <c r="AC77"/>
  <c r="H77"/>
  <c r="BT76"/>
  <c r="BS76"/>
  <c r="BR76"/>
  <c r="BQ76"/>
  <c r="BP76"/>
  <c r="BO76"/>
  <c r="BN76"/>
  <c r="BM76"/>
  <c r="BK76"/>
  <c r="BJ76"/>
  <c r="BI76"/>
  <c r="BH76"/>
  <c r="BG76"/>
  <c r="BF76"/>
  <c r="BE76"/>
  <c r="BD76"/>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AX74"/>
  <c r="AW74"/>
  <c r="AV74"/>
  <c r="AC74"/>
  <c r="H74"/>
  <c r="G74" s="1"/>
  <c r="BT73"/>
  <c r="BS73"/>
  <c r="BR73"/>
  <c r="BQ73"/>
  <c r="BP73"/>
  <c r="BO73"/>
  <c r="BN73"/>
  <c r="BM73"/>
  <c r="BL73"/>
  <c r="BK73"/>
  <c r="BJ73"/>
  <c r="BI73"/>
  <c r="BH73"/>
  <c r="BG73"/>
  <c r="BF73"/>
  <c r="BE73"/>
  <c r="BD73"/>
  <c r="BC73"/>
  <c r="BB73"/>
  <c r="BA73" s="1"/>
  <c r="AZ73" s="1"/>
  <c r="AX73"/>
  <c r="AW73"/>
  <c r="AV73"/>
  <c r="AC73"/>
  <c r="H73"/>
  <c r="BT72"/>
  <c r="BS72"/>
  <c r="BR72"/>
  <c r="BQ72"/>
  <c r="BP72"/>
  <c r="BO72"/>
  <c r="BN72"/>
  <c r="BM72"/>
  <c r="BK72"/>
  <c r="BJ72"/>
  <c r="BI72"/>
  <c r="BH72"/>
  <c r="BG72"/>
  <c r="BF72"/>
  <c r="BE72"/>
  <c r="BD72"/>
  <c r="BC72"/>
  <c r="BB72"/>
  <c r="AX72"/>
  <c r="AW72"/>
  <c r="AV72"/>
  <c r="AC72"/>
  <c r="H72"/>
  <c r="G72" s="1"/>
  <c r="BT71"/>
  <c r="BS71"/>
  <c r="BR71"/>
  <c r="BQ71"/>
  <c r="BP71"/>
  <c r="BO71"/>
  <c r="BN71"/>
  <c r="BM71"/>
  <c r="BL71" s="1"/>
  <c r="BK71"/>
  <c r="BJ71"/>
  <c r="BI71"/>
  <c r="BH71"/>
  <c r="BG71"/>
  <c r="BF71"/>
  <c r="BE71"/>
  <c r="BD71"/>
  <c r="BC71"/>
  <c r="BB71"/>
  <c r="BA71" s="1"/>
  <c r="AZ71" s="1"/>
  <c r="AX71"/>
  <c r="AW71"/>
  <c r="AV71"/>
  <c r="AC71"/>
  <c r="H71"/>
  <c r="BT70"/>
  <c r="BS70"/>
  <c r="BR70"/>
  <c r="BQ70"/>
  <c r="BP70"/>
  <c r="BO70"/>
  <c r="BN70"/>
  <c r="BM70"/>
  <c r="BK70"/>
  <c r="BJ70"/>
  <c r="BI70"/>
  <c r="BH70"/>
  <c r="BG70"/>
  <c r="BF70"/>
  <c r="BE70"/>
  <c r="BD70"/>
  <c r="BC70"/>
  <c r="BB70"/>
  <c r="AX70"/>
  <c r="AW70"/>
  <c r="AV70"/>
  <c r="AC70"/>
  <c r="H70"/>
  <c r="G70" s="1"/>
  <c r="BT69"/>
  <c r="BS69"/>
  <c r="BR69"/>
  <c r="BQ69"/>
  <c r="BP69"/>
  <c r="BO69"/>
  <c r="BN69"/>
  <c r="BM69"/>
  <c r="BL69" s="1"/>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s="1"/>
  <c r="BT61"/>
  <c r="BS61"/>
  <c r="BR61"/>
  <c r="BQ61"/>
  <c r="BP61"/>
  <c r="BO61"/>
  <c r="BN61"/>
  <c r="BM61"/>
  <c r="BK61"/>
  <c r="BJ61"/>
  <c r="BI61"/>
  <c r="BH61"/>
  <c r="BG61"/>
  <c r="BF61"/>
  <c r="BE61"/>
  <c r="BD61"/>
  <c r="BC61"/>
  <c r="BB61"/>
  <c r="AX61"/>
  <c r="AW61"/>
  <c r="AV61"/>
  <c r="AC61"/>
  <c r="H61"/>
  <c r="G61" s="1"/>
  <c r="BT60"/>
  <c r="BS60"/>
  <c r="BR60"/>
  <c r="BQ60"/>
  <c r="BP60"/>
  <c r="BO60"/>
  <c r="BN60"/>
  <c r="BM60"/>
  <c r="BK60"/>
  <c r="BJ60"/>
  <c r="BI60"/>
  <c r="BH60"/>
  <c r="BG60"/>
  <c r="BF60"/>
  <c r="BE60"/>
  <c r="BD60"/>
  <c r="BC60"/>
  <c r="BB60"/>
  <c r="BA60" s="1"/>
  <c r="AX60"/>
  <c r="AW60"/>
  <c r="AV60"/>
  <c r="AC60"/>
  <c r="H60"/>
  <c r="G60" s="1"/>
  <c r="BT59"/>
  <c r="BS59"/>
  <c r="BR59"/>
  <c r="BQ59"/>
  <c r="BP59"/>
  <c r="BO59"/>
  <c r="BN59"/>
  <c r="BM59"/>
  <c r="BK59"/>
  <c r="BJ59"/>
  <c r="BI59"/>
  <c r="BH59"/>
  <c r="BG59"/>
  <c r="BF59"/>
  <c r="BE59"/>
  <c r="BD59"/>
  <c r="BC59"/>
  <c r="BB59"/>
  <c r="AX59"/>
  <c r="AW59"/>
  <c r="AV59"/>
  <c r="AC59"/>
  <c r="H59"/>
  <c r="G59" s="1"/>
  <c r="BT58"/>
  <c r="BS58"/>
  <c r="BR58"/>
  <c r="BQ58"/>
  <c r="BP58"/>
  <c r="BO58"/>
  <c r="BN58"/>
  <c r="BM58"/>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AX57"/>
  <c r="AW57"/>
  <c r="AV57"/>
  <c r="AC57"/>
  <c r="H57"/>
  <c r="G57" s="1"/>
  <c r="BT56"/>
  <c r="BS56"/>
  <c r="BR56"/>
  <c r="BQ56"/>
  <c r="BP56"/>
  <c r="BO56"/>
  <c r="BN56"/>
  <c r="BM56"/>
  <c r="BL56" s="1"/>
  <c r="BK56"/>
  <c r="BJ56"/>
  <c r="BI56"/>
  <c r="BH56"/>
  <c r="BG56"/>
  <c r="BF56"/>
  <c r="BE56"/>
  <c r="BD56"/>
  <c r="BC56"/>
  <c r="BB56"/>
  <c r="AX56"/>
  <c r="AW56"/>
  <c r="AV56"/>
  <c r="AC56"/>
  <c r="H56"/>
  <c r="BT55"/>
  <c r="BS55"/>
  <c r="BR55"/>
  <c r="BQ55"/>
  <c r="BP55"/>
  <c r="BO55"/>
  <c r="BN55"/>
  <c r="BM55"/>
  <c r="BL55"/>
  <c r="BK55"/>
  <c r="BJ55"/>
  <c r="BI55"/>
  <c r="BH55"/>
  <c r="BG55"/>
  <c r="BF55"/>
  <c r="BE55"/>
  <c r="BD55"/>
  <c r="BC55"/>
  <c r="BB55"/>
  <c r="BA55" s="1"/>
  <c r="AX55"/>
  <c r="AW55"/>
  <c r="AV55"/>
  <c r="AC55"/>
  <c r="H55"/>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s="1"/>
  <c r="AX53"/>
  <c r="AW53"/>
  <c r="AV53"/>
  <c r="AC53"/>
  <c r="H53"/>
  <c r="BT52"/>
  <c r="BS52"/>
  <c r="BR52"/>
  <c r="BQ52"/>
  <c r="BP52"/>
  <c r="BO52"/>
  <c r="BN52"/>
  <c r="BM52"/>
  <c r="BK52"/>
  <c r="BJ52"/>
  <c r="BI52"/>
  <c r="BH52"/>
  <c r="BG52"/>
  <c r="BF52"/>
  <c r="BE52"/>
  <c r="BD52"/>
  <c r="BC52"/>
  <c r="BB52"/>
  <c r="AX52"/>
  <c r="AW52"/>
  <c r="AV52"/>
  <c r="AC52"/>
  <c r="H52"/>
  <c r="G52" s="1"/>
  <c r="BT51"/>
  <c r="BS51"/>
  <c r="BR51"/>
  <c r="BQ51"/>
  <c r="BP51"/>
  <c r="BO51"/>
  <c r="BN51"/>
  <c r="BM51"/>
  <c r="BL51" s="1"/>
  <c r="BK51"/>
  <c r="BJ51"/>
  <c r="BI51"/>
  <c r="BH51"/>
  <c r="BG51"/>
  <c r="BF51"/>
  <c r="BE51"/>
  <c r="BD51"/>
  <c r="BC51"/>
  <c r="BB51"/>
  <c r="AX51"/>
  <c r="AW51"/>
  <c r="AV51"/>
  <c r="AC51"/>
  <c r="H51"/>
  <c r="G51" s="1"/>
  <c r="BT50"/>
  <c r="BS50"/>
  <c r="BR50"/>
  <c r="BQ50"/>
  <c r="BP50"/>
  <c r="BO50"/>
  <c r="BN50"/>
  <c r="BM50"/>
  <c r="BL50" s="1"/>
  <c r="BK50"/>
  <c r="BJ50"/>
  <c r="BI50"/>
  <c r="BH50"/>
  <c r="BG50"/>
  <c r="BF50"/>
  <c r="BE50"/>
  <c r="BD50"/>
  <c r="BC50"/>
  <c r="BB50"/>
  <c r="AX50"/>
  <c r="AW50"/>
  <c r="AV50"/>
  <c r="AC50"/>
  <c r="H50"/>
  <c r="BT49"/>
  <c r="BS49"/>
  <c r="BR49"/>
  <c r="BQ49"/>
  <c r="BP49"/>
  <c r="BO49"/>
  <c r="BN49"/>
  <c r="BM49"/>
  <c r="BK49"/>
  <c r="BJ49"/>
  <c r="BI49"/>
  <c r="BH49"/>
  <c r="BG49"/>
  <c r="BF49"/>
  <c r="BE49"/>
  <c r="BD49"/>
  <c r="BC49"/>
  <c r="BB49"/>
  <c r="AX49"/>
  <c r="AW49"/>
  <c r="AV49"/>
  <c r="AC49"/>
  <c r="H49"/>
  <c r="G49" s="1"/>
  <c r="BT48"/>
  <c r="BS48"/>
  <c r="BR48"/>
  <c r="BQ48"/>
  <c r="BP48"/>
  <c r="BO48"/>
  <c r="BN48"/>
  <c r="BM48"/>
  <c r="BL48"/>
  <c r="BK48"/>
  <c r="BJ48"/>
  <c r="BI48"/>
  <c r="BH48"/>
  <c r="BG48"/>
  <c r="BF48"/>
  <c r="BE48"/>
  <c r="BD48"/>
  <c r="BC48"/>
  <c r="BB48"/>
  <c r="BA48" s="1"/>
  <c r="AZ48" s="1"/>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BA46" s="1"/>
  <c r="AX46"/>
  <c r="AW46"/>
  <c r="AV46"/>
  <c r="AC46"/>
  <c r="H46"/>
  <c r="BT45"/>
  <c r="BS45"/>
  <c r="BR45"/>
  <c r="BQ45"/>
  <c r="BP45"/>
  <c r="BO45"/>
  <c r="BN45"/>
  <c r="BM45"/>
  <c r="BL45"/>
  <c r="BK45"/>
  <c r="BJ45"/>
  <c r="BI45"/>
  <c r="BH45"/>
  <c r="BG45"/>
  <c r="BF45"/>
  <c r="BE45"/>
  <c r="BD45"/>
  <c r="BC45"/>
  <c r="BB45"/>
  <c r="BA45" s="1"/>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L43" s="1"/>
  <c r="BK43"/>
  <c r="BJ43"/>
  <c r="BI43"/>
  <c r="BH43"/>
  <c r="BG43"/>
  <c r="BF43"/>
  <c r="BE43"/>
  <c r="BD43"/>
  <c r="BC43"/>
  <c r="BB43"/>
  <c r="BA43" s="1"/>
  <c r="AX43"/>
  <c r="AW43"/>
  <c r="AV43"/>
  <c r="AC43"/>
  <c r="H43"/>
  <c r="G43"/>
  <c r="BT42"/>
  <c r="BS42"/>
  <c r="BR42"/>
  <c r="BQ42"/>
  <c r="BP42"/>
  <c r="BO42"/>
  <c r="BN42"/>
  <c r="BM42"/>
  <c r="BK42"/>
  <c r="BJ42"/>
  <c r="BI42"/>
  <c r="BH42"/>
  <c r="BG42"/>
  <c r="BF42"/>
  <c r="BE42"/>
  <c r="BD42"/>
  <c r="BC42"/>
  <c r="BB42"/>
  <c r="AX42"/>
  <c r="AW42"/>
  <c r="AV42"/>
  <c r="AC42"/>
  <c r="H42"/>
  <c r="BT41"/>
  <c r="BS41"/>
  <c r="BR41"/>
  <c r="BQ41"/>
  <c r="BP41"/>
  <c r="BO41"/>
  <c r="BN41"/>
  <c r="BM41"/>
  <c r="BK41"/>
  <c r="BJ41"/>
  <c r="BI41"/>
  <c r="BH41"/>
  <c r="BG41"/>
  <c r="BF41"/>
  <c r="BE41"/>
  <c r="BD41"/>
  <c r="BC41"/>
  <c r="BB41"/>
  <c r="AX41"/>
  <c r="AW41"/>
  <c r="AV41"/>
  <c r="AC41"/>
  <c r="H41"/>
  <c r="G41" s="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AX38"/>
  <c r="AW38"/>
  <c r="AV38"/>
  <c r="AC38"/>
  <c r="H38"/>
  <c r="G38" s="1"/>
  <c r="BT37"/>
  <c r="BS37"/>
  <c r="BR37"/>
  <c r="BQ37"/>
  <c r="BP37"/>
  <c r="BO37"/>
  <c r="BN37"/>
  <c r="BM37"/>
  <c r="BL37" s="1"/>
  <c r="BK37"/>
  <c r="BJ37"/>
  <c r="BI37"/>
  <c r="BH37"/>
  <c r="BG37"/>
  <c r="BF37"/>
  <c r="BE37"/>
  <c r="BD37"/>
  <c r="BC37"/>
  <c r="BB37"/>
  <c r="AX37"/>
  <c r="AW37"/>
  <c r="AV37"/>
  <c r="AC37"/>
  <c r="H37"/>
  <c r="G37" s="1"/>
  <c r="BT36"/>
  <c r="BS36"/>
  <c r="BR36"/>
  <c r="BQ36"/>
  <c r="BP36"/>
  <c r="BO36"/>
  <c r="BN36"/>
  <c r="BM36"/>
  <c r="BK36"/>
  <c r="BJ36"/>
  <c r="BI36"/>
  <c r="BH36"/>
  <c r="BG36"/>
  <c r="BF36"/>
  <c r="BE36"/>
  <c r="BD36"/>
  <c r="BC36"/>
  <c r="BB36"/>
  <c r="AX36"/>
  <c r="AW36"/>
  <c r="AV36"/>
  <c r="AC36"/>
  <c r="H36"/>
  <c r="G36" s="1"/>
  <c r="BT35"/>
  <c r="BS35"/>
  <c r="BR35"/>
  <c r="BQ35"/>
  <c r="BP35"/>
  <c r="BO35"/>
  <c r="BN35"/>
  <c r="BM35"/>
  <c r="BL35" s="1"/>
  <c r="BK35"/>
  <c r="BJ35"/>
  <c r="BI35"/>
  <c r="BH35"/>
  <c r="BG35"/>
  <c r="BF35"/>
  <c r="BE35"/>
  <c r="BD35"/>
  <c r="BC35"/>
  <c r="BB35"/>
  <c r="AX35"/>
  <c r="AW35"/>
  <c r="AV35"/>
  <c r="AC35"/>
  <c r="H35"/>
  <c r="BT34"/>
  <c r="BS34"/>
  <c r="BR34"/>
  <c r="BQ34"/>
  <c r="BP34"/>
  <c r="BO34"/>
  <c r="BN34"/>
  <c r="BM34"/>
  <c r="BL34"/>
  <c r="BK34"/>
  <c r="BJ34"/>
  <c r="BI34"/>
  <c r="BH34"/>
  <c r="BG34"/>
  <c r="BF34"/>
  <c r="BE34"/>
  <c r="BD34"/>
  <c r="BC34"/>
  <c r="BB34"/>
  <c r="BA34" s="1"/>
  <c r="AZ34" s="1"/>
  <c r="AX34"/>
  <c r="AW34"/>
  <c r="AV34"/>
  <c r="AC34"/>
  <c r="H34"/>
  <c r="BT33"/>
  <c r="BS33"/>
  <c r="BR33"/>
  <c r="BQ33"/>
  <c r="BP33"/>
  <c r="BO33"/>
  <c r="BN33"/>
  <c r="BM33"/>
  <c r="BL33"/>
  <c r="BK33"/>
  <c r="BJ33"/>
  <c r="BI33"/>
  <c r="BH33"/>
  <c r="BG33"/>
  <c r="BF33"/>
  <c r="BE33"/>
  <c r="BD33"/>
  <c r="BC33"/>
  <c r="BB33"/>
  <c r="BA33" s="1"/>
  <c r="AX33"/>
  <c r="AW33"/>
  <c r="AV33"/>
  <c r="AC33"/>
  <c r="H33"/>
  <c r="G33"/>
  <c r="BT32"/>
  <c r="BS32"/>
  <c r="BR32"/>
  <c r="BQ32"/>
  <c r="BP32"/>
  <c r="BO32"/>
  <c r="BN32"/>
  <c r="BM32"/>
  <c r="BL32" s="1"/>
  <c r="BK32"/>
  <c r="BJ32"/>
  <c r="BI32"/>
  <c r="BH32"/>
  <c r="BG32"/>
  <c r="BF32"/>
  <c r="BE32"/>
  <c r="BD32"/>
  <c r="BC32"/>
  <c r="BB32"/>
  <c r="AX32"/>
  <c r="AW32"/>
  <c r="AV32"/>
  <c r="AC32"/>
  <c r="H32"/>
  <c r="BT31"/>
  <c r="BS31"/>
  <c r="BR31"/>
  <c r="BQ31"/>
  <c r="BP31"/>
  <c r="BO31"/>
  <c r="BN31"/>
  <c r="BM3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s="1"/>
  <c r="BT29"/>
  <c r="BS29"/>
  <c r="BR29"/>
  <c r="BQ29"/>
  <c r="BP29"/>
  <c r="BO29"/>
  <c r="BN29"/>
  <c r="BM29"/>
  <c r="BK29"/>
  <c r="BJ29"/>
  <c r="BI29"/>
  <c r="BH29"/>
  <c r="BG29"/>
  <c r="BF29"/>
  <c r="BE29"/>
  <c r="BD29"/>
  <c r="BC29"/>
  <c r="BB29"/>
  <c r="BA29" s="1"/>
  <c r="AX29"/>
  <c r="AW29"/>
  <c r="AV29"/>
  <c r="AC29"/>
  <c r="H29"/>
  <c r="G29" s="1"/>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AX26"/>
  <c r="AW26"/>
  <c r="AV26"/>
  <c r="AC26"/>
  <c r="H26"/>
  <c r="G26" s="1"/>
  <c r="BT25"/>
  <c r="BS25"/>
  <c r="BR25"/>
  <c r="BQ25"/>
  <c r="BP25"/>
  <c r="BO25"/>
  <c r="BN25"/>
  <c r="BM25"/>
  <c r="BL25"/>
  <c r="BK25"/>
  <c r="BJ25"/>
  <c r="BI25"/>
  <c r="BH25"/>
  <c r="BG25"/>
  <c r="BF25"/>
  <c r="BE25"/>
  <c r="BD25"/>
  <c r="BC25"/>
  <c r="BB25"/>
  <c r="BA25" s="1"/>
  <c r="AZ25" s="1"/>
  <c r="AX25"/>
  <c r="AW25"/>
  <c r="AV25"/>
  <c r="AC25"/>
  <c r="H25"/>
  <c r="BT24"/>
  <c r="BS24"/>
  <c r="BR24"/>
  <c r="BQ24"/>
  <c r="BP24"/>
  <c r="BO24"/>
  <c r="BN24"/>
  <c r="BM24"/>
  <c r="BL24"/>
  <c r="BK24"/>
  <c r="BJ24"/>
  <c r="BI24"/>
  <c r="BH24"/>
  <c r="BG24"/>
  <c r="BF24"/>
  <c r="BE24"/>
  <c r="BD24"/>
  <c r="BC24"/>
  <c r="BB24"/>
  <c r="BA24" s="1"/>
  <c r="AX24"/>
  <c r="AW24"/>
  <c r="AV24"/>
  <c r="AC24"/>
  <c r="H24"/>
  <c r="BT23"/>
  <c r="BS23"/>
  <c r="BR23"/>
  <c r="BQ23"/>
  <c r="BP23"/>
  <c r="BO23"/>
  <c r="BN23"/>
  <c r="BM23"/>
  <c r="BL23"/>
  <c r="BK23"/>
  <c r="BJ23"/>
  <c r="BI23"/>
  <c r="BH23"/>
  <c r="BG23"/>
  <c r="BF23"/>
  <c r="BE23"/>
  <c r="BD23"/>
  <c r="BC23"/>
  <c r="BB23"/>
  <c r="BA23" s="1"/>
  <c r="AZ23" s="1"/>
  <c r="AX23"/>
  <c r="AW23"/>
  <c r="AV23"/>
  <c r="AC23"/>
  <c r="H23"/>
  <c r="BT22"/>
  <c r="BS22"/>
  <c r="BR22"/>
  <c r="BQ22"/>
  <c r="BP22"/>
  <c r="BO22"/>
  <c r="BN22"/>
  <c r="BM22"/>
  <c r="BK22"/>
  <c r="BJ22"/>
  <c r="BI22"/>
  <c r="BH22"/>
  <c r="BG22"/>
  <c r="BF22"/>
  <c r="BE22"/>
  <c r="BD22"/>
  <c r="BC22"/>
  <c r="BB22"/>
  <c r="AX22"/>
  <c r="AW22"/>
  <c r="AV22"/>
  <c r="AC22"/>
  <c r="H22"/>
  <c r="G22" s="1"/>
  <c r="BT21"/>
  <c r="BS21"/>
  <c r="BR21"/>
  <c r="BQ21"/>
  <c r="BP21"/>
  <c r="BO21"/>
  <c r="BN21"/>
  <c r="BM21"/>
  <c r="BL21" s="1"/>
  <c r="BK21"/>
  <c r="BJ21"/>
  <c r="BI21"/>
  <c r="BH21"/>
  <c r="BG21"/>
  <c r="BF21"/>
  <c r="BE21"/>
  <c r="BD21"/>
  <c r="BC21"/>
  <c r="BB21"/>
  <c r="BA21" s="1"/>
  <c r="AX21"/>
  <c r="AW21"/>
  <c r="AV21"/>
  <c r="AC21"/>
  <c r="H21"/>
  <c r="G21"/>
  <c r="BT20"/>
  <c r="BS20"/>
  <c r="BR20"/>
  <c r="BQ20"/>
  <c r="BP20"/>
  <c r="BO20"/>
  <c r="BN20"/>
  <c r="BM20"/>
  <c r="BK20"/>
  <c r="BJ20"/>
  <c r="BI20"/>
  <c r="BH20"/>
  <c r="BG20"/>
  <c r="BF20"/>
  <c r="BE20"/>
  <c r="BD20"/>
  <c r="BC20"/>
  <c r="BB20"/>
  <c r="AX20"/>
  <c r="AW20"/>
  <c r="AV20"/>
  <c r="AC20"/>
  <c r="H20"/>
  <c r="BT19"/>
  <c r="BS19"/>
  <c r="BR19"/>
  <c r="BQ19"/>
  <c r="BP19"/>
  <c r="BO19"/>
  <c r="BN19"/>
  <c r="BM19"/>
  <c r="BK19"/>
  <c r="BJ19"/>
  <c r="BI19"/>
  <c r="BH19"/>
  <c r="BG19"/>
  <c r="BF19"/>
  <c r="BE19"/>
  <c r="BD19"/>
  <c r="BC19"/>
  <c r="BB19"/>
  <c r="AX19"/>
  <c r="AW19"/>
  <c r="AV19"/>
  <c r="AC19"/>
  <c r="H19"/>
  <c r="G19" s="1"/>
  <c r="BT18"/>
  <c r="BS18"/>
  <c r="BR18"/>
  <c r="BQ18"/>
  <c r="BP18"/>
  <c r="BO18"/>
  <c r="BN18"/>
  <c r="BM18"/>
  <c r="BL18" s="1"/>
  <c r="BK18"/>
  <c r="BJ18"/>
  <c r="BI18"/>
  <c r="BH18"/>
  <c r="BG18"/>
  <c r="BF18"/>
  <c r="BE18"/>
  <c r="BD18"/>
  <c r="BC18"/>
  <c r="BB18"/>
  <c r="AX18"/>
  <c r="AW18"/>
  <c r="AV18"/>
  <c r="AC18"/>
  <c r="H18"/>
  <c r="G18" s="1"/>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L202" s="1"/>
  <c r="BK202"/>
  <c r="BJ202"/>
  <c r="BI202"/>
  <c r="BH202"/>
  <c r="BG202"/>
  <c r="BF202"/>
  <c r="BE202"/>
  <c r="BD202"/>
  <c r="BC202"/>
  <c r="BB202"/>
  <c r="BA202"/>
  <c r="AX202"/>
  <c r="AW202"/>
  <c r="AV202"/>
  <c r="AC202"/>
  <c r="H202"/>
  <c r="BT201"/>
  <c r="BS201"/>
  <c r="BR201"/>
  <c r="BQ201"/>
  <c r="BP201"/>
  <c r="BO201"/>
  <c r="BN201"/>
  <c r="BM201"/>
  <c r="BL20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L198"/>
  <c r="BK198"/>
  <c r="BJ198"/>
  <c r="BI198"/>
  <c r="BH198"/>
  <c r="BG198"/>
  <c r="BF198"/>
  <c r="BE198"/>
  <c r="BD198"/>
  <c r="BC198"/>
  <c r="BB198"/>
  <c r="BA198" s="1"/>
  <c r="AX198"/>
  <c r="AW198"/>
  <c r="AV198"/>
  <c r="AC198"/>
  <c r="H198"/>
  <c r="G198" s="1"/>
  <c r="BT197"/>
  <c r="BS197"/>
  <c r="BR197"/>
  <c r="BQ197"/>
  <c r="BP197"/>
  <c r="BO197"/>
  <c r="BN197"/>
  <c r="BM197"/>
  <c r="BL197" s="1"/>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BA196" s="1"/>
  <c r="AX196"/>
  <c r="AW196"/>
  <c r="AV196"/>
  <c r="AC196"/>
  <c r="H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s="1"/>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BA188" s="1"/>
  <c r="AX188"/>
  <c r="AW188"/>
  <c r="AV188"/>
  <c r="AC188"/>
  <c r="H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BT185"/>
  <c r="BS185"/>
  <c r="BR185"/>
  <c r="BQ185"/>
  <c r="BP185"/>
  <c r="BO185"/>
  <c r="BN185"/>
  <c r="BM185"/>
  <c r="BL185"/>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L182"/>
  <c r="BK182"/>
  <c r="BJ182"/>
  <c r="BI182"/>
  <c r="BH182"/>
  <c r="BG182"/>
  <c r="BF182"/>
  <c r="BE182"/>
  <c r="BD182"/>
  <c r="BC182"/>
  <c r="BB182"/>
  <c r="BA182" s="1"/>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BA180" s="1"/>
  <c r="AX180"/>
  <c r="AW180"/>
  <c r="AV180"/>
  <c r="AC180"/>
  <c r="H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c r="BK174"/>
  <c r="BJ174"/>
  <c r="BI174"/>
  <c r="BH174"/>
  <c r="BG174"/>
  <c r="BF174"/>
  <c r="BE174"/>
  <c r="BD174"/>
  <c r="BC174"/>
  <c r="BB174"/>
  <c r="BA174" s="1"/>
  <c r="AX174"/>
  <c r="AW174"/>
  <c r="AV174"/>
  <c r="AC174"/>
  <c r="H174"/>
  <c r="G174" s="1"/>
  <c r="BT173"/>
  <c r="BS173"/>
  <c r="BR173"/>
  <c r="BQ173"/>
  <c r="BP173"/>
  <c r="BO173"/>
  <c r="BN173"/>
  <c r="BM173"/>
  <c r="BL173" s="1"/>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BA172" s="1"/>
  <c r="AX172"/>
  <c r="AW172"/>
  <c r="AV172"/>
  <c r="AC172"/>
  <c r="H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L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Z157" s="1"/>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AX152"/>
  <c r="AW152"/>
  <c r="AV152"/>
  <c r="AC152"/>
  <c r="H152"/>
  <c r="G152" s="1"/>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L150"/>
  <c r="BK150"/>
  <c r="BJ150"/>
  <c r="BI150"/>
  <c r="BH150"/>
  <c r="BG150"/>
  <c r="BF150"/>
  <c r="BE150"/>
  <c r="BD150"/>
  <c r="BC150"/>
  <c r="BB150"/>
  <c r="BA150" s="1"/>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s="1"/>
  <c r="BK146"/>
  <c r="BJ146"/>
  <c r="BI146"/>
  <c r="BH146"/>
  <c r="BG146"/>
  <c r="BF146"/>
  <c r="BE146"/>
  <c r="BD146"/>
  <c r="BC146"/>
  <c r="BB146"/>
  <c r="BA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s="1"/>
  <c r="BK138"/>
  <c r="BJ138"/>
  <c r="BI138"/>
  <c r="BH138"/>
  <c r="BG138"/>
  <c r="BF138"/>
  <c r="BE138"/>
  <c r="BD138"/>
  <c r="BC138"/>
  <c r="BB138"/>
  <c r="BA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s="1"/>
  <c r="BT133"/>
  <c r="BS133"/>
  <c r="BR133"/>
  <c r="BQ133"/>
  <c r="BP133"/>
  <c r="BO133"/>
  <c r="BN133"/>
  <c r="BM133"/>
  <c r="BL133" s="1"/>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G124" s="1"/>
  <c r="BT123"/>
  <c r="BS123"/>
  <c r="BR123"/>
  <c r="BQ123"/>
  <c r="BP123"/>
  <c r="BO123"/>
  <c r="BN123"/>
  <c r="BM123"/>
  <c r="BK123"/>
  <c r="BJ123"/>
  <c r="BI123"/>
  <c r="BH123"/>
  <c r="BG123"/>
  <c r="BF123"/>
  <c r="BE123"/>
  <c r="BD123"/>
  <c r="BC123"/>
  <c r="BB123"/>
  <c r="AX123"/>
  <c r="AW123"/>
  <c r="AV123"/>
  <c r="AC123"/>
  <c r="H123"/>
  <c r="BT122"/>
  <c r="BS122"/>
  <c r="BR122"/>
  <c r="BQ122"/>
  <c r="BP122"/>
  <c r="BO122"/>
  <c r="BN122"/>
  <c r="BM122"/>
  <c r="BL122"/>
  <c r="BK122"/>
  <c r="BJ122"/>
  <c r="BI122"/>
  <c r="BH122"/>
  <c r="BG122"/>
  <c r="BF122"/>
  <c r="BE122"/>
  <c r="BD122"/>
  <c r="BC122"/>
  <c r="BB122"/>
  <c r="BA122" s="1"/>
  <c r="AZ122" s="1"/>
  <c r="AX122"/>
  <c r="AW122"/>
  <c r="AV122"/>
  <c r="AC122"/>
  <c r="H122"/>
  <c r="BT121"/>
  <c r="BS121"/>
  <c r="BR121"/>
  <c r="BQ121"/>
  <c r="BP121"/>
  <c r="BO121"/>
  <c r="BN121"/>
  <c r="BM121"/>
  <c r="BK121"/>
  <c r="BJ121"/>
  <c r="BI121"/>
  <c r="BH121"/>
  <c r="BG121"/>
  <c r="BF121"/>
  <c r="BE121"/>
  <c r="BD121"/>
  <c r="BC121"/>
  <c r="BB121"/>
  <c r="BA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L119" s="1"/>
  <c r="BK119"/>
  <c r="BJ119"/>
  <c r="BI119"/>
  <c r="BH119"/>
  <c r="BG119"/>
  <c r="BF119"/>
  <c r="BE119"/>
  <c r="BD119"/>
  <c r="BC119"/>
  <c r="BB119"/>
  <c r="AX119"/>
  <c r="AW119"/>
  <c r="AV119"/>
  <c r="AC119"/>
  <c r="H119"/>
  <c r="G119"/>
  <c r="BT118"/>
  <c r="BS118"/>
  <c r="BR118"/>
  <c r="BQ118"/>
  <c r="BP118"/>
  <c r="BO118"/>
  <c r="BN118"/>
  <c r="BM118"/>
  <c r="BK118"/>
  <c r="BJ118"/>
  <c r="BI118"/>
  <c r="BH118"/>
  <c r="BG118"/>
  <c r="BF118"/>
  <c r="BE118"/>
  <c r="BD118"/>
  <c r="BC118"/>
  <c r="BB118"/>
  <c r="AX118"/>
  <c r="AW118"/>
  <c r="AV118"/>
  <c r="AC118"/>
  <c r="H118"/>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s="1"/>
  <c r="BK114"/>
  <c r="BJ114"/>
  <c r="BI114"/>
  <c r="BH114"/>
  <c r="BG114"/>
  <c r="BF114"/>
  <c r="BE114"/>
  <c r="BD114"/>
  <c r="BC114"/>
  <c r="BB114"/>
  <c r="BA114" s="1"/>
  <c r="AX114"/>
  <c r="AW114"/>
  <c r="AV114"/>
  <c r="AC114"/>
  <c r="H114"/>
  <c r="BT113"/>
  <c r="BS113"/>
  <c r="BR113"/>
  <c r="BQ113"/>
  <c r="BP113"/>
  <c r="BO113"/>
  <c r="BN113"/>
  <c r="BM113"/>
  <c r="BK113"/>
  <c r="BJ113"/>
  <c r="BI113"/>
  <c r="BH113"/>
  <c r="BG113"/>
  <c r="BF113"/>
  <c r="BE113"/>
  <c r="BD113"/>
  <c r="BC113"/>
  <c r="BB113"/>
  <c r="BA113"/>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BT300"/>
  <c r="BS300"/>
  <c r="BR300"/>
  <c r="BQ300"/>
  <c r="BP300"/>
  <c r="BO300"/>
  <c r="BN300"/>
  <c r="BM300"/>
  <c r="BL300"/>
  <c r="BK300"/>
  <c r="BJ300"/>
  <c r="BI300"/>
  <c r="BH300"/>
  <c r="BG300"/>
  <c r="BF300"/>
  <c r="BE300"/>
  <c r="BD300"/>
  <c r="BC300"/>
  <c r="BB300"/>
  <c r="BA300" s="1"/>
  <c r="AZ300" s="1"/>
  <c r="AX300"/>
  <c r="AW300"/>
  <c r="AV300"/>
  <c r="AC300"/>
  <c r="H300"/>
  <c r="BT299"/>
  <c r="BS299"/>
  <c r="BR299"/>
  <c r="BQ299"/>
  <c r="BP299"/>
  <c r="BO299"/>
  <c r="BN299"/>
  <c r="BM299"/>
  <c r="BL299"/>
  <c r="BK299"/>
  <c r="BJ299"/>
  <c r="BI299"/>
  <c r="BH299"/>
  <c r="BG299"/>
  <c r="BF299"/>
  <c r="BE299"/>
  <c r="BD299"/>
  <c r="BC299"/>
  <c r="BB299"/>
  <c r="BA299" s="1"/>
  <c r="AX299"/>
  <c r="AW299"/>
  <c r="AV299"/>
  <c r="AC299"/>
  <c r="H299"/>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BT286"/>
  <c r="BS286"/>
  <c r="BR286"/>
  <c r="BQ286"/>
  <c r="BP286"/>
  <c r="BO286"/>
  <c r="BN286"/>
  <c r="BM286"/>
  <c r="BL286"/>
  <c r="BK286"/>
  <c r="BJ286"/>
  <c r="BI286"/>
  <c r="BH286"/>
  <c r="BG286"/>
  <c r="BF286"/>
  <c r="BE286"/>
  <c r="BD286"/>
  <c r="BC286"/>
  <c r="BB286"/>
  <c r="BA286" s="1"/>
  <c r="AZ286" s="1"/>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BT284"/>
  <c r="BS284"/>
  <c r="BR284"/>
  <c r="BQ284"/>
  <c r="BP284"/>
  <c r="BO284"/>
  <c r="BN284"/>
  <c r="BM284"/>
  <c r="BL284"/>
  <c r="BK284"/>
  <c r="BJ284"/>
  <c r="BI284"/>
  <c r="BH284"/>
  <c r="BG284"/>
  <c r="BF284"/>
  <c r="BE284"/>
  <c r="BD284"/>
  <c r="BC284"/>
  <c r="BB284"/>
  <c r="BA284" s="1"/>
  <c r="AZ284" s="1"/>
  <c r="AX284"/>
  <c r="AW284"/>
  <c r="AV284"/>
  <c r="AC284"/>
  <c r="H284"/>
  <c r="BT283"/>
  <c r="BS283"/>
  <c r="BR283"/>
  <c r="BQ283"/>
  <c r="BP283"/>
  <c r="BO283"/>
  <c r="BN283"/>
  <c r="BM283"/>
  <c r="BL283"/>
  <c r="BK283"/>
  <c r="BJ283"/>
  <c r="BI283"/>
  <c r="BH283"/>
  <c r="BG283"/>
  <c r="BF283"/>
  <c r="BE283"/>
  <c r="BD283"/>
  <c r="BC283"/>
  <c r="BB283"/>
  <c r="BA283" s="1"/>
  <c r="AX283"/>
  <c r="AW283"/>
  <c r="AV283"/>
  <c r="AC283"/>
  <c r="H283"/>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BT280"/>
  <c r="BS280"/>
  <c r="BR280"/>
  <c r="BQ280"/>
  <c r="BP280"/>
  <c r="BO280"/>
  <c r="BN280"/>
  <c r="BM280"/>
  <c r="BL280"/>
  <c r="BK280"/>
  <c r="BJ280"/>
  <c r="BI280"/>
  <c r="BH280"/>
  <c r="BG280"/>
  <c r="BF280"/>
  <c r="BE280"/>
  <c r="BD280"/>
  <c r="BC280"/>
  <c r="BB280"/>
  <c r="BA280" s="1"/>
  <c r="AX280"/>
  <c r="AW280"/>
  <c r="AV280"/>
  <c r="AC280"/>
  <c r="H280"/>
  <c r="BT279"/>
  <c r="BS279"/>
  <c r="BR279"/>
  <c r="BQ279"/>
  <c r="BP279"/>
  <c r="BO279"/>
  <c r="BN279"/>
  <c r="BM279"/>
  <c r="BL279"/>
  <c r="BK279"/>
  <c r="BJ279"/>
  <c r="BI279"/>
  <c r="BH279"/>
  <c r="BG279"/>
  <c r="BF279"/>
  <c r="BE279"/>
  <c r="BD279"/>
  <c r="BC279"/>
  <c r="BB279"/>
  <c r="BA279" s="1"/>
  <c r="AX279"/>
  <c r="AW279"/>
  <c r="AV279"/>
  <c r="AC279"/>
  <c r="H279"/>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BT273"/>
  <c r="BS273"/>
  <c r="BR273"/>
  <c r="BQ273"/>
  <c r="BP273"/>
  <c r="BO273"/>
  <c r="BN273"/>
  <c r="BM273"/>
  <c r="BL273"/>
  <c r="BK273"/>
  <c r="BJ273"/>
  <c r="BI273"/>
  <c r="BH273"/>
  <c r="BG273"/>
  <c r="BF273"/>
  <c r="BE273"/>
  <c r="BD273"/>
  <c r="BC273"/>
  <c r="BB273"/>
  <c r="BA273" s="1"/>
  <c r="AX273"/>
  <c r="AW273"/>
  <c r="AV273"/>
  <c r="AC273"/>
  <c r="H273"/>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BT269"/>
  <c r="BS269"/>
  <c r="BR269"/>
  <c r="BQ269"/>
  <c r="BP269"/>
  <c r="BO269"/>
  <c r="BN269"/>
  <c r="BM269"/>
  <c r="BL269"/>
  <c r="BK269"/>
  <c r="BJ269"/>
  <c r="BI269"/>
  <c r="BH269"/>
  <c r="BG269"/>
  <c r="BF269"/>
  <c r="BE269"/>
  <c r="BD269"/>
  <c r="BC269"/>
  <c r="BB269"/>
  <c r="BA269" s="1"/>
  <c r="AX269"/>
  <c r="AW269"/>
  <c r="AV269"/>
  <c r="AC269"/>
  <c r="H269"/>
  <c r="BT268"/>
  <c r="BS268"/>
  <c r="BR268"/>
  <c r="BQ268"/>
  <c r="BP268"/>
  <c r="BO268"/>
  <c r="BN268"/>
  <c r="BM268"/>
  <c r="BL268"/>
  <c r="BK268"/>
  <c r="BJ268"/>
  <c r="BI268"/>
  <c r="BH268"/>
  <c r="BG268"/>
  <c r="BF268"/>
  <c r="BE268"/>
  <c r="BD268"/>
  <c r="BC268"/>
  <c r="BB268"/>
  <c r="BA268" s="1"/>
  <c r="AX268"/>
  <c r="AW268"/>
  <c r="AV268"/>
  <c r="AC268"/>
  <c r="H268"/>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BT253"/>
  <c r="BS253"/>
  <c r="BR253"/>
  <c r="BQ253"/>
  <c r="BP253"/>
  <c r="BO253"/>
  <c r="BN253"/>
  <c r="BM253"/>
  <c r="BL253"/>
  <c r="BK253"/>
  <c r="BJ253"/>
  <c r="BI253"/>
  <c r="BH253"/>
  <c r="BG253"/>
  <c r="BF253"/>
  <c r="BE253"/>
  <c r="BD253"/>
  <c r="BC253"/>
  <c r="BB253"/>
  <c r="BA253" s="1"/>
  <c r="AX253"/>
  <c r="AW253"/>
  <c r="AV253"/>
  <c r="AC253"/>
  <c r="H253"/>
  <c r="BT252"/>
  <c r="BS252"/>
  <c r="BR252"/>
  <c r="BQ252"/>
  <c r="BP252"/>
  <c r="BO252"/>
  <c r="BN252"/>
  <c r="BM252"/>
  <c r="BL252"/>
  <c r="BK252"/>
  <c r="BJ252"/>
  <c r="BI252"/>
  <c r="BH252"/>
  <c r="BG252"/>
  <c r="BF252"/>
  <c r="BE252"/>
  <c r="BD252"/>
  <c r="BC252"/>
  <c r="BB252"/>
  <c r="BA252" s="1"/>
  <c r="AZ252" s="1"/>
  <c r="AX252"/>
  <c r="AW252"/>
  <c r="AV252"/>
  <c r="AC252"/>
  <c r="H252"/>
  <c r="G252" s="1"/>
  <c r="BT251"/>
  <c r="BS251"/>
  <c r="BR251"/>
  <c r="BQ251"/>
  <c r="BP251"/>
  <c r="BO251"/>
  <c r="BN251"/>
  <c r="BM251"/>
  <c r="BL251"/>
  <c r="BK251"/>
  <c r="BJ251"/>
  <c r="BI251"/>
  <c r="BH251"/>
  <c r="BG251"/>
  <c r="BF251"/>
  <c r="BE251"/>
  <c r="BD251"/>
  <c r="BC251"/>
  <c r="BB251"/>
  <c r="BA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s="1"/>
  <c r="BT249"/>
  <c r="BS249"/>
  <c r="BR249"/>
  <c r="BQ249"/>
  <c r="BP249"/>
  <c r="BO249"/>
  <c r="BN249"/>
  <c r="BM249"/>
  <c r="BL249" s="1"/>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Z244" s="1"/>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s="1"/>
  <c r="BK242"/>
  <c r="BJ242"/>
  <c r="BI242"/>
  <c r="BH242"/>
  <c r="BG242"/>
  <c r="BF242"/>
  <c r="BE242"/>
  <c r="BD242"/>
  <c r="BC242"/>
  <c r="BB242"/>
  <c r="AX242"/>
  <c r="AW242"/>
  <c r="AV242"/>
  <c r="AC242"/>
  <c r="H242"/>
  <c r="G242" s="1"/>
  <c r="BT241"/>
  <c r="BS241"/>
  <c r="BR241"/>
  <c r="BQ241"/>
  <c r="BP241"/>
  <c r="BO241"/>
  <c r="BN241"/>
  <c r="BM241"/>
  <c r="BL241" s="1"/>
  <c r="BK241"/>
  <c r="BJ241"/>
  <c r="BI241"/>
  <c r="BH241"/>
  <c r="BG241"/>
  <c r="BF241"/>
  <c r="BE241"/>
  <c r="BD241"/>
  <c r="BC241"/>
  <c r="BB241"/>
  <c r="AX241"/>
  <c r="AW241"/>
  <c r="AV241"/>
  <c r="AC241"/>
  <c r="H241"/>
  <c r="G241" s="1"/>
  <c r="BT240"/>
  <c r="BS240"/>
  <c r="BR240"/>
  <c r="BQ240"/>
  <c r="BP240"/>
  <c r="BO240"/>
  <c r="BN240"/>
  <c r="BM240"/>
  <c r="BL240" s="1"/>
  <c r="BK240"/>
  <c r="BJ240"/>
  <c r="BI240"/>
  <c r="BH240"/>
  <c r="BG240"/>
  <c r="BF240"/>
  <c r="BE240"/>
  <c r="BD240"/>
  <c r="BC240"/>
  <c r="BB240"/>
  <c r="AX240"/>
  <c r="AW240"/>
  <c r="AV240"/>
  <c r="AC240"/>
  <c r="H240"/>
  <c r="G240" s="1"/>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s="1"/>
  <c r="BT237"/>
  <c r="BS237"/>
  <c r="BR237"/>
  <c r="BQ237"/>
  <c r="BP237"/>
  <c r="BO237"/>
  <c r="BN237"/>
  <c r="BM237"/>
  <c r="BL237" s="1"/>
  <c r="BK237"/>
  <c r="BJ237"/>
  <c r="BI237"/>
  <c r="BH237"/>
  <c r="BG237"/>
  <c r="BF237"/>
  <c r="BE237"/>
  <c r="BD237"/>
  <c r="BC237"/>
  <c r="BB237"/>
  <c r="BA237" s="1"/>
  <c r="AZ237" s="1"/>
  <c r="AX237"/>
  <c r="AW237"/>
  <c r="AV237"/>
  <c r="AC237"/>
  <c r="H237"/>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BT233"/>
  <c r="BS233"/>
  <c r="BR233"/>
  <c r="BQ233"/>
  <c r="BP233"/>
  <c r="BO233"/>
  <c r="BN233"/>
  <c r="BM233"/>
  <c r="BL233"/>
  <c r="BK233"/>
  <c r="BJ233"/>
  <c r="BI233"/>
  <c r="BH233"/>
  <c r="BG233"/>
  <c r="BF233"/>
  <c r="BE233"/>
  <c r="BD233"/>
  <c r="BC233"/>
  <c r="BB233"/>
  <c r="BA233" s="1"/>
  <c r="AZ233" s="1"/>
  <c r="AX233"/>
  <c r="AW233"/>
  <c r="AV233"/>
  <c r="AC233"/>
  <c r="H233"/>
  <c r="BT232"/>
  <c r="BS232"/>
  <c r="BR232"/>
  <c r="BQ232"/>
  <c r="BP232"/>
  <c r="BO232"/>
  <c r="BN232"/>
  <c r="BM232"/>
  <c r="BL232"/>
  <c r="BK232"/>
  <c r="BJ232"/>
  <c r="BI232"/>
  <c r="BH232"/>
  <c r="BG232"/>
  <c r="BF232"/>
  <c r="BE232"/>
  <c r="BD232"/>
  <c r="BC232"/>
  <c r="BB232"/>
  <c r="BA232" s="1"/>
  <c r="AZ232" s="1"/>
  <c r="AX232"/>
  <c r="AW232"/>
  <c r="AV232"/>
  <c r="AC232"/>
  <c r="H232"/>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Z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Z223" s="1"/>
  <c r="AX223"/>
  <c r="AW223"/>
  <c r="AV223"/>
  <c r="AC223"/>
  <c r="H223"/>
  <c r="BT222"/>
  <c r="BS222"/>
  <c r="BR222"/>
  <c r="BQ222"/>
  <c r="BP222"/>
  <c r="BO222"/>
  <c r="BN222"/>
  <c r="BM222"/>
  <c r="BL222"/>
  <c r="BK222"/>
  <c r="BJ222"/>
  <c r="BI222"/>
  <c r="BH222"/>
  <c r="BG222"/>
  <c r="BF222"/>
  <c r="BE222"/>
  <c r="BD222"/>
  <c r="BC222"/>
  <c r="BB222"/>
  <c r="BA222" s="1"/>
  <c r="AZ222" s="1"/>
  <c r="AX222"/>
  <c r="AW222"/>
  <c r="AV222"/>
  <c r="AC222"/>
  <c r="H222"/>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Z367" s="1"/>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BA492"/>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Z490" s="1"/>
  <c r="AX490"/>
  <c r="AW490"/>
  <c r="AV490"/>
  <c r="AC490"/>
  <c r="H490"/>
  <c r="G490"/>
  <c r="BT489"/>
  <c r="BS489"/>
  <c r="BR489"/>
  <c r="BQ489"/>
  <c r="BP489"/>
  <c r="BO489"/>
  <c r="BN489"/>
  <c r="BM489"/>
  <c r="BL489" s="1"/>
  <c r="BK489"/>
  <c r="BJ489"/>
  <c r="BI489"/>
  <c r="BH489"/>
  <c r="BG489"/>
  <c r="BF489"/>
  <c r="BE489"/>
  <c r="BD489"/>
  <c r="BC489"/>
  <c r="BB489"/>
  <c r="BA489"/>
  <c r="AX489"/>
  <c r="AW489"/>
  <c r="AV489"/>
  <c r="AC489"/>
  <c r="H489"/>
  <c r="G489"/>
  <c r="BT488"/>
  <c r="BS488"/>
  <c r="BR488"/>
  <c r="BQ488"/>
  <c r="BP488"/>
  <c r="BO488"/>
  <c r="BN488"/>
  <c r="BM488"/>
  <c r="BL488" s="1"/>
  <c r="BK488"/>
  <c r="BJ488"/>
  <c r="BI488"/>
  <c r="BH488"/>
  <c r="BG488"/>
  <c r="BF488"/>
  <c r="BE488"/>
  <c r="BD488"/>
  <c r="BC488"/>
  <c r="BB488"/>
  <c r="BA488"/>
  <c r="AX488"/>
  <c r="AW488"/>
  <c r="AV488"/>
  <c r="AC488"/>
  <c r="H488"/>
  <c r="G488" s="1"/>
  <c r="BT487"/>
  <c r="BS487"/>
  <c r="BR487"/>
  <c r="BQ487"/>
  <c r="BP487"/>
  <c r="BO487"/>
  <c r="BN487"/>
  <c r="BM487"/>
  <c r="BL487"/>
  <c r="BK487"/>
  <c r="BJ487"/>
  <c r="BI487"/>
  <c r="BH487"/>
  <c r="BG487"/>
  <c r="BF487"/>
  <c r="BE487"/>
  <c r="BD487"/>
  <c r="BC487"/>
  <c r="BB487"/>
  <c r="BA487" s="1"/>
  <c r="AX487"/>
  <c r="AW487"/>
  <c r="AV487"/>
  <c r="AC487"/>
  <c r="H487"/>
  <c r="G487" s="1"/>
  <c r="BT486"/>
  <c r="BS486"/>
  <c r="BR486"/>
  <c r="BQ486"/>
  <c r="BP486"/>
  <c r="BO486"/>
  <c r="BN486"/>
  <c r="BM486"/>
  <c r="BL486"/>
  <c r="BK486"/>
  <c r="BJ486"/>
  <c r="BI486"/>
  <c r="BH486"/>
  <c r="BG486"/>
  <c r="BF486"/>
  <c r="BE486"/>
  <c r="BD486"/>
  <c r="BC486"/>
  <c r="BB486"/>
  <c r="BA486" s="1"/>
  <c r="AZ486" s="1"/>
  <c r="AX486"/>
  <c r="AW486"/>
  <c r="AV486"/>
  <c r="AC486"/>
  <c r="H486"/>
  <c r="G486"/>
  <c r="BT485"/>
  <c r="BS485"/>
  <c r="BR485"/>
  <c r="BQ485"/>
  <c r="BP485"/>
  <c r="BO485"/>
  <c r="BN485"/>
  <c r="BM485"/>
  <c r="BL485" s="1"/>
  <c r="BK485"/>
  <c r="BJ485"/>
  <c r="BI485"/>
  <c r="BH485"/>
  <c r="BG485"/>
  <c r="BF485"/>
  <c r="BE485"/>
  <c r="BD485"/>
  <c r="BC485"/>
  <c r="BB485"/>
  <c r="BA485"/>
  <c r="AX485"/>
  <c r="AW485"/>
  <c r="AV485"/>
  <c r="AC485"/>
  <c r="H485"/>
  <c r="G485"/>
  <c r="BT484"/>
  <c r="BS484"/>
  <c r="BR484"/>
  <c r="BQ484"/>
  <c r="BP484"/>
  <c r="BO484"/>
  <c r="BN484"/>
  <c r="BM484"/>
  <c r="BL484" s="1"/>
  <c r="BK484"/>
  <c r="BJ484"/>
  <c r="BI484"/>
  <c r="BH484"/>
  <c r="BG484"/>
  <c r="BF484"/>
  <c r="BE484"/>
  <c r="BD484"/>
  <c r="BC484"/>
  <c r="BB484"/>
  <c r="BA484"/>
  <c r="AX484"/>
  <c r="AW484"/>
  <c r="AV484"/>
  <c r="AC484"/>
  <c r="H484"/>
  <c r="G484" s="1"/>
  <c r="BT483"/>
  <c r="BS483"/>
  <c r="BR483"/>
  <c r="BQ483"/>
  <c r="BP483"/>
  <c r="BO483"/>
  <c r="BN483"/>
  <c r="BM483"/>
  <c r="BL483"/>
  <c r="BK483"/>
  <c r="BJ483"/>
  <c r="BI483"/>
  <c r="BH483"/>
  <c r="BG483"/>
  <c r="BF483"/>
  <c r="BE483"/>
  <c r="BD483"/>
  <c r="BC483"/>
  <c r="BB483"/>
  <c r="BA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Z473" s="1"/>
  <c r="AX473"/>
  <c r="AW473"/>
  <c r="AV473"/>
  <c r="AC473"/>
  <c r="H473"/>
  <c r="G473" s="1"/>
  <c r="BT472"/>
  <c r="BS472"/>
  <c r="BR472"/>
  <c r="BQ472"/>
  <c r="BP472"/>
  <c r="BO472"/>
  <c r="BN472"/>
  <c r="BM472"/>
  <c r="BL472"/>
  <c r="BK472"/>
  <c r="BJ472"/>
  <c r="BI472"/>
  <c r="BH472"/>
  <c r="BG472"/>
  <c r="BF472"/>
  <c r="BE472"/>
  <c r="BD472"/>
  <c r="BC472"/>
  <c r="BB472"/>
  <c r="BA472" s="1"/>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Z457" s="1"/>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s="1"/>
  <c r="BT448"/>
  <c r="BS448"/>
  <c r="BR448"/>
  <c r="BQ448"/>
  <c r="BP448"/>
  <c r="BO448"/>
  <c r="BN448"/>
  <c r="BM448"/>
  <c r="BL448"/>
  <c r="BK448"/>
  <c r="BJ448"/>
  <c r="BI448"/>
  <c r="BH448"/>
  <c r="BG448"/>
  <c r="BF448"/>
  <c r="BE448"/>
  <c r="BD448"/>
  <c r="BC448"/>
  <c r="BB448"/>
  <c r="BA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Z441" s="1"/>
  <c r="AX441"/>
  <c r="AW441"/>
  <c r="AV441"/>
  <c r="AC441"/>
  <c r="H441"/>
  <c r="G441" s="1"/>
  <c r="BT440"/>
  <c r="BS440"/>
  <c r="BR440"/>
  <c r="BQ440"/>
  <c r="BP440"/>
  <c r="BO440"/>
  <c r="BN440"/>
  <c r="BM440"/>
  <c r="BL440"/>
  <c r="BK440"/>
  <c r="BJ440"/>
  <c r="BI440"/>
  <c r="BH440"/>
  <c r="BG440"/>
  <c r="BF440"/>
  <c r="BE440"/>
  <c r="BD440"/>
  <c r="BC440"/>
  <c r="BB440"/>
  <c r="BA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Z437" s="1"/>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s="1"/>
  <c r="BT406"/>
  <c r="BS406"/>
  <c r="BR406"/>
  <c r="BQ406"/>
  <c r="BP406"/>
  <c r="BO406"/>
  <c r="BN406"/>
  <c r="BM406"/>
  <c r="BL406"/>
  <c r="BK406"/>
  <c r="BJ406"/>
  <c r="BI406"/>
  <c r="BH406"/>
  <c r="BG406"/>
  <c r="BF406"/>
  <c r="BE406"/>
  <c r="BD406"/>
  <c r="BC406"/>
  <c r="BB406"/>
  <c r="BA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Z399" s="1"/>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L15" s="1"/>
  <c r="BM16"/>
  <c r="BM17"/>
  <c r="BO13"/>
  <c r="BO14"/>
  <c r="BO15"/>
  <c r="BO16"/>
  <c r="BO17"/>
  <c r="BN13"/>
  <c r="BN14"/>
  <c r="BN15"/>
  <c r="BN16"/>
  <c r="BN17"/>
  <c r="BP13"/>
  <c r="BP14"/>
  <c r="BP15"/>
  <c r="BP16"/>
  <c r="BP17"/>
  <c r="E20" i="6"/>
  <c r="E21"/>
  <c r="K8" i="1" s="1"/>
  <c r="M8" s="1"/>
  <c r="F23" i="15"/>
  <c r="D24" s="1"/>
  <c r="O8" i="1"/>
  <c r="P8"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F54" s="1"/>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A550" s="1"/>
  <c r="BG550"/>
  <c r="BH550"/>
  <c r="BI550"/>
  <c r="BJ550"/>
  <c r="BK550"/>
  <c r="BM550"/>
  <c r="BL550" s="1"/>
  <c r="BN550"/>
  <c r="BO550"/>
  <c r="BP550"/>
  <c r="BQ550"/>
  <c r="BR550"/>
  <c r="BS550"/>
  <c r="BT550"/>
  <c r="H551"/>
  <c r="G551"/>
  <c r="AC551"/>
  <c r="BB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H36" s="1"/>
  <c r="AB36" s="1"/>
  <c r="J30" i="36"/>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AC41" s="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M107"/>
  <c r="L107"/>
  <c r="K107"/>
  <c r="J107"/>
  <c r="H107"/>
  <c r="G107"/>
  <c r="F107"/>
  <c r="E107"/>
  <c r="D107"/>
  <c r="C107"/>
  <c r="B105"/>
  <c r="J33" s="1"/>
  <c r="W33" s="1"/>
  <c r="B103"/>
  <c r="J32" s="1"/>
  <c r="AC32" s="1"/>
  <c r="B101"/>
  <c r="J31" s="1"/>
  <c r="AC31" s="1"/>
  <c r="D100"/>
  <c r="E100" s="1"/>
  <c r="F100" s="1"/>
  <c r="G100" s="1"/>
  <c r="H100" s="1"/>
  <c r="I100" s="1"/>
  <c r="J100" s="1"/>
  <c r="K100" s="1"/>
  <c r="L100" s="1"/>
  <c r="M100" s="1"/>
  <c r="D98"/>
  <c r="J28"/>
  <c r="AC28" s="1"/>
  <c r="D96"/>
  <c r="E96"/>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c r="H40"/>
  <c r="AB40" s="1"/>
  <c r="Q39"/>
  <c r="Z39" s="1"/>
  <c r="J39"/>
  <c r="AC39" s="1"/>
  <c r="H39"/>
  <c r="U39" s="1"/>
  <c r="F39"/>
  <c r="AA39" s="1"/>
  <c r="Q38"/>
  <c r="Z38"/>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B129"/>
  <c r="B127"/>
  <c r="J43" s="1"/>
  <c r="D126"/>
  <c r="E126" s="1"/>
  <c r="F126" s="1"/>
  <c r="G126" s="1"/>
  <c r="H126" s="1"/>
  <c r="I126" s="1"/>
  <c r="J126" s="1"/>
  <c r="K126" s="1"/>
  <c r="L126" s="1"/>
  <c r="M126" s="1"/>
  <c r="D122"/>
  <c r="E122" s="1"/>
  <c r="F122" s="1"/>
  <c r="G122" s="1"/>
  <c r="H122" s="1"/>
  <c r="I122" s="1"/>
  <c r="J122" s="1"/>
  <c r="K122" s="1"/>
  <c r="L122" s="1"/>
  <c r="M122" s="1"/>
  <c r="H35"/>
  <c r="AB35" s="1"/>
  <c r="B104"/>
  <c r="D97"/>
  <c r="D95"/>
  <c r="E95" s="1"/>
  <c r="F95" s="1"/>
  <c r="D93"/>
  <c r="E93" s="1"/>
  <c r="F93" s="1"/>
  <c r="G93" s="1"/>
  <c r="D91"/>
  <c r="E91" s="1"/>
  <c r="F91" s="1"/>
  <c r="G91" s="1"/>
  <c r="D89"/>
  <c r="E89" s="1"/>
  <c r="B86"/>
  <c r="B84"/>
  <c r="B82"/>
  <c r="M79"/>
  <c r="L79"/>
  <c r="K79"/>
  <c r="J79"/>
  <c r="I79"/>
  <c r="H79"/>
  <c r="G79"/>
  <c r="F79"/>
  <c r="E79"/>
  <c r="D79"/>
  <c r="C79"/>
  <c r="P48"/>
  <c r="P47"/>
  <c r="V46"/>
  <c r="T46"/>
  <c r="R46"/>
  <c r="P46"/>
  <c r="J40"/>
  <c r="AC40" s="1"/>
  <c r="F40"/>
  <c r="AA40" s="1"/>
  <c r="Q35"/>
  <c r="Z35" s="1"/>
  <c r="Q34"/>
  <c r="Z34" s="1"/>
  <c r="Q32"/>
  <c r="Z32" s="1"/>
  <c r="Q31"/>
  <c r="Z31" s="1"/>
  <c r="Q27"/>
  <c r="Z27" s="1"/>
  <c r="Q25"/>
  <c r="Z25" s="1"/>
  <c r="Q23"/>
  <c r="Z23" s="1"/>
  <c r="Q21"/>
  <c r="Z21"/>
  <c r="Q19"/>
  <c r="Z19"/>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U33" s="1"/>
  <c r="B91"/>
  <c r="F32" s="1"/>
  <c r="AA32" s="1"/>
  <c r="B95"/>
  <c r="H34" s="1"/>
  <c r="D83"/>
  <c r="E83" s="1"/>
  <c r="D78"/>
  <c r="E78" s="1"/>
  <c r="F78" s="1"/>
  <c r="G78" s="1"/>
  <c r="H78" s="1"/>
  <c r="I78" s="1"/>
  <c r="J78" s="1"/>
  <c r="K78" s="1"/>
  <c r="L78" s="1"/>
  <c r="M78" s="1"/>
  <c r="B75"/>
  <c r="B73"/>
  <c r="J24"/>
  <c r="AC24" s="1"/>
  <c r="B71"/>
  <c r="D70"/>
  <c r="H22"/>
  <c r="AB22" s="1"/>
  <c r="D68"/>
  <c r="E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Q35"/>
  <c r="Z35"/>
  <c r="Q34"/>
  <c r="Z34"/>
  <c r="J34"/>
  <c r="AC34" s="1"/>
  <c r="H34"/>
  <c r="AB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AC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P49"/>
  <c r="P48"/>
  <c r="V47"/>
  <c r="T47"/>
  <c r="R47"/>
  <c r="P47"/>
  <c r="Q46"/>
  <c r="Z46" s="1"/>
  <c r="Q45"/>
  <c r="Z45" s="1"/>
  <c r="Q44"/>
  <c r="Z44" s="1"/>
  <c r="Q43"/>
  <c r="Z43" s="1"/>
  <c r="Q42"/>
  <c r="Z42" s="1"/>
  <c r="J42"/>
  <c r="AC42" s="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J45" i="39"/>
  <c r="W45" s="1"/>
  <c r="F36"/>
  <c r="S36" s="1"/>
  <c r="J35"/>
  <c r="AC35" s="1"/>
  <c r="F35"/>
  <c r="AA35" s="1"/>
  <c r="W40"/>
  <c r="W25" i="37"/>
  <c r="U30"/>
  <c r="E103"/>
  <c r="F103" s="1"/>
  <c r="F39"/>
  <c r="S39" s="1"/>
  <c r="F29" i="36"/>
  <c r="AA29" s="1"/>
  <c r="W8"/>
  <c r="F16"/>
  <c r="AA16" s="1"/>
  <c r="U9"/>
  <c r="W28"/>
  <c r="S30"/>
  <c r="S32"/>
  <c r="AA31"/>
  <c r="AC31"/>
  <c r="W31"/>
  <c r="U31"/>
  <c r="H22" i="35"/>
  <c r="AB22" s="1"/>
  <c r="W28"/>
  <c r="S34"/>
  <c r="W34"/>
  <c r="W22"/>
  <c r="S31"/>
  <c r="U34"/>
  <c r="F36" i="34"/>
  <c r="J35"/>
  <c r="W9"/>
  <c r="S34"/>
  <c r="U34"/>
  <c r="H39" i="33"/>
  <c r="AB39" s="1"/>
  <c r="F26"/>
  <c r="AA26" s="1"/>
  <c r="S9"/>
  <c r="U33"/>
  <c r="U35"/>
  <c r="S40"/>
  <c r="W39"/>
  <c r="H39" i="37"/>
  <c r="AB39" s="1"/>
  <c r="S27" i="35"/>
  <c r="F11" i="40"/>
  <c r="AA11" s="1"/>
  <c r="H11"/>
  <c r="AB11" s="1"/>
  <c r="AB39"/>
  <c r="AA9"/>
  <c r="AC9"/>
  <c r="U9"/>
  <c r="S34"/>
  <c r="U38"/>
  <c r="W31"/>
  <c r="U34"/>
  <c r="S39"/>
  <c r="W39"/>
  <c r="U40"/>
  <c r="F42" i="39"/>
  <c r="AA42" s="1"/>
  <c r="H40"/>
  <c r="AB40" s="1"/>
  <c r="S38"/>
  <c r="S34"/>
  <c r="H34"/>
  <c r="U34" s="1"/>
  <c r="E109"/>
  <c r="H31"/>
  <c r="AB31" s="1"/>
  <c r="F31"/>
  <c r="AA31" s="1"/>
  <c r="E101"/>
  <c r="H27" s="1"/>
  <c r="U27" s="1"/>
  <c r="F19"/>
  <c r="AA19" s="1"/>
  <c r="H17"/>
  <c r="AB17" s="1"/>
  <c r="F17"/>
  <c r="AA17" s="1"/>
  <c r="J23" i="40"/>
  <c r="AC23" s="1"/>
  <c r="F21"/>
  <c r="AA21" s="1"/>
  <c r="J21"/>
  <c r="W21"/>
  <c r="H42" i="39"/>
  <c r="AB42" s="1"/>
  <c r="J34"/>
  <c r="AC34" s="1"/>
  <c r="F109"/>
  <c r="G109"/>
  <c r="H109" s="1"/>
  <c r="I109" s="1"/>
  <c r="J109" s="1"/>
  <c r="K109" s="1"/>
  <c r="L109" s="1"/>
  <c r="M109" s="1"/>
  <c r="J31"/>
  <c r="J19"/>
  <c r="AC19" s="1"/>
  <c r="J17"/>
  <c r="J27"/>
  <c r="AC27" s="1"/>
  <c r="F11" i="21"/>
  <c r="S11" s="1"/>
  <c r="S40"/>
  <c r="U34"/>
  <c r="S34"/>
  <c r="C25" i="39"/>
  <c r="C27"/>
  <c r="C21"/>
  <c r="C15"/>
  <c r="H32" i="33"/>
  <c r="AB32" s="1"/>
  <c r="H11" i="21"/>
  <c r="U11" s="1"/>
  <c r="J11"/>
  <c r="W11" s="1"/>
  <c r="H37" i="40"/>
  <c r="U37" s="1"/>
  <c r="H36"/>
  <c r="AB36" s="1"/>
  <c r="F35"/>
  <c r="AA35" s="1"/>
  <c r="H23"/>
  <c r="AB23" s="1"/>
  <c r="H17"/>
  <c r="U17" s="1"/>
  <c r="J15"/>
  <c r="W15" s="1"/>
  <c r="J11"/>
  <c r="W11" s="1"/>
  <c r="AB8" i="39"/>
  <c r="AB12" i="33"/>
  <c r="AC12" i="34"/>
  <c r="AA12"/>
  <c r="AB12" i="35"/>
  <c r="AB12" i="36"/>
  <c r="W32" i="40"/>
  <c r="F37" i="39"/>
  <c r="AA37" s="1"/>
  <c r="U30" i="36"/>
  <c r="J30" i="35"/>
  <c r="W30" s="1"/>
  <c r="H30"/>
  <c r="AB30" s="1"/>
  <c r="F22"/>
  <c r="AA22" s="1"/>
  <c r="H10"/>
  <c r="U10" s="1"/>
  <c r="AC16" i="36"/>
  <c r="AB33"/>
  <c r="F33"/>
  <c r="AA33" s="1"/>
  <c r="W30"/>
  <c r="H16"/>
  <c r="AB16" s="1"/>
  <c r="E85"/>
  <c r="F85" s="1"/>
  <c r="G85" s="1"/>
  <c r="H85" s="1"/>
  <c r="I85" s="1"/>
  <c r="J85" s="1"/>
  <c r="K85" s="1"/>
  <c r="L85" s="1"/>
  <c r="M85" s="1"/>
  <c r="J29"/>
  <c r="AC29" s="1"/>
  <c r="F12"/>
  <c r="F24"/>
  <c r="AA24" s="1"/>
  <c r="S10"/>
  <c r="S8"/>
  <c r="U8" i="35"/>
  <c r="F14"/>
  <c r="AA14" s="1"/>
  <c r="F23"/>
  <c r="AA23" s="1"/>
  <c r="J32"/>
  <c r="AC32" s="1"/>
  <c r="J16"/>
  <c r="AC16" s="1"/>
  <c r="H16"/>
  <c r="U16" s="1"/>
  <c r="F16"/>
  <c r="S16" s="1"/>
  <c r="H14"/>
  <c r="AB14" s="1"/>
  <c r="J29"/>
  <c r="H33"/>
  <c r="AB33" s="1"/>
  <c r="J20"/>
  <c r="W20" s="1"/>
  <c r="F35" i="37"/>
  <c r="S35" s="1"/>
  <c r="E101"/>
  <c r="F101" s="1"/>
  <c r="G101" s="1"/>
  <c r="H101" s="1"/>
  <c r="I101" s="1"/>
  <c r="J101" s="1"/>
  <c r="K101" s="1"/>
  <c r="L101" s="1"/>
  <c r="M101" s="1"/>
  <c r="J34"/>
  <c r="W34" s="1"/>
  <c r="S10"/>
  <c r="AB34"/>
  <c r="J33"/>
  <c r="AC33" s="1"/>
  <c r="F120" i="34"/>
  <c r="G120" s="1"/>
  <c r="H120" s="1"/>
  <c r="I120" s="1"/>
  <c r="J120" s="1"/>
  <c r="K120" s="1"/>
  <c r="L120" s="1"/>
  <c r="M120" s="1"/>
  <c r="U42"/>
  <c r="H40"/>
  <c r="U40" s="1"/>
  <c r="E114"/>
  <c r="H36"/>
  <c r="U36" s="1"/>
  <c r="F37"/>
  <c r="AA37" s="1"/>
  <c r="S35"/>
  <c r="F28"/>
  <c r="AA28" s="1"/>
  <c r="F27"/>
  <c r="AA27" s="1"/>
  <c r="F25"/>
  <c r="S25" s="1"/>
  <c r="H23"/>
  <c r="J23"/>
  <c r="F19"/>
  <c r="H17"/>
  <c r="U17" s="1"/>
  <c r="F15"/>
  <c r="AA15" s="1"/>
  <c r="J15"/>
  <c r="H15"/>
  <c r="AB15" s="1"/>
  <c r="W8"/>
  <c r="J28"/>
  <c r="W28" s="1"/>
  <c r="F41" i="33"/>
  <c r="S38"/>
  <c r="E113"/>
  <c r="F32"/>
  <c r="AA32" s="1"/>
  <c r="J19"/>
  <c r="AC19" s="1"/>
  <c r="J15"/>
  <c r="AC15" s="1"/>
  <c r="F11"/>
  <c r="AA11" s="1"/>
  <c r="W26"/>
  <c r="W40"/>
  <c r="U8"/>
  <c r="S8"/>
  <c r="F37" i="40"/>
  <c r="AA37" s="1"/>
  <c r="F36"/>
  <c r="AA36" s="1"/>
  <c r="H28"/>
  <c r="U28" s="1"/>
  <c r="F23"/>
  <c r="AA23" s="1"/>
  <c r="F17"/>
  <c r="AA17" s="1"/>
  <c r="J17"/>
  <c r="W17" s="1"/>
  <c r="F15"/>
  <c r="S15" s="1"/>
  <c r="H15"/>
  <c r="AB15" s="1"/>
  <c r="AC11"/>
  <c r="S12" i="36"/>
  <c r="AA12"/>
  <c r="AB30"/>
  <c r="U30" i="35"/>
  <c r="F29"/>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S15"/>
  <c r="F113" i="33"/>
  <c r="G113" s="1"/>
  <c r="H113" s="1"/>
  <c r="I113" s="1"/>
  <c r="J113" s="1"/>
  <c r="K113" s="1"/>
  <c r="L113" s="1"/>
  <c r="M113" s="1"/>
  <c r="H37"/>
  <c r="AB37" s="1"/>
  <c r="H15"/>
  <c r="AB15" s="1"/>
  <c r="H11"/>
  <c r="AB11" s="1"/>
  <c r="F28" i="40"/>
  <c r="AA28" s="1"/>
  <c r="AA42" i="34"/>
  <c r="S42"/>
  <c r="AC38"/>
  <c r="AA38"/>
  <c r="J37"/>
  <c r="J11" i="33"/>
  <c r="W11" s="1"/>
  <c r="S28" i="34"/>
  <c r="G123" i="21"/>
  <c r="H123" s="1"/>
  <c r="I123" s="1"/>
  <c r="J123" s="1"/>
  <c r="K123" s="1"/>
  <c r="L123" s="1"/>
  <c r="M123" s="1"/>
  <c r="J42"/>
  <c r="AC42" s="1"/>
  <c r="H42"/>
  <c r="U42" s="1"/>
  <c r="J44" i="34"/>
  <c r="F44"/>
  <c r="AA44" s="1"/>
  <c r="J10" i="35"/>
  <c r="W10" s="1"/>
  <c r="BL587" i="3"/>
  <c r="J14" i="21"/>
  <c r="W14" s="1"/>
  <c r="F14"/>
  <c r="S14" s="1"/>
  <c r="H14"/>
  <c r="U14" s="1"/>
  <c r="H28"/>
  <c r="AB28" s="1"/>
  <c r="F28"/>
  <c r="AA28" s="1"/>
  <c r="J28"/>
  <c r="H30"/>
  <c r="U30" s="1"/>
  <c r="F30"/>
  <c r="S30" s="1"/>
  <c r="J30"/>
  <c r="AC30" s="1"/>
  <c r="J44"/>
  <c r="AC44" s="1"/>
  <c r="H44"/>
  <c r="U44" s="1"/>
  <c r="F44"/>
  <c r="AA44" s="1"/>
  <c r="H46"/>
  <c r="U46" s="1"/>
  <c r="J46"/>
  <c r="W46" s="1"/>
  <c r="F46"/>
  <c r="AA46" s="1"/>
  <c r="E119"/>
  <c r="F119" s="1"/>
  <c r="G119" s="1"/>
  <c r="H119" s="1"/>
  <c r="I119" s="1"/>
  <c r="J119" s="1"/>
  <c r="K119" s="1"/>
  <c r="L119" s="1"/>
  <c r="M119" s="1"/>
  <c r="H28" i="33"/>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H31"/>
  <c r="F31"/>
  <c r="H45"/>
  <c r="U45" s="1"/>
  <c r="J45"/>
  <c r="W45" s="1"/>
  <c r="F45"/>
  <c r="AA45" s="1"/>
  <c r="J14" i="34"/>
  <c r="W14" s="1"/>
  <c r="F14"/>
  <c r="S14" s="1"/>
  <c r="H14"/>
  <c r="H30"/>
  <c r="F30"/>
  <c r="S30" s="1"/>
  <c r="J30"/>
  <c r="W30" s="1"/>
  <c r="H32"/>
  <c r="F32"/>
  <c r="J32"/>
  <c r="W32" s="1"/>
  <c r="H46"/>
  <c r="U46" s="1"/>
  <c r="F46"/>
  <c r="J46"/>
  <c r="H11" i="35"/>
  <c r="J11"/>
  <c r="AC11" s="1"/>
  <c r="F11"/>
  <c r="S11" s="1"/>
  <c r="J26" i="36"/>
  <c r="W26" s="1"/>
  <c r="H28"/>
  <c r="U28" s="1"/>
  <c r="H32"/>
  <c r="AB32" s="1"/>
  <c r="J32"/>
  <c r="J11"/>
  <c r="AC11" s="1"/>
  <c r="H11"/>
  <c r="U11" s="1"/>
  <c r="F11"/>
  <c r="H13"/>
  <c r="AB13" s="1"/>
  <c r="J13"/>
  <c r="AC13" s="1"/>
  <c r="F13"/>
  <c r="S13" s="1"/>
  <c r="E89" i="37"/>
  <c r="F89" s="1"/>
  <c r="G89" s="1"/>
  <c r="H89" s="1"/>
  <c r="I89" s="1"/>
  <c r="J89" s="1"/>
  <c r="K89" s="1"/>
  <c r="L89" s="1"/>
  <c r="M89" s="1"/>
  <c r="J29"/>
  <c r="W29" s="1"/>
  <c r="F29"/>
  <c r="S29" s="1"/>
  <c r="F105"/>
  <c r="G105" s="1"/>
  <c r="H36"/>
  <c r="AB36" s="1"/>
  <c r="F107"/>
  <c r="J37"/>
  <c r="AC37" s="1"/>
  <c r="H37"/>
  <c r="U37" s="1"/>
  <c r="H40"/>
  <c r="U40" s="1"/>
  <c r="J40"/>
  <c r="F40"/>
  <c r="AA40" s="1"/>
  <c r="AC12" i="40"/>
  <c r="W12"/>
  <c r="H14" i="33"/>
  <c r="U14" s="1"/>
  <c r="F14"/>
  <c r="S14" s="1"/>
  <c r="J14"/>
  <c r="H30"/>
  <c r="AB30" s="1"/>
  <c r="F30"/>
  <c r="J30"/>
  <c r="H44"/>
  <c r="J44"/>
  <c r="AC44" s="1"/>
  <c r="F44"/>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H38"/>
  <c r="AB38" s="1"/>
  <c r="J38"/>
  <c r="AC38" s="1"/>
  <c r="F38"/>
  <c r="S38" s="1"/>
  <c r="F43" i="39"/>
  <c r="AA43" s="1"/>
  <c r="H43"/>
  <c r="J14"/>
  <c r="F14"/>
  <c r="H14"/>
  <c r="AB14" s="1"/>
  <c r="F12" i="40"/>
  <c r="S12" s="1"/>
  <c r="H12"/>
  <c r="AB12" s="1"/>
  <c r="H30"/>
  <c r="AB30" s="1"/>
  <c r="F33"/>
  <c r="AA33" s="1"/>
  <c r="H33"/>
  <c r="U33" s="1"/>
  <c r="J35"/>
  <c r="J37"/>
  <c r="AC37" s="1"/>
  <c r="H13"/>
  <c r="U13" s="1"/>
  <c r="J13"/>
  <c r="W13" s="1"/>
  <c r="F13"/>
  <c r="AA13" s="1"/>
  <c r="F14" i="37"/>
  <c r="S14" s="1"/>
  <c r="F27"/>
  <c r="AA27" s="1"/>
  <c r="F13" i="39"/>
  <c r="J13"/>
  <c r="W13" s="1"/>
  <c r="H13"/>
  <c r="H14" i="40"/>
  <c r="AB14" s="1"/>
  <c r="J14"/>
  <c r="W14" s="1"/>
  <c r="F14"/>
  <c r="AA14" s="1"/>
  <c r="J14" i="37"/>
  <c r="AC14" s="1"/>
  <c r="J27"/>
  <c r="AC27" s="1"/>
  <c r="W28"/>
  <c r="AA13" i="35"/>
  <c r="AA47" i="34"/>
  <c r="U31"/>
  <c r="AC13"/>
  <c r="U46" i="33"/>
  <c r="U30"/>
  <c r="AA14"/>
  <c r="J36" i="37"/>
  <c r="AC36" s="1"/>
  <c r="AB11" i="36"/>
  <c r="J10"/>
  <c r="AC10" s="1"/>
  <c r="AB30" i="21"/>
  <c r="AA14" i="37"/>
  <c r="W31" i="34"/>
  <c r="W13" i="36"/>
  <c r="W11"/>
  <c r="W11" i="35"/>
  <c r="AB46" i="34"/>
  <c r="AC30"/>
  <c r="AA14"/>
  <c r="S45" i="33"/>
  <c r="AB45"/>
  <c r="AB31"/>
  <c r="U31"/>
  <c r="W29"/>
  <c r="U13"/>
  <c r="S44" i="34"/>
  <c r="BA586" i="3"/>
  <c r="BA585"/>
  <c r="F17" i="21"/>
  <c r="AA17" s="1"/>
  <c r="H17"/>
  <c r="AB17" s="1"/>
  <c r="F15"/>
  <c r="S15" s="1"/>
  <c r="AB11"/>
  <c r="J41" i="39"/>
  <c r="W41" s="1"/>
  <c r="AC45"/>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AZ582" s="1"/>
  <c r="BA580"/>
  <c r="AZ580" s="1"/>
  <c r="BA578"/>
  <c r="BA576"/>
  <c r="AZ576" s="1"/>
  <c r="BA574"/>
  <c r="AZ574" s="1"/>
  <c r="BA572"/>
  <c r="AZ572" s="1"/>
  <c r="BA570"/>
  <c r="BA568"/>
  <c r="AZ568" s="1"/>
  <c r="BA566"/>
  <c r="AZ566" s="1"/>
  <c r="BA564"/>
  <c r="AZ564" s="1"/>
  <c r="BA562"/>
  <c r="BA560"/>
  <c r="AZ560" s="1"/>
  <c r="BA558"/>
  <c r="BA556"/>
  <c r="AZ556"/>
  <c r="BA554"/>
  <c r="AZ554"/>
  <c r="BA552"/>
  <c r="AZ552"/>
  <c r="BA548"/>
  <c r="BA546"/>
  <c r="AZ546" s="1"/>
  <c r="BA544"/>
  <c r="AZ544"/>
  <c r="BA542"/>
  <c r="AZ542"/>
  <c r="BA540"/>
  <c r="AZ540"/>
  <c r="BA538"/>
  <c r="AZ538"/>
  <c r="BA536"/>
  <c r="AZ536"/>
  <c r="BA534"/>
  <c r="AZ534"/>
  <c r="BA532"/>
  <c r="AZ532"/>
  <c r="BA530"/>
  <c r="BA528"/>
  <c r="AZ528" s="1"/>
  <c r="BA526"/>
  <c r="AZ526" s="1"/>
  <c r="BA524"/>
  <c r="AZ524" s="1"/>
  <c r="BA522"/>
  <c r="BA520"/>
  <c r="BA518"/>
  <c r="AZ518"/>
  <c r="BA516"/>
  <c r="AZ516"/>
  <c r="BA514"/>
  <c r="BA512"/>
  <c r="AZ512" s="1"/>
  <c r="BA510"/>
  <c r="AZ510" s="1"/>
  <c r="BA508"/>
  <c r="BA506"/>
  <c r="BA504"/>
  <c r="AZ504" s="1"/>
  <c r="BA502"/>
  <c r="AZ502" s="1"/>
  <c r="BA500"/>
  <c r="BA498"/>
  <c r="AZ498" s="1"/>
  <c r="BA496"/>
  <c r="BA494"/>
  <c r="BA587"/>
  <c r="AZ587" s="1"/>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AZ558" s="1"/>
  <c r="BA557"/>
  <c r="AC557"/>
  <c r="G557" s="1"/>
  <c r="BQ557"/>
  <c r="BL557" s="1"/>
  <c r="AZ557"/>
  <c r="BQ583"/>
  <c r="BL583"/>
  <c r="BQ581"/>
  <c r="BL581" s="1"/>
  <c r="AZ581" s="1"/>
  <c r="BQ579"/>
  <c r="BL579" s="1"/>
  <c r="AZ579" s="1"/>
  <c r="BQ577"/>
  <c r="BL577"/>
  <c r="BQ575"/>
  <c r="BL575" s="1"/>
  <c r="AZ575" s="1"/>
  <c r="BQ573"/>
  <c r="BL573"/>
  <c r="BQ571"/>
  <c r="BL571" s="1"/>
  <c r="AZ571" s="1"/>
  <c r="BQ569"/>
  <c r="BL569"/>
  <c r="BQ567"/>
  <c r="BL567" s="1"/>
  <c r="AZ567" s="1"/>
  <c r="BQ565"/>
  <c r="BL565"/>
  <c r="BQ563"/>
  <c r="BL563" s="1"/>
  <c r="BQ561"/>
  <c r="BL561" s="1"/>
  <c r="AZ561"/>
  <c r="BQ559"/>
  <c r="BL559"/>
  <c r="AZ559" s="1"/>
  <c r="G559"/>
  <c r="G555"/>
  <c r="G553"/>
  <c r="G549"/>
  <c r="G547"/>
  <c r="G545"/>
  <c r="G543"/>
  <c r="G541"/>
  <c r="G539"/>
  <c r="G537"/>
  <c r="BQ555"/>
  <c r="BL555" s="1"/>
  <c r="AZ555"/>
  <c r="BQ553"/>
  <c r="BL553"/>
  <c r="BQ551"/>
  <c r="BL551"/>
  <c r="BQ549"/>
  <c r="BL549" s="1"/>
  <c r="BQ547"/>
  <c r="BL547"/>
  <c r="BQ545"/>
  <c r="BL545"/>
  <c r="BQ543"/>
  <c r="BL543"/>
  <c r="BQ541"/>
  <c r="BL541"/>
  <c r="BQ539"/>
  <c r="BL539"/>
  <c r="AZ539" s="1"/>
  <c r="BQ537"/>
  <c r="BL537"/>
  <c r="BQ535"/>
  <c r="BL535"/>
  <c r="BQ533"/>
  <c r="BL533"/>
  <c r="BQ531"/>
  <c r="BL531"/>
  <c r="AZ531" s="1"/>
  <c r="BQ529"/>
  <c r="BL529"/>
  <c r="BQ527"/>
  <c r="BL527"/>
  <c r="BQ525"/>
  <c r="BL525"/>
  <c r="BQ523"/>
  <c r="BL523"/>
  <c r="BA521"/>
  <c r="AC521"/>
  <c r="G521" s="1"/>
  <c r="BQ521"/>
  <c r="BL521" s="1"/>
  <c r="AZ521" s="1"/>
  <c r="BL520"/>
  <c r="AZ520"/>
  <c r="G519"/>
  <c r="G517"/>
  <c r="G515"/>
  <c r="G513"/>
  <c r="G511"/>
  <c r="BQ519"/>
  <c r="BL519" s="1"/>
  <c r="AZ519"/>
  <c r="BQ517"/>
  <c r="BL517"/>
  <c r="AZ517" s="1"/>
  <c r="BQ515"/>
  <c r="BL515" s="1"/>
  <c r="AZ515"/>
  <c r="BQ513"/>
  <c r="BL513"/>
  <c r="AZ513" s="1"/>
  <c r="BQ511"/>
  <c r="BL511" s="1"/>
  <c r="AZ511"/>
  <c r="BA509"/>
  <c r="AC509"/>
  <c r="BQ509"/>
  <c r="BL509"/>
  <c r="BL508"/>
  <c r="AZ508"/>
  <c r="G507"/>
  <c r="G505"/>
  <c r="G503"/>
  <c r="G501"/>
  <c r="G499"/>
  <c r="G497"/>
  <c r="G495"/>
  <c r="BQ507"/>
  <c r="BL507" s="1"/>
  <c r="AZ507" s="1"/>
  <c r="BQ505"/>
  <c r="BL505"/>
  <c r="BQ503"/>
  <c r="BL503" s="1"/>
  <c r="AZ503" s="1"/>
  <c r="BQ501"/>
  <c r="BL501"/>
  <c r="BQ499"/>
  <c r="BL499"/>
  <c r="BQ497"/>
  <c r="BL497"/>
  <c r="BQ495"/>
  <c r="BL495"/>
  <c r="AZ495" s="1"/>
  <c r="BQ493"/>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U35" i="35"/>
  <c r="AA12"/>
  <c r="W23"/>
  <c r="W14" i="37"/>
  <c r="U33"/>
  <c r="U39"/>
  <c r="W26"/>
  <c r="AC8"/>
  <c r="U26"/>
  <c r="AB13" i="34"/>
  <c r="AB37"/>
  <c r="AC36"/>
  <c r="AA13" i="33"/>
  <c r="AC45"/>
  <c r="W44"/>
  <c r="U11"/>
  <c r="U19" i="21"/>
  <c r="W44"/>
  <c r="U26"/>
  <c r="AC46"/>
  <c r="U12"/>
  <c r="AB38"/>
  <c r="F43" i="33"/>
  <c r="AA43" s="1"/>
  <c r="W15" i="34"/>
  <c r="AC15"/>
  <c r="W16" i="35"/>
  <c r="G107" i="37"/>
  <c r="H107" s="1"/>
  <c r="I107" s="1"/>
  <c r="J107" s="1"/>
  <c r="K107" s="1"/>
  <c r="L107" s="1"/>
  <c r="M107" s="1"/>
  <c r="H113" i="21"/>
  <c r="H37"/>
  <c r="U37" s="1"/>
  <c r="S42"/>
  <c r="H19" i="34"/>
  <c r="AB19" s="1"/>
  <c r="F36" i="35"/>
  <c r="S36" s="1"/>
  <c r="J9" i="37"/>
  <c r="W9" s="1"/>
  <c r="H9"/>
  <c r="AB9" s="1"/>
  <c r="F9"/>
  <c r="S9" s="1"/>
  <c r="J12"/>
  <c r="W12" s="1"/>
  <c r="H12"/>
  <c r="F12"/>
  <c r="S12" s="1"/>
  <c r="E71"/>
  <c r="F15"/>
  <c r="AA15" s="1"/>
  <c r="E94"/>
  <c r="F31"/>
  <c r="S31" s="1"/>
  <c r="F12" i="39"/>
  <c r="S12" s="1"/>
  <c r="J42"/>
  <c r="AC42" s="1"/>
  <c r="H21" i="40"/>
  <c r="AB21" s="1"/>
  <c r="AC12" i="37"/>
  <c r="F94"/>
  <c r="G94" s="1"/>
  <c r="H94" s="1"/>
  <c r="I94" s="1"/>
  <c r="J94" s="1"/>
  <c r="K94" s="1"/>
  <c r="L94" s="1"/>
  <c r="M94" s="1"/>
  <c r="H31"/>
  <c r="U31" s="1"/>
  <c r="F71"/>
  <c r="G71" s="1"/>
  <c r="J15"/>
  <c r="W15" s="1"/>
  <c r="AT6" i="3"/>
  <c r="AA25" i="21"/>
  <c r="C12" i="43"/>
  <c r="H19" i="40"/>
  <c r="U19" s="1"/>
  <c r="F88"/>
  <c r="G88" s="1"/>
  <c r="F19"/>
  <c r="S19" s="1"/>
  <c r="S14"/>
  <c r="AC13"/>
  <c r="AB33"/>
  <c r="AC43" i="39"/>
  <c r="W43"/>
  <c r="H37"/>
  <c r="AB37" s="1"/>
  <c r="AC37"/>
  <c r="W37"/>
  <c r="H25"/>
  <c r="AB25" s="1"/>
  <c r="J25"/>
  <c r="F25"/>
  <c r="AA25" s="1"/>
  <c r="F15"/>
  <c r="AA15" s="1"/>
  <c r="H15"/>
  <c r="U15" s="1"/>
  <c r="J15"/>
  <c r="W15" s="1"/>
  <c r="F89"/>
  <c r="G89" s="1"/>
  <c r="H41"/>
  <c r="W27"/>
  <c r="AB34"/>
  <c r="S42"/>
  <c r="W8"/>
  <c r="J19" i="40"/>
  <c r="AC19" s="1"/>
  <c r="J50"/>
  <c r="B54" i="72"/>
  <c r="H103" i="9"/>
  <c r="D8" i="53" s="1"/>
  <c r="B16"/>
  <c r="B33" i="72" s="1"/>
  <c r="C7" i="37"/>
  <c r="C7" i="34"/>
  <c r="C7" i="36"/>
  <c r="A118" i="9"/>
  <c r="A4" i="52"/>
  <c r="B41" i="72" s="1"/>
  <c r="A12" i="52"/>
  <c r="B56" i="72" s="1"/>
  <c r="G4" i="4"/>
  <c r="I4"/>
  <c r="K5"/>
  <c r="B47" i="48" s="1"/>
  <c r="A2" i="9"/>
  <c r="N2" i="43"/>
  <c r="AZ550" i="3"/>
  <c r="AZ24"/>
  <c r="AZ525"/>
  <c r="AZ537"/>
  <c r="AZ494"/>
  <c r="AZ514"/>
  <c r="AZ522"/>
  <c r="AZ530"/>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G370"/>
  <c r="BL371"/>
  <c r="G372"/>
  <c r="BL373"/>
  <c r="BA375"/>
  <c r="AZ375" s="1"/>
  <c r="BA376"/>
  <c r="BL376"/>
  <c r="G377"/>
  <c r="BA378"/>
  <c r="AZ378"/>
  <c r="BL378"/>
  <c r="G379"/>
  <c r="BA380"/>
  <c r="G388"/>
  <c r="BL389"/>
  <c r="G390"/>
  <c r="BL391"/>
  <c r="BA393"/>
  <c r="AZ393" s="1"/>
  <c r="BA394"/>
  <c r="BL394"/>
  <c r="G113"/>
  <c r="BA115"/>
  <c r="AZ115" s="1"/>
  <c r="BL116"/>
  <c r="G117"/>
  <c r="BA119"/>
  <c r="AZ119" s="1"/>
  <c r="BL120"/>
  <c r="G121"/>
  <c r="BA123"/>
  <c r="BL124"/>
  <c r="G125"/>
  <c r="BA127"/>
  <c r="AZ127" s="1"/>
  <c r="BL128"/>
  <c r="G129"/>
  <c r="BA131"/>
  <c r="BL132"/>
  <c r="G133"/>
  <c r="BA135"/>
  <c r="AZ135" s="1"/>
  <c r="BL136"/>
  <c r="G137"/>
  <c r="BA139"/>
  <c r="AZ139" s="1"/>
  <c r="BL140"/>
  <c r="AZ140" s="1"/>
  <c r="G141"/>
  <c r="BA143"/>
  <c r="AZ143" s="1"/>
  <c r="BL144"/>
  <c r="G145"/>
  <c r="BA147"/>
  <c r="AZ147" s="1"/>
  <c r="BL148"/>
  <c r="AZ148"/>
  <c r="G149"/>
  <c r="BA151"/>
  <c r="AZ151" s="1"/>
  <c r="BL152"/>
  <c r="G153"/>
  <c r="BA155"/>
  <c r="AZ155" s="1"/>
  <c r="BL156"/>
  <c r="AZ156" s="1"/>
  <c r="G157"/>
  <c r="BA159"/>
  <c r="AZ159" s="1"/>
  <c r="BL160"/>
  <c r="G161"/>
  <c r="BA163"/>
  <c r="AZ163" s="1"/>
  <c r="BL164"/>
  <c r="AZ164"/>
  <c r="G165"/>
  <c r="BA167"/>
  <c r="AZ167" s="1"/>
  <c r="BL168"/>
  <c r="G169"/>
  <c r="BA171"/>
  <c r="AZ171" s="1"/>
  <c r="BL172"/>
  <c r="AZ172" s="1"/>
  <c r="G173"/>
  <c r="BA175"/>
  <c r="AZ175" s="1"/>
  <c r="BL176"/>
  <c r="G177"/>
  <c r="BA179"/>
  <c r="AZ179" s="1"/>
  <c r="BL180"/>
  <c r="AZ180" s="1"/>
  <c r="G181"/>
  <c r="BA183"/>
  <c r="AZ183" s="1"/>
  <c r="BL184"/>
  <c r="G185"/>
  <c r="BA187"/>
  <c r="AZ187" s="1"/>
  <c r="BL188"/>
  <c r="AZ188"/>
  <c r="G189"/>
  <c r="BA191"/>
  <c r="AZ191" s="1"/>
  <c r="BL192"/>
  <c r="G193"/>
  <c r="BA195"/>
  <c r="AZ195" s="1"/>
  <c r="BL196"/>
  <c r="AZ196" s="1"/>
  <c r="G197"/>
  <c r="BA199"/>
  <c r="AZ199" s="1"/>
  <c r="BL200"/>
  <c r="G201"/>
  <c r="BA203"/>
  <c r="AZ203" s="1"/>
  <c r="BL204"/>
  <c r="AZ43"/>
  <c r="AZ55"/>
  <c r="AZ79"/>
  <c r="AZ109"/>
  <c r="AZ527"/>
  <c r="G534"/>
  <c r="G530"/>
  <c r="G522"/>
  <c r="G516"/>
  <c r="G512"/>
  <c r="G506"/>
  <c r="G498"/>
  <c r="G494"/>
  <c r="G15"/>
  <c r="BA304"/>
  <c r="AZ304" s="1"/>
  <c r="BA305"/>
  <c r="AZ305" s="1"/>
  <c r="BL305"/>
  <c r="G306"/>
  <c r="G309"/>
  <c r="BL310"/>
  <c r="BA312"/>
  <c r="AZ312"/>
  <c r="BA313"/>
  <c r="BL313"/>
  <c r="AZ313" s="1"/>
  <c r="G314"/>
  <c r="G317"/>
  <c r="BL318"/>
  <c r="BA320"/>
  <c r="AZ320" s="1"/>
  <c r="BA321"/>
  <c r="BL321"/>
  <c r="G322"/>
  <c r="G325"/>
  <c r="BL326"/>
  <c r="BA328"/>
  <c r="AZ328"/>
  <c r="BA329"/>
  <c r="BL329"/>
  <c r="G330"/>
  <c r="G333"/>
  <c r="BL334"/>
  <c r="BA336"/>
  <c r="AZ336" s="1"/>
  <c r="BA337"/>
  <c r="AZ337" s="1"/>
  <c r="BL337"/>
  <c r="G338"/>
  <c r="G341"/>
  <c r="BA342"/>
  <c r="BL342"/>
  <c r="AZ342"/>
  <c r="BA344"/>
  <c r="BL344"/>
  <c r="AZ344" s="1"/>
  <c r="BA346"/>
  <c r="AZ346" s="1"/>
  <c r="BA347"/>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AZ390" s="1"/>
  <c r="BL390"/>
  <c r="G391"/>
  <c r="G394"/>
  <c r="AZ138"/>
  <c r="AZ142"/>
  <c r="AZ146"/>
  <c r="AZ150"/>
  <c r="AZ154"/>
  <c r="AZ158"/>
  <c r="AZ162"/>
  <c r="AZ166"/>
  <c r="AZ170"/>
  <c r="AZ174"/>
  <c r="AZ178"/>
  <c r="AZ182"/>
  <c r="AZ186"/>
  <c r="AZ190"/>
  <c r="AZ194"/>
  <c r="AZ198"/>
  <c r="AZ202"/>
  <c r="AZ523"/>
  <c r="AZ543"/>
  <c r="AZ500"/>
  <c r="BL303"/>
  <c r="G304"/>
  <c r="BA306"/>
  <c r="AZ306" s="1"/>
  <c r="BL307"/>
  <c r="AZ307" s="1"/>
  <c r="G308"/>
  <c r="BA310"/>
  <c r="AZ310"/>
  <c r="BL311"/>
  <c r="G312"/>
  <c r="BA314"/>
  <c r="AZ314"/>
  <c r="BL315"/>
  <c r="AZ315"/>
  <c r="G316"/>
  <c r="BA318"/>
  <c r="AZ318" s="1"/>
  <c r="BL319"/>
  <c r="AZ319" s="1"/>
  <c r="G320"/>
  <c r="BA322"/>
  <c r="AZ322" s="1"/>
  <c r="BL323"/>
  <c r="AZ323" s="1"/>
  <c r="G324"/>
  <c r="BA326"/>
  <c r="AZ326"/>
  <c r="BL327"/>
  <c r="G328"/>
  <c r="BA330"/>
  <c r="AZ330"/>
  <c r="BL331"/>
  <c r="AZ331"/>
  <c r="G332"/>
  <c r="BA334"/>
  <c r="AZ334" s="1"/>
  <c r="BL335"/>
  <c r="AZ335" s="1"/>
  <c r="G336"/>
  <c r="BA338"/>
  <c r="AZ338" s="1"/>
  <c r="BL339"/>
  <c r="AZ339" s="1"/>
  <c r="G340"/>
  <c r="BL343"/>
  <c r="G344"/>
  <c r="G348"/>
  <c r="G355"/>
  <c r="AZ209"/>
  <c r="AZ214"/>
  <c r="AZ218"/>
  <c r="AZ311"/>
  <c r="AZ327"/>
  <c r="G342"/>
  <c r="BL345"/>
  <c r="G346"/>
  <c r="AZ348"/>
  <c r="BL349"/>
  <c r="AZ349" s="1"/>
  <c r="BL352"/>
  <c r="G353"/>
  <c r="BA357"/>
  <c r="AZ357" s="1"/>
  <c r="BL358"/>
  <c r="AZ358" s="1"/>
  <c r="G359"/>
  <c r="BA361"/>
  <c r="AZ361" s="1"/>
  <c r="BL362"/>
  <c r="G363"/>
  <c r="BA365"/>
  <c r="AZ365" s="1"/>
  <c r="BL366"/>
  <c r="AZ366" s="1"/>
  <c r="G367"/>
  <c r="BA369"/>
  <c r="AZ369"/>
  <c r="BL370"/>
  <c r="G371"/>
  <c r="BA373"/>
  <c r="AZ373"/>
  <c r="BL374"/>
  <c r="AZ374"/>
  <c r="G375"/>
  <c r="BA377"/>
  <c r="AZ377" s="1"/>
  <c r="AZ245"/>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9"/>
  <c r="AZ317"/>
  <c r="AZ321"/>
  <c r="AZ325"/>
  <c r="AZ329"/>
  <c r="AZ333"/>
  <c r="AZ341"/>
  <c r="AZ345"/>
  <c r="BQ5"/>
  <c r="AC5"/>
  <c r="AZ533"/>
  <c r="AZ549"/>
  <c r="AZ535"/>
  <c r="AZ547"/>
  <c r="AZ506"/>
  <c r="AZ496"/>
  <c r="G548"/>
  <c r="G538"/>
  <c r="G520"/>
  <c r="G502"/>
  <c r="BS5"/>
  <c r="BP5"/>
  <c r="AZ343"/>
  <c r="AZ347"/>
  <c r="BK5"/>
  <c r="BG5"/>
  <c r="BC5"/>
  <c r="BA17"/>
  <c r="AZ350"/>
  <c r="AZ352"/>
  <c r="AZ356"/>
  <c r="AZ360"/>
  <c r="AZ364"/>
  <c r="AZ368"/>
  <c r="AZ380"/>
  <c r="AZ384"/>
  <c r="AZ388"/>
  <c r="AZ392"/>
  <c r="AZ396"/>
  <c r="AZ394"/>
  <c r="AZ499"/>
  <c r="AZ509"/>
  <c r="G509"/>
  <c r="BL493"/>
  <c r="AZ493" s="1"/>
  <c r="AZ398"/>
  <c r="AZ402"/>
  <c r="AZ406"/>
  <c r="AZ410"/>
  <c r="AZ414"/>
  <c r="AZ418"/>
  <c r="AZ422"/>
  <c r="AZ426"/>
  <c r="AZ430"/>
  <c r="AZ434"/>
  <c r="AZ438"/>
  <c r="AZ442"/>
  <c r="AZ446"/>
  <c r="AZ450"/>
  <c r="AZ454"/>
  <c r="AZ458"/>
  <c r="AZ462"/>
  <c r="AZ479"/>
  <c r="AZ483"/>
  <c r="AZ487"/>
  <c r="AZ491"/>
  <c r="AZ467"/>
  <c r="AZ471"/>
  <c r="AZ475"/>
  <c r="AZ477"/>
  <c r="AZ481"/>
  <c r="AZ489"/>
  <c r="AZ376"/>
  <c r="AZ382"/>
  <c r="U36" i="40"/>
  <c r="N4" i="43"/>
  <c r="F36"/>
  <c r="F81"/>
  <c r="H83" s="1"/>
  <c r="H113"/>
  <c r="N7"/>
  <c r="F70"/>
  <c r="H73" s="1"/>
  <c r="M6"/>
  <c r="M11"/>
  <c r="E17"/>
  <c r="I17"/>
  <c r="F35"/>
  <c r="F6" i="1"/>
  <c r="I20" i="43" s="1"/>
  <c r="U17" i="39"/>
  <c r="S14" i="35"/>
  <c r="U43" i="21"/>
  <c r="U35"/>
  <c r="AC35"/>
  <c r="U10"/>
  <c r="G8" i="1"/>
  <c r="O6"/>
  <c r="P6" s="1"/>
  <c r="G9"/>
  <c r="G10"/>
  <c r="F48" i="9"/>
  <c r="O52" s="1"/>
  <c r="AZ553" i="3"/>
  <c r="AZ563"/>
  <c r="AZ501"/>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s="1"/>
  <c r="H111" s="1"/>
  <c r="I111" s="1"/>
  <c r="J111" s="1"/>
  <c r="K111" s="1"/>
  <c r="L111" s="1"/>
  <c r="M111" s="1"/>
  <c r="H35"/>
  <c r="AB35" s="1"/>
  <c r="AC29" i="35"/>
  <c r="W29"/>
  <c r="G103" i="37"/>
  <c r="H103" s="1"/>
  <c r="I103" s="1"/>
  <c r="J103" s="1"/>
  <c r="K103" s="1"/>
  <c r="L103" s="1"/>
  <c r="M103" s="1"/>
  <c r="H35"/>
  <c r="U35" s="1"/>
  <c r="AC14" i="35"/>
  <c r="H20"/>
  <c r="U20" s="1"/>
  <c r="F20"/>
  <c r="AA20" s="1"/>
  <c r="AB23"/>
  <c r="AB29" i="36"/>
  <c r="U29"/>
  <c r="H32" i="37"/>
  <c r="AB32" s="1"/>
  <c r="F96"/>
  <c r="H27" i="40"/>
  <c r="U27" s="1"/>
  <c r="F96"/>
  <c r="G96" s="1"/>
  <c r="H96" s="1"/>
  <c r="I96" s="1"/>
  <c r="J96" s="1"/>
  <c r="K96" s="1"/>
  <c r="L96" s="1"/>
  <c r="M96" s="1"/>
  <c r="J27"/>
  <c r="AC27" s="1"/>
  <c r="F27"/>
  <c r="S27" s="1"/>
  <c r="J30"/>
  <c r="AC30" s="1"/>
  <c r="F30"/>
  <c r="AA30" s="1"/>
  <c r="AC21"/>
  <c r="S11"/>
  <c r="E98"/>
  <c r="F98" s="1"/>
  <c r="G98" s="1"/>
  <c r="H98" s="1"/>
  <c r="I98" s="1"/>
  <c r="J98" s="1"/>
  <c r="K98" s="1"/>
  <c r="L98" s="1"/>
  <c r="M98" s="1"/>
  <c r="AZ424" i="3"/>
  <c r="AZ440"/>
  <c r="AZ448"/>
  <c r="AZ456"/>
  <c r="AZ464"/>
  <c r="AZ472"/>
  <c r="F10" i="33"/>
  <c r="S10" s="1"/>
  <c r="F34"/>
  <c r="S34" s="1"/>
  <c r="H34"/>
  <c r="U34" s="1"/>
  <c r="F35"/>
  <c r="S35" s="1"/>
  <c r="F39" i="34"/>
  <c r="S39" s="1"/>
  <c r="J39"/>
  <c r="W39" s="1"/>
  <c r="F40"/>
  <c r="S40" s="1"/>
  <c r="F43"/>
  <c r="AA43" s="1"/>
  <c r="H44"/>
  <c r="AB44" s="1"/>
  <c r="AC38" i="39"/>
  <c r="J39"/>
  <c r="AC39" s="1"/>
  <c r="E97"/>
  <c r="J23" s="1"/>
  <c r="AZ403" i="3"/>
  <c r="AZ411"/>
  <c r="AZ419"/>
  <c r="AZ427"/>
  <c r="AZ435"/>
  <c r="AZ443"/>
  <c r="AZ451"/>
  <c r="AZ459"/>
  <c r="AZ469"/>
  <c r="AZ485"/>
  <c r="AZ353"/>
  <c r="AZ354"/>
  <c r="AZ386"/>
  <c r="AZ215"/>
  <c r="AZ227"/>
  <c r="AZ235"/>
  <c r="AZ243"/>
  <c r="AZ251"/>
  <c r="AZ256"/>
  <c r="AZ259"/>
  <c r="AZ268"/>
  <c r="AZ271"/>
  <c r="AZ280"/>
  <c r="AZ288"/>
  <c r="AZ296"/>
  <c r="AZ130"/>
  <c r="AZ21"/>
  <c r="AZ33"/>
  <c r="AZ45"/>
  <c r="AZ53"/>
  <c r="H74" i="43"/>
  <c r="F97" i="39"/>
  <c r="H27" i="36"/>
  <c r="U27" s="1"/>
  <c r="F27"/>
  <c r="AA27" s="1"/>
  <c r="H33" i="34"/>
  <c r="U33" s="1"/>
  <c r="AA39"/>
  <c r="F32" i="37"/>
  <c r="AA32" s="1"/>
  <c r="G96"/>
  <c r="H96" s="1"/>
  <c r="I96" s="1"/>
  <c r="J96" s="1"/>
  <c r="K96" s="1"/>
  <c r="L96" s="1"/>
  <c r="M96" s="1"/>
  <c r="G68" i="36"/>
  <c r="F20"/>
  <c r="AA20" s="1"/>
  <c r="J33" i="34"/>
  <c r="AC33" s="1"/>
  <c r="G97" i="39"/>
  <c r="D48" i="9"/>
  <c r="M52" s="1"/>
  <c r="H86" i="43"/>
  <c r="H82"/>
  <c r="H87"/>
  <c r="K9" i="1"/>
  <c r="M9" s="1"/>
  <c r="O9" s="1"/>
  <c r="P9" s="1"/>
  <c r="F3" i="35"/>
  <c r="D93" i="9"/>
  <c r="J51" i="15"/>
  <c r="AE9" i="1"/>
  <c r="F39" i="39" l="1"/>
  <c r="S39" s="1"/>
  <c r="H39"/>
  <c r="U39" s="1"/>
  <c r="S31"/>
  <c r="F101"/>
  <c r="G101" s="1"/>
  <c r="C40" i="11"/>
  <c r="C5"/>
  <c r="H23" i="39"/>
  <c r="U23" s="1"/>
  <c r="F23"/>
  <c r="AA23" s="1"/>
  <c r="AZ362" i="3"/>
  <c r="AC35" i="40"/>
  <c r="W35"/>
  <c r="AC14" i="39"/>
  <c r="W14"/>
  <c r="U28" i="37"/>
  <c r="AB28"/>
  <c r="AC47" i="34"/>
  <c r="W47"/>
  <c r="S44" i="33"/>
  <c r="AA44"/>
  <c r="AC40" i="37"/>
  <c r="W40"/>
  <c r="W32" i="36"/>
  <c r="AC32"/>
  <c r="U11" i="35"/>
  <c r="AB11"/>
  <c r="W31" i="33"/>
  <c r="AC31"/>
  <c r="AC37" i="34"/>
  <c r="W37"/>
  <c r="S29" i="35"/>
  <c r="AA29"/>
  <c r="AA41" i="33"/>
  <c r="S41"/>
  <c r="AB12" i="37"/>
  <c r="U12"/>
  <c r="AZ497" i="3"/>
  <c r="AZ505"/>
  <c r="AZ529"/>
  <c r="AZ565"/>
  <c r="AZ569"/>
  <c r="AZ573"/>
  <c r="AZ577"/>
  <c r="AZ583"/>
  <c r="AZ562"/>
  <c r="AZ570"/>
  <c r="AZ578"/>
  <c r="AA11" i="36"/>
  <c r="S11"/>
  <c r="W28" i="21"/>
  <c r="AC28"/>
  <c r="U23" i="34"/>
  <c r="AB23"/>
  <c r="H26" i="33"/>
  <c r="U23" i="40"/>
  <c r="U33" i="35"/>
  <c r="U40" i="33"/>
  <c r="S26"/>
  <c r="S9" i="34"/>
  <c r="AA39" i="37"/>
  <c r="AC8" i="35"/>
  <c r="AB8" i="36"/>
  <c r="F34"/>
  <c r="S34" s="1"/>
  <c r="J34"/>
  <c r="F27" i="39"/>
  <c r="H19"/>
  <c r="AB19" s="1"/>
  <c r="F41"/>
  <c r="S41" s="1"/>
  <c r="W8" i="40"/>
  <c r="W33" i="33"/>
  <c r="U31" i="35"/>
  <c r="AC27"/>
  <c r="J33" i="36"/>
  <c r="U14" i="37"/>
  <c r="W31"/>
  <c r="J36" i="39"/>
  <c r="BL586" i="3"/>
  <c r="AZ586" s="1"/>
  <c r="J36" i="35"/>
  <c r="J12" i="33"/>
  <c r="F12"/>
  <c r="J12" i="39"/>
  <c r="H12"/>
  <c r="AB12" s="1"/>
  <c r="H45"/>
  <c r="F45"/>
  <c r="S45" s="1"/>
  <c r="F38" i="40"/>
  <c r="J38"/>
  <c r="AC38" s="1"/>
  <c r="J40"/>
  <c r="F40"/>
  <c r="BA551" i="3"/>
  <c r="AZ551" s="1"/>
  <c r="BL548"/>
  <c r="AZ548" s="1"/>
  <c r="H44" i="39"/>
  <c r="F44"/>
  <c r="J44"/>
  <c r="AZ400" i="3"/>
  <c r="AZ407"/>
  <c r="AZ413"/>
  <c r="AZ416"/>
  <c r="AZ423"/>
  <c r="AZ428"/>
  <c r="AZ433"/>
  <c r="AZ445"/>
  <c r="AZ449"/>
  <c r="AZ461"/>
  <c r="AZ465"/>
  <c r="AZ476"/>
  <c r="AZ480"/>
  <c r="AZ484"/>
  <c r="AZ488"/>
  <c r="AZ492"/>
  <c r="AZ316"/>
  <c r="AZ332"/>
  <c r="AZ395"/>
  <c r="A15" i="62"/>
  <c r="AZ208" i="3"/>
  <c r="AZ211"/>
  <c r="AZ213"/>
  <c r="AZ217"/>
  <c r="AZ220"/>
  <c r="AZ224"/>
  <c r="AZ226"/>
  <c r="AZ230"/>
  <c r="AZ234"/>
  <c r="G17"/>
  <c r="G16"/>
  <c r="BA16"/>
  <c r="AZ16" s="1"/>
  <c r="BA15"/>
  <c r="AZ15" s="1"/>
  <c r="B61" i="72"/>
  <c r="BA303" i="3"/>
  <c r="AZ303" s="1"/>
  <c r="G208"/>
  <c r="G211"/>
  <c r="G213"/>
  <c r="G217"/>
  <c r="G220"/>
  <c r="G222"/>
  <c r="G223"/>
  <c r="G224"/>
  <c r="G226"/>
  <c r="G229"/>
  <c r="G230"/>
  <c r="G232"/>
  <c r="G233"/>
  <c r="G234"/>
  <c r="G237"/>
  <c r="AZ246"/>
  <c r="AZ254"/>
  <c r="AZ258"/>
  <c r="AZ262"/>
  <c r="AZ266"/>
  <c r="AZ270"/>
  <c r="AZ274"/>
  <c r="AZ277"/>
  <c r="AZ281"/>
  <c r="AZ290"/>
  <c r="AZ293"/>
  <c r="AZ297"/>
  <c r="AZ137"/>
  <c r="AZ145"/>
  <c r="AZ153"/>
  <c r="AZ161"/>
  <c r="AZ169"/>
  <c r="BA239"/>
  <c r="AZ239" s="1"/>
  <c r="BA240"/>
  <c r="AZ240" s="1"/>
  <c r="BA241"/>
  <c r="AZ241" s="1"/>
  <c r="BA242"/>
  <c r="AZ242" s="1"/>
  <c r="G245"/>
  <c r="G246"/>
  <c r="BA247"/>
  <c r="AZ247" s="1"/>
  <c r="BA248"/>
  <c r="AZ248" s="1"/>
  <c r="BA249"/>
  <c r="AZ249" s="1"/>
  <c r="G253"/>
  <c r="G254"/>
  <c r="G256"/>
  <c r="G257"/>
  <c r="G258"/>
  <c r="G261"/>
  <c r="G262"/>
  <c r="G265"/>
  <c r="G266"/>
  <c r="G268"/>
  <c r="G269"/>
  <c r="G270"/>
  <c r="G273"/>
  <c r="G274"/>
  <c r="G277"/>
  <c r="G279"/>
  <c r="G280"/>
  <c r="G281"/>
  <c r="G283"/>
  <c r="G284"/>
  <c r="G285"/>
  <c r="G286"/>
  <c r="G287"/>
  <c r="G290"/>
  <c r="G293"/>
  <c r="G295"/>
  <c r="G296"/>
  <c r="G297"/>
  <c r="G299"/>
  <c r="G300"/>
  <c r="G301"/>
  <c r="G302"/>
  <c r="G114"/>
  <c r="G116"/>
  <c r="BL117"/>
  <c r="G118"/>
  <c r="G122"/>
  <c r="G123"/>
  <c r="BA124"/>
  <c r="AZ124" s="1"/>
  <c r="BL126"/>
  <c r="G127"/>
  <c r="BA128"/>
  <c r="AZ128" s="1"/>
  <c r="G130"/>
  <c r="BA132"/>
  <c r="AZ132" s="1"/>
  <c r="BA136"/>
  <c r="AZ136" s="1"/>
  <c r="G140"/>
  <c r="BA144"/>
  <c r="AZ144" s="1"/>
  <c r="G148"/>
  <c r="BA152"/>
  <c r="AZ152" s="1"/>
  <c r="G156"/>
  <c r="BA160"/>
  <c r="AZ160" s="1"/>
  <c r="G164"/>
  <c r="BA168"/>
  <c r="AZ168" s="1"/>
  <c r="G172"/>
  <c r="BA173"/>
  <c r="AZ173" s="1"/>
  <c r="BA176"/>
  <c r="AZ176" s="1"/>
  <c r="G178"/>
  <c r="G180"/>
  <c r="BA181"/>
  <c r="AZ181" s="1"/>
  <c r="BA184"/>
  <c r="AZ184" s="1"/>
  <c r="G186"/>
  <c r="G188"/>
  <c r="BA189"/>
  <c r="AZ189" s="1"/>
  <c r="BA192"/>
  <c r="AZ192" s="1"/>
  <c r="G194"/>
  <c r="G196"/>
  <c r="BA197"/>
  <c r="AZ197" s="1"/>
  <c r="BA200"/>
  <c r="AZ200" s="1"/>
  <c r="G202"/>
  <c r="S12" i="1"/>
  <c r="R12"/>
  <c r="B12"/>
  <c r="E12" s="1"/>
  <c r="S10"/>
  <c r="R10"/>
  <c r="B10"/>
  <c r="E10" s="1"/>
  <c r="D1" i="66"/>
  <c r="E10" s="1"/>
  <c r="BA204" i="3"/>
  <c r="AZ204" s="1"/>
  <c r="BA205"/>
  <c r="AZ205" s="1"/>
  <c r="BA206"/>
  <c r="AZ206" s="1"/>
  <c r="BA207"/>
  <c r="AZ207" s="1"/>
  <c r="BA18"/>
  <c r="AZ18" s="1"/>
  <c r="BA19"/>
  <c r="BL19"/>
  <c r="G20"/>
  <c r="BL22"/>
  <c r="G23"/>
  <c r="G24"/>
  <c r="G25"/>
  <c r="BA26"/>
  <c r="BL26"/>
  <c r="G27"/>
  <c r="BA28"/>
  <c r="AZ28" s="1"/>
  <c r="BL28"/>
  <c r="BA30"/>
  <c r="AZ30" s="1"/>
  <c r="BL31"/>
  <c r="G32"/>
  <c r="G34"/>
  <c r="G35"/>
  <c r="BL36"/>
  <c r="BA37"/>
  <c r="AZ37" s="1"/>
  <c r="BA38"/>
  <c r="BL38"/>
  <c r="BA40"/>
  <c r="AZ40" s="1"/>
  <c r="BA41"/>
  <c r="AZ41" s="1"/>
  <c r="BL41"/>
  <c r="G42"/>
  <c r="BL44"/>
  <c r="G45"/>
  <c r="G46"/>
  <c r="BA47"/>
  <c r="G48"/>
  <c r="BL49"/>
  <c r="G50"/>
  <c r="BA51"/>
  <c r="AZ51" s="1"/>
  <c r="BA52"/>
  <c r="BL52"/>
  <c r="G53"/>
  <c r="G55"/>
  <c r="G56"/>
  <c r="BL57"/>
  <c r="BA59"/>
  <c r="BL59"/>
  <c r="BA61"/>
  <c r="BL61"/>
  <c r="BA62"/>
  <c r="AZ62" s="1"/>
  <c r="BA63"/>
  <c r="AZ63" s="1"/>
  <c r="BL63"/>
  <c r="BA64"/>
  <c r="AZ64" s="1"/>
  <c r="BA65"/>
  <c r="BL65"/>
  <c r="BA67"/>
  <c r="BL67"/>
  <c r="K12" i="1"/>
  <c r="M12" s="1"/>
  <c r="O12" s="1"/>
  <c r="P12" s="1"/>
  <c r="BL68" i="3"/>
  <c r="G69"/>
  <c r="BA70"/>
  <c r="G71"/>
  <c r="BA72"/>
  <c r="G73"/>
  <c r="BL74"/>
  <c r="G75"/>
  <c r="BA76"/>
  <c r="G77"/>
  <c r="BA78"/>
  <c r="BL78"/>
  <c r="G79"/>
  <c r="G80"/>
  <c r="BA82"/>
  <c r="BL82"/>
  <c r="G83"/>
  <c r="BA84"/>
  <c r="AZ84" s="1"/>
  <c r="BA85"/>
  <c r="AZ85" s="1"/>
  <c r="BA86"/>
  <c r="AZ86" s="1"/>
  <c r="BL86"/>
  <c r="G87"/>
  <c r="G88"/>
  <c r="BA89"/>
  <c r="AZ89" s="1"/>
  <c r="BL91"/>
  <c r="G92"/>
  <c r="G93"/>
  <c r="G94"/>
  <c r="BL97"/>
  <c r="G98"/>
  <c r="G99"/>
  <c r="G100"/>
  <c r="G101"/>
  <c r="BL102"/>
  <c r="BA103"/>
  <c r="AZ103" s="1"/>
  <c r="BA104"/>
  <c r="BA105"/>
  <c r="BL105"/>
  <c r="G106"/>
  <c r="BA107"/>
  <c r="BL107"/>
  <c r="G108"/>
  <c r="BL110"/>
  <c r="G111"/>
  <c r="G112"/>
  <c r="S13" i="1"/>
  <c r="R13"/>
  <c r="S11"/>
  <c r="R11"/>
  <c r="S9"/>
  <c r="R9"/>
  <c r="K100" i="43"/>
  <c r="G100"/>
  <c r="E26" i="66"/>
  <c r="C30"/>
  <c r="AZ116" i="3"/>
  <c r="BL113"/>
  <c r="BA117"/>
  <c r="AZ117" s="1"/>
  <c r="BA118"/>
  <c r="BL118"/>
  <c r="BA120"/>
  <c r="AZ120" s="1"/>
  <c r="BL121"/>
  <c r="AZ121" s="1"/>
  <c r="BL123"/>
  <c r="AZ123" s="1"/>
  <c r="BA126"/>
  <c r="AZ126" s="1"/>
  <c r="BL131"/>
  <c r="AZ131" s="1"/>
  <c r="BA133"/>
  <c r="AZ133" s="1"/>
  <c r="BA20"/>
  <c r="BL20"/>
  <c r="BA22"/>
  <c r="AZ22" s="1"/>
  <c r="BA27"/>
  <c r="AZ27" s="1"/>
  <c r="BL29"/>
  <c r="AZ29" s="1"/>
  <c r="BA31"/>
  <c r="AZ31" s="1"/>
  <c r="BA32"/>
  <c r="AZ32" s="1"/>
  <c r="BA35"/>
  <c r="AZ35" s="1"/>
  <c r="BA36"/>
  <c r="AZ36" s="1"/>
  <c r="BL39"/>
  <c r="AZ39" s="1"/>
  <c r="BA42"/>
  <c r="BL42"/>
  <c r="BA44"/>
  <c r="AZ44" s="1"/>
  <c r="BL47"/>
  <c r="AZ47" s="1"/>
  <c r="BA49"/>
  <c r="AZ49" s="1"/>
  <c r="BA50"/>
  <c r="AZ50" s="1"/>
  <c r="BA56"/>
  <c r="AZ56" s="1"/>
  <c r="BA57"/>
  <c r="AZ57" s="1"/>
  <c r="BL58"/>
  <c r="AZ58" s="1"/>
  <c r="BL60"/>
  <c r="AZ60" s="1"/>
  <c r="BA68"/>
  <c r="AZ68" s="1"/>
  <c r="BA69"/>
  <c r="AZ69" s="1"/>
  <c r="BL70"/>
  <c r="BL72"/>
  <c r="AZ72" s="1"/>
  <c r="BA74"/>
  <c r="AZ74" s="1"/>
  <c r="BA75"/>
  <c r="AZ75" s="1"/>
  <c r="BL76"/>
  <c r="BA80"/>
  <c r="AZ80" s="1"/>
  <c r="BA81"/>
  <c r="BL81"/>
  <c r="BA83"/>
  <c r="AZ83" s="1"/>
  <c r="BL94"/>
  <c r="AZ94" s="1"/>
  <c r="BA95"/>
  <c r="BL95"/>
  <c r="BA96"/>
  <c r="AZ96" s="1"/>
  <c r="BA97"/>
  <c r="AZ97" s="1"/>
  <c r="BA101"/>
  <c r="AZ101" s="1"/>
  <c r="BA102"/>
  <c r="AZ102" s="1"/>
  <c r="AZ107"/>
  <c r="BA108"/>
  <c r="AZ108" s="1"/>
  <c r="BL108"/>
  <c r="BA110"/>
  <c r="AZ110" s="1"/>
  <c r="BL66"/>
  <c r="AZ66" s="1"/>
  <c r="AZ70"/>
  <c r="AZ76"/>
  <c r="AZ78"/>
  <c r="BL88"/>
  <c r="AZ88" s="1"/>
  <c r="BA90"/>
  <c r="AZ90" s="1"/>
  <c r="BA91"/>
  <c r="AZ91" s="1"/>
  <c r="BL104"/>
  <c r="AZ104" s="1"/>
  <c r="BA106"/>
  <c r="AZ106" s="1"/>
  <c r="S19" i="39"/>
  <c r="W9"/>
  <c r="U40"/>
  <c r="AA41"/>
  <c r="S40"/>
  <c r="AC23"/>
  <c r="W23"/>
  <c r="U9"/>
  <c r="AZ114" i="3"/>
  <c r="AZ113"/>
  <c r="AZ38"/>
  <c r="AZ46"/>
  <c r="AZ52"/>
  <c r="AZ65"/>
  <c r="AZ81"/>
  <c r="H5"/>
  <c r="F19" i="6" s="1"/>
  <c r="I4"/>
  <c r="G3" i="43" s="1"/>
  <c r="F22" s="1"/>
  <c r="E19" i="6"/>
  <c r="K6" i="1" s="1"/>
  <c r="BB5" i="3"/>
  <c r="E8" i="6" s="1"/>
  <c r="F27" s="1"/>
  <c r="D3" i="39" s="1"/>
  <c r="AZ19" i="3"/>
  <c r="F29" i="6"/>
  <c r="BI5" i="3"/>
  <c r="BE5"/>
  <c r="BN5"/>
  <c r="G29" i="6" s="1"/>
  <c r="BT5" i="3"/>
  <c r="BL14"/>
  <c r="BR5"/>
  <c r="G28" i="6" s="1"/>
  <c r="F28"/>
  <c r="G14" i="3"/>
  <c r="BA14"/>
  <c r="AZ14" s="1"/>
  <c r="C101" i="43"/>
  <c r="C104" s="1"/>
  <c r="F101"/>
  <c r="F104" s="1"/>
  <c r="J17"/>
  <c r="F39"/>
  <c r="G20"/>
  <c r="C20" s="1"/>
  <c r="H75"/>
  <c r="J51" i="67"/>
  <c r="C42" i="1"/>
  <c r="AC34" i="33"/>
  <c r="AA34"/>
  <c r="B41" i="1"/>
  <c r="F53" i="9" s="1"/>
  <c r="F28" i="15"/>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F48" s="1"/>
  <c r="N9"/>
  <c r="D120" i="9"/>
  <c r="C18"/>
  <c r="D18" s="1"/>
  <c r="F34" i="67"/>
  <c r="F62" s="1"/>
  <c r="M20"/>
  <c r="F34" i="15"/>
  <c r="F62" s="1"/>
  <c r="G13" i="3"/>
  <c r="G5" s="1"/>
  <c r="B3" s="1"/>
  <c r="BA13"/>
  <c r="E10" i="6"/>
  <c r="E11"/>
  <c r="E61" i="39" s="1"/>
  <c r="BL17" i="3"/>
  <c r="AZ17" s="1"/>
  <c r="BL13"/>
  <c r="J56" i="9"/>
  <c r="J57" s="1"/>
  <c r="A24" i="51"/>
  <c r="B18" i="72" s="1"/>
  <c r="U29" i="34"/>
  <c r="E5" i="6"/>
  <c r="D9" i="11" s="1"/>
  <c r="C9" s="1"/>
  <c r="P10" i="1"/>
  <c r="H22" i="43"/>
  <c r="L101"/>
  <c r="L109" s="1"/>
  <c r="H101"/>
  <c r="D101"/>
  <c r="D109" s="1"/>
  <c r="M101"/>
  <c r="M109" s="1"/>
  <c r="I101"/>
  <c r="I109" s="1"/>
  <c r="E101"/>
  <c r="G22"/>
  <c r="E32" i="6"/>
  <c r="L19" s="1"/>
  <c r="G1" i="68"/>
  <c r="K1" i="12"/>
  <c r="AZ13" i="3"/>
  <c r="E28" i="6"/>
  <c r="AR13" i="1"/>
  <c r="AQ13"/>
  <c r="T13"/>
  <c r="AR11"/>
  <c r="AQ11"/>
  <c r="T11"/>
  <c r="AR9"/>
  <c r="AQ9"/>
  <c r="T9"/>
  <c r="AR12"/>
  <c r="AQ12"/>
  <c r="T12"/>
  <c r="AR10"/>
  <c r="AQ10"/>
  <c r="T10"/>
  <c r="E19" i="69"/>
  <c r="E19" i="68"/>
  <c r="E19" i="11"/>
  <c r="M18" i="15"/>
  <c r="F32"/>
  <c r="F60" s="1"/>
  <c r="F30" i="69"/>
  <c r="F32" i="67"/>
  <c r="F60" s="1"/>
  <c r="M18"/>
  <c r="E1" i="73"/>
  <c r="K1" s="1"/>
  <c r="G41" i="69"/>
  <c r="G22"/>
  <c r="G41" i="68"/>
  <c r="G22"/>
  <c r="G27" i="12"/>
  <c r="G26"/>
  <c r="G41" i="11"/>
  <c r="G22"/>
  <c r="G25" i="12"/>
  <c r="C100" i="43"/>
  <c r="E11"/>
  <c r="E10"/>
  <c r="E9"/>
  <c r="E8"/>
  <c r="C7" s="1"/>
  <c r="E81"/>
  <c r="B79" s="1"/>
  <c r="AJ11"/>
  <c r="AJ13" s="1"/>
  <c r="AH11"/>
  <c r="AH13" s="1"/>
  <c r="AF11"/>
  <c r="AF13" s="1"/>
  <c r="AD11"/>
  <c r="AD13" s="1"/>
  <c r="AB11"/>
  <c r="AB13" s="1"/>
  <c r="Z11"/>
  <c r="Z13" s="1"/>
  <c r="Z7"/>
  <c r="AI11"/>
  <c r="AI13" s="1"/>
  <c r="AG11"/>
  <c r="AG13" s="1"/>
  <c r="AE11"/>
  <c r="AE13" s="1"/>
  <c r="AC11"/>
  <c r="AC13" s="1"/>
  <c r="AA11"/>
  <c r="AA13" s="1"/>
  <c r="Y11"/>
  <c r="Y13" s="1"/>
  <c r="E48"/>
  <c r="B46" s="1"/>
  <c r="E70"/>
  <c r="B68" s="1"/>
  <c r="F100"/>
  <c r="H17"/>
  <c r="D9" i="53"/>
  <c r="B25" i="72" s="1"/>
  <c r="B24"/>
  <c r="G6" i="1"/>
  <c r="H85" i="43"/>
  <c r="H81"/>
  <c r="H84"/>
  <c r="H88"/>
  <c r="H78"/>
  <c r="H70"/>
  <c r="H71"/>
  <c r="C17"/>
  <c r="F33"/>
  <c r="G17"/>
  <c r="F34"/>
  <c r="M7"/>
  <c r="N6"/>
  <c r="M2"/>
  <c r="M10"/>
  <c r="N3"/>
  <c r="N11"/>
  <c r="F38"/>
  <c r="F37"/>
  <c r="M9"/>
  <c r="N12"/>
  <c r="N5"/>
  <c r="M5"/>
  <c r="M12"/>
  <c r="M4"/>
  <c r="B19" i="53"/>
  <c r="B37" i="72" s="1"/>
  <c r="C7" i="39"/>
  <c r="C68" s="1"/>
  <c r="C70" s="1"/>
  <c r="C7" i="35"/>
  <c r="C48" s="1"/>
  <c r="D48" s="1"/>
  <c r="C7" i="33"/>
  <c r="C7" i="21"/>
  <c r="C58" s="1"/>
  <c r="D58" s="1"/>
  <c r="C7" i="40"/>
  <c r="C63" s="1"/>
  <c r="M47" i="9"/>
  <c r="G19" i="43"/>
  <c r="P23" s="1"/>
  <c r="B71" i="39" s="1"/>
  <c r="T35" i="4"/>
  <c r="A19" i="51" s="1"/>
  <c r="B14" i="72" s="1"/>
  <c r="C46" i="36"/>
  <c r="D46" s="1"/>
  <c r="E46" s="1"/>
  <c r="C59" i="34"/>
  <c r="D59" s="1"/>
  <c r="C52" i="37"/>
  <c r="D52" s="1"/>
  <c r="P24" i="43"/>
  <c r="B66" i="40" s="1"/>
  <c r="A4" i="51"/>
  <c r="B6" i="72" s="1"/>
  <c r="D68" i="39"/>
  <c r="D70" s="1"/>
  <c r="C58" i="33"/>
  <c r="D58" s="1"/>
  <c r="E58" s="1"/>
  <c r="F58" s="1"/>
  <c r="G58" s="1"/>
  <c r="H58" s="1"/>
  <c r="I58" s="1"/>
  <c r="J58" s="1"/>
  <c r="K58" s="1"/>
  <c r="L58" s="1"/>
  <c r="M58" s="1"/>
  <c r="N58" s="1"/>
  <c r="O58" s="1"/>
  <c r="C94" i="9"/>
  <c r="C4" i="12"/>
  <c r="C92" i="9"/>
  <c r="H76" i="43"/>
  <c r="H72"/>
  <c r="H77"/>
  <c r="L20" i="6"/>
  <c r="E56" i="39"/>
  <c r="E51" i="40"/>
  <c r="S7" i="1"/>
  <c r="B6"/>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D9" i="69"/>
  <c r="F43" i="67"/>
  <c r="F37" i="15"/>
  <c r="M8"/>
  <c r="F8" i="67"/>
  <c r="M28"/>
  <c r="M9"/>
  <c r="M29"/>
  <c r="F40"/>
  <c r="M29" i="15"/>
  <c r="M6" i="67"/>
  <c r="M28" i="15"/>
  <c r="M23" i="67"/>
  <c r="F36"/>
  <c r="F26" i="15"/>
  <c r="F9" i="67"/>
  <c r="F7"/>
  <c r="F37"/>
  <c r="L48"/>
  <c r="F16"/>
  <c r="C76" i="15"/>
  <c r="M26" i="67"/>
  <c r="M8"/>
  <c r="M24"/>
  <c r="F16" i="15"/>
  <c r="C76" i="67"/>
  <c r="F8" i="15"/>
  <c r="F13" i="67"/>
  <c r="M24" i="15"/>
  <c r="L47"/>
  <c r="F26" i="67"/>
  <c r="F42" i="15"/>
  <c r="F7"/>
  <c r="F38"/>
  <c r="F38" i="67"/>
  <c r="M22"/>
  <c r="F42"/>
  <c r="F43" i="15"/>
  <c r="M22"/>
  <c r="F40"/>
  <c r="F6" i="67"/>
  <c r="F9" i="15"/>
  <c r="F6"/>
  <c r="M23"/>
  <c r="M26"/>
  <c r="M9"/>
  <c r="L47" i="67"/>
  <c r="J15" i="15"/>
  <c r="M6"/>
  <c r="J15" i="67"/>
  <c r="L48" i="15"/>
  <c r="G1" i="73"/>
  <c r="F36" i="15"/>
  <c r="F28" i="67" l="1"/>
  <c r="C28" s="1"/>
  <c r="F30" i="68"/>
  <c r="F31" i="12"/>
  <c r="F30" i="11"/>
  <c r="F52" i="9"/>
  <c r="M20" i="1"/>
  <c r="M22"/>
  <c r="M24"/>
  <c r="M21"/>
  <c r="M23"/>
  <c r="M25"/>
  <c r="AZ67" i="3"/>
  <c r="AZ61"/>
  <c r="AZ59"/>
  <c r="AZ26"/>
  <c r="AA44" i="39"/>
  <c r="S44"/>
  <c r="AA40" i="40"/>
  <c r="S40"/>
  <c r="S12" i="33"/>
  <c r="AA12"/>
  <c r="AC36" i="35"/>
  <c r="W36"/>
  <c r="AC36" i="39"/>
  <c r="W36"/>
  <c r="AZ42" i="3"/>
  <c r="AZ20"/>
  <c r="AZ105"/>
  <c r="AZ82"/>
  <c r="AC44" i="39"/>
  <c r="W44"/>
  <c r="AB44"/>
  <c r="U44"/>
  <c r="W40" i="40"/>
  <c r="AC40"/>
  <c r="AA38"/>
  <c r="S38"/>
  <c r="U45" i="39"/>
  <c r="AB45"/>
  <c r="AC12"/>
  <c r="W12"/>
  <c r="W12" i="33"/>
  <c r="AC12"/>
  <c r="W33" i="36"/>
  <c r="AC33"/>
  <c r="W34"/>
  <c r="AC34"/>
  <c r="U26" i="33"/>
  <c r="AB26"/>
  <c r="M6" i="1"/>
  <c r="B113" i="43"/>
  <c r="E22"/>
  <c r="D29"/>
  <c r="D1" s="1"/>
  <c r="F103"/>
  <c r="F109"/>
  <c r="C107"/>
  <c r="C106"/>
  <c r="C103"/>
  <c r="F102"/>
  <c r="BA5" i="3"/>
  <c r="E27" i="6" s="1"/>
  <c r="C109" i="43"/>
  <c r="F105"/>
  <c r="C102"/>
  <c r="C105"/>
  <c r="F106"/>
  <c r="F107"/>
  <c r="AZ118" i="3"/>
  <c r="G30" i="6"/>
  <c r="G31" s="1"/>
  <c r="E15"/>
  <c r="AZ95" i="3"/>
  <c r="D117" i="43"/>
  <c r="E117" s="1"/>
  <c r="F117" s="1"/>
  <c r="G117" s="1"/>
  <c r="H117" s="1"/>
  <c r="N104" i="46"/>
  <c r="N101" i="43"/>
  <c r="N102" s="1"/>
  <c r="K101"/>
  <c r="K103" s="1"/>
  <c r="J101"/>
  <c r="J104" s="1"/>
  <c r="G101"/>
  <c r="G105" s="1"/>
  <c r="N105"/>
  <c r="D22"/>
  <c r="N107"/>
  <c r="J102"/>
  <c r="C6"/>
  <c r="F59"/>
  <c r="J106"/>
  <c r="G104"/>
  <c r="J107"/>
  <c r="E13" i="6"/>
  <c r="E58" i="40" s="1"/>
  <c r="E29" i="6"/>
  <c r="E60" i="40"/>
  <c r="E65" i="39"/>
  <c r="N109" i="43"/>
  <c r="J109"/>
  <c r="N104"/>
  <c r="J103"/>
  <c r="N106"/>
  <c r="N103"/>
  <c r="F30" i="6"/>
  <c r="F31" s="1"/>
  <c r="J105" i="43"/>
  <c r="E14" i="6"/>
  <c r="E12"/>
  <c r="K20"/>
  <c r="M20" s="1"/>
  <c r="I20" s="1"/>
  <c r="E56" i="40"/>
  <c r="E69" i="3"/>
  <c r="E268"/>
  <c r="E153"/>
  <c r="E282"/>
  <c r="E305"/>
  <c r="E361"/>
  <c r="E445"/>
  <c r="N6"/>
  <c r="E550"/>
  <c r="E503"/>
  <c r="E328"/>
  <c r="E302"/>
  <c r="E53"/>
  <c r="E237"/>
  <c r="E125"/>
  <c r="E114"/>
  <c r="E175"/>
  <c r="E261"/>
  <c r="E217"/>
  <c r="E278"/>
  <c r="E319"/>
  <c r="E304"/>
  <c r="E366"/>
  <c r="E415"/>
  <c r="E530"/>
  <c r="E528"/>
  <c r="E526"/>
  <c r="E563"/>
  <c r="E501"/>
  <c r="E565"/>
  <c r="E553"/>
  <c r="E395"/>
  <c r="E343"/>
  <c r="E183"/>
  <c r="E172"/>
  <c r="E213"/>
  <c r="E260"/>
  <c r="E322"/>
  <c r="E426"/>
  <c r="E17"/>
  <c r="E508"/>
  <c r="AJ6"/>
  <c r="E535"/>
  <c r="D19" i="12"/>
  <c r="C19" s="1"/>
  <c r="H53" i="43"/>
  <c r="H56"/>
  <c r="H48"/>
  <c r="H55"/>
  <c r="H52"/>
  <c r="H49"/>
  <c r="H51"/>
  <c r="H54"/>
  <c r="H50"/>
  <c r="E4" i="4"/>
  <c r="K4" s="1"/>
  <c r="B46" i="48" s="1"/>
  <c r="B4" i="72" s="1"/>
  <c r="C31" i="12"/>
  <c r="C48" i="69"/>
  <c r="C30" i="68"/>
  <c r="C28" i="15"/>
  <c r="C24" i="12"/>
  <c r="C30" i="69"/>
  <c r="C48" i="68"/>
  <c r="C77" i="9"/>
  <c r="C74" s="1"/>
  <c r="C16" i="43"/>
  <c r="D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E3" i="6" s="1"/>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24" i="6"/>
  <c r="M24" s="1"/>
  <c r="I24" s="1"/>
  <c r="S24" s="1"/>
  <c r="K14" i="1"/>
  <c r="M14" s="1"/>
  <c r="O14" s="1"/>
  <c r="P14" s="1"/>
  <c r="BL5" i="3"/>
  <c r="P21" i="43"/>
  <c r="M20"/>
  <c r="C19" s="1"/>
  <c r="J59" i="9"/>
  <c r="J61" s="1"/>
  <c r="K21" i="6"/>
  <c r="M21" s="1"/>
  <c r="I21" s="1"/>
  <c r="S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S22" s="1"/>
  <c r="E102" i="43"/>
  <c r="E104"/>
  <c r="E106"/>
  <c r="E107"/>
  <c r="E103"/>
  <c r="E105"/>
  <c r="M102"/>
  <c r="M104"/>
  <c r="M106"/>
  <c r="M107"/>
  <c r="M103"/>
  <c r="M105"/>
  <c r="H102"/>
  <c r="H107"/>
  <c r="H103"/>
  <c r="H106"/>
  <c r="H104"/>
  <c r="H105"/>
  <c r="K19" i="6"/>
  <c r="S6" i="1" s="1"/>
  <c r="AR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AY6"/>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R7"/>
  <c r="AQ7"/>
  <c r="T7"/>
  <c r="C48" i="11"/>
  <c r="C30"/>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C10" i="15"/>
  <c r="L27" i="6"/>
  <c r="G16" i="1"/>
  <c r="H10" i="40" s="1"/>
  <c r="U10" s="1"/>
  <c r="C27" i="67"/>
  <c r="L56"/>
  <c r="J57"/>
  <c r="J55" s="1"/>
  <c r="J58" s="1"/>
  <c r="Q50" s="1"/>
  <c r="J53"/>
  <c r="K53"/>
  <c r="F70"/>
  <c r="F51"/>
  <c r="F68"/>
  <c r="L59"/>
  <c r="L58"/>
  <c r="F71"/>
  <c r="F66"/>
  <c r="F50"/>
  <c r="M7"/>
  <c r="Q71"/>
  <c r="F64"/>
  <c r="C6"/>
  <c r="F65"/>
  <c r="C9" i="69"/>
  <c r="F71" i="15"/>
  <c r="L59"/>
  <c r="Q74" s="1"/>
  <c r="L58"/>
  <c r="Q73" s="1"/>
  <c r="C27"/>
  <c r="Q71"/>
  <c r="F64"/>
  <c r="F51"/>
  <c r="F65"/>
  <c r="J57"/>
  <c r="J55" s="1"/>
  <c r="J58" s="1"/>
  <c r="Q50" s="1"/>
  <c r="L56"/>
  <c r="F68"/>
  <c r="M7"/>
  <c r="F50"/>
  <c r="F66"/>
  <c r="C6"/>
  <c r="C10" i="67"/>
  <c r="AP7" i="1"/>
  <c r="C36" i="69" s="1"/>
  <c r="M7" i="1"/>
  <c r="O7" s="1"/>
  <c r="Q16"/>
  <c r="F27" i="69" s="1"/>
  <c r="H16" i="1"/>
  <c r="AB45" i="21"/>
  <c r="AC33"/>
  <c r="W33"/>
  <c r="S33"/>
  <c r="AA33"/>
  <c r="W32"/>
  <c r="AC32"/>
  <c r="AB9"/>
  <c r="U9"/>
  <c r="AA32"/>
  <c r="S32"/>
  <c r="W9"/>
  <c r="AC9"/>
  <c r="AB32"/>
  <c r="U32"/>
  <c r="AA10"/>
  <c r="S10"/>
  <c r="F59" i="67"/>
  <c r="M17" i="15"/>
  <c r="F59"/>
  <c r="F31"/>
  <c r="M17" i="67"/>
  <c r="F31"/>
  <c r="C16" i="15"/>
  <c r="D9" i="68"/>
  <c r="C17" i="15"/>
  <c r="C16" i="67"/>
  <c r="N26" i="1" l="1"/>
  <c r="O26"/>
  <c r="G66" i="43"/>
  <c r="G62"/>
  <c r="N6" i="1"/>
  <c r="Y6" s="1"/>
  <c r="B115" i="43"/>
  <c r="D116"/>
  <c r="E116" s="1"/>
  <c r="F116" s="1"/>
  <c r="G116" s="1"/>
  <c r="H116" s="1"/>
  <c r="G118"/>
  <c r="H118" s="1"/>
  <c r="B118"/>
  <c r="C118" s="1"/>
  <c r="B117"/>
  <c r="C117" s="1"/>
  <c r="D115"/>
  <c r="E115" s="1"/>
  <c r="F115" s="1"/>
  <c r="G115" s="1"/>
  <c r="H115" s="1"/>
  <c r="I118"/>
  <c r="J118" s="1"/>
  <c r="K118" s="1"/>
  <c r="L118" s="1"/>
  <c r="M118" s="1"/>
  <c r="D118"/>
  <c r="E118" s="1"/>
  <c r="F118" s="1"/>
  <c r="B116"/>
  <c r="C116" s="1"/>
  <c r="I117"/>
  <c r="J117" s="1"/>
  <c r="K117" s="1"/>
  <c r="L117" s="1"/>
  <c r="M117" s="1"/>
  <c r="I116"/>
  <c r="J116" s="1"/>
  <c r="K116" s="1"/>
  <c r="L116" s="1"/>
  <c r="M116" s="1"/>
  <c r="I115"/>
  <c r="J115" s="1"/>
  <c r="K115" s="1"/>
  <c r="L115" s="1"/>
  <c r="M115" s="1"/>
  <c r="M19" i="6"/>
  <c r="I19" s="1"/>
  <c r="L18" i="9" s="1"/>
  <c r="E63" i="39"/>
  <c r="G103" i="43"/>
  <c r="K107"/>
  <c r="K109"/>
  <c r="G106"/>
  <c r="G107"/>
  <c r="G102"/>
  <c r="K104"/>
  <c r="K106"/>
  <c r="K102"/>
  <c r="K105"/>
  <c r="G109"/>
  <c r="E16" i="6"/>
  <c r="C9" i="68"/>
  <c r="H66" i="43"/>
  <c r="H65"/>
  <c r="G65" s="1"/>
  <c r="H64"/>
  <c r="G64" s="1"/>
  <c r="H63"/>
  <c r="G63" s="1"/>
  <c r="H62"/>
  <c r="H61"/>
  <c r="G61" s="1"/>
  <c r="H60"/>
  <c r="G60" s="1"/>
  <c r="H59"/>
  <c r="G59" s="1"/>
  <c r="H67"/>
  <c r="G67" s="1"/>
  <c r="AQ6" i="1"/>
  <c r="E6" i="70"/>
  <c r="S6" i="43"/>
  <c r="E30" i="6"/>
  <c r="E31" s="1"/>
  <c r="K15" i="1"/>
  <c r="K16" s="1"/>
  <c r="E62" i="39"/>
  <c r="E57" i="40"/>
  <c r="E64" i="39"/>
  <c r="E59" i="40"/>
  <c r="K27" i="6"/>
  <c r="B14" i="74"/>
  <c r="B1" s="1"/>
  <c r="D3" i="34"/>
  <c r="D3" i="21"/>
  <c r="D3" i="33"/>
  <c r="B5" i="62"/>
  <c r="B73" i="72" s="1"/>
  <c r="A18" i="62"/>
  <c r="B64" i="72" s="1"/>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8" i="12"/>
  <c r="C29" s="1"/>
  <c r="D28" s="1"/>
  <c r="P7" i="1"/>
  <c r="O16"/>
  <c r="F24" i="15"/>
  <c r="C24" s="1"/>
  <c r="F22" i="11"/>
  <c r="F25" i="12"/>
  <c r="F22" i="69"/>
  <c r="F24" i="67"/>
  <c r="C24" s="1"/>
  <c r="F22" i="68"/>
  <c r="F1" i="15"/>
  <c r="Q52"/>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M27"/>
  <c r="H10" i="39"/>
  <c r="J10"/>
  <c r="Q61" i="15"/>
  <c r="C49"/>
  <c r="Q60"/>
  <c r="M16" i="1"/>
  <c r="Q60" i="67"/>
  <c r="Q73"/>
  <c r="F27" i="11"/>
  <c r="Q61" i="67"/>
  <c r="Q74"/>
  <c r="C49"/>
  <c r="F1"/>
  <c r="Q52"/>
  <c r="F13" i="15"/>
  <c r="F27" i="68"/>
  <c r="N16" i="1" l="1"/>
  <c r="M61" i="43"/>
  <c r="N61" s="1"/>
  <c r="K61"/>
  <c r="J61" s="1"/>
  <c r="M63"/>
  <c r="N63" s="1"/>
  <c r="K63"/>
  <c r="M67"/>
  <c r="N67" s="1"/>
  <c r="K67"/>
  <c r="J67" s="1"/>
  <c r="M60"/>
  <c r="K60"/>
  <c r="J60" s="1"/>
  <c r="M64"/>
  <c r="K64"/>
  <c r="J64" s="1"/>
  <c r="M59"/>
  <c r="N59" s="1"/>
  <c r="K59"/>
  <c r="M65"/>
  <c r="N65" s="1"/>
  <c r="K65"/>
  <c r="J65" s="1"/>
  <c r="M62"/>
  <c r="N62" s="1"/>
  <c r="K62"/>
  <c r="M66"/>
  <c r="N66" s="1"/>
  <c r="K66"/>
  <c r="J66" s="1"/>
  <c r="D66" s="1"/>
  <c r="C115"/>
  <c r="D113"/>
  <c r="J22" s="1"/>
  <c r="S3"/>
  <c r="S7"/>
  <c r="S2"/>
  <c r="C23"/>
  <c r="C21" s="1"/>
  <c r="S5"/>
  <c r="S4"/>
  <c r="C29" i="68"/>
  <c r="D27" s="1"/>
  <c r="E66" i="39"/>
  <c r="AA7" i="36"/>
  <c r="R36" s="1"/>
  <c r="E36" s="1"/>
  <c r="E40" s="1"/>
  <c r="F40" s="1"/>
  <c r="AC11" i="37"/>
  <c r="W11"/>
  <c r="AB7"/>
  <c r="T42" s="1"/>
  <c r="G42" s="1"/>
  <c r="G46" s="1"/>
  <c r="H46" s="1"/>
  <c r="W11" i="34"/>
  <c r="AC11"/>
  <c r="J5" i="67"/>
  <c r="J5" i="15"/>
  <c r="H20" i="6"/>
  <c r="C14" i="74"/>
  <c r="B2" s="1"/>
  <c r="AB7" i="36"/>
  <c r="T36" s="1"/>
  <c r="C38" i="15"/>
  <c r="E6" i="3"/>
  <c r="C47" i="68"/>
  <c r="D45" s="1"/>
  <c r="AA10" i="39"/>
  <c r="D10" i="11"/>
  <c r="C10" s="1"/>
  <c r="D20" i="12"/>
  <c r="C20" s="1"/>
  <c r="M19" i="9"/>
  <c r="C118" s="1"/>
  <c r="D19" i="6"/>
  <c r="D25"/>
  <c r="D26"/>
  <c r="D15"/>
  <c r="C18" i="4"/>
  <c r="D22" i="6"/>
  <c r="D8"/>
  <c r="D21"/>
  <c r="D23"/>
  <c r="D24"/>
  <c r="D14"/>
  <c r="D20"/>
  <c r="R20" s="1"/>
  <c r="R7" i="1" s="1"/>
  <c r="D5" i="6"/>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D10" i="68"/>
  <c r="D59" i="43" l="1"/>
  <c r="J59"/>
  <c r="D63"/>
  <c r="J63"/>
  <c r="D62"/>
  <c r="J62"/>
  <c r="D64"/>
  <c r="N64"/>
  <c r="D60"/>
  <c r="N60"/>
  <c r="C34" i="11"/>
  <c r="C35" s="1"/>
  <c r="R25" i="6"/>
  <c r="C36" i="1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U7" i="21"/>
  <c r="C22" i="11"/>
  <c r="C31" s="1"/>
  <c r="I52" i="21"/>
  <c r="J52" s="1"/>
  <c r="I40" i="36"/>
  <c r="J40" s="1"/>
  <c r="R43" i="37"/>
  <c r="E42"/>
  <c r="I47" s="1"/>
  <c r="J47" s="1"/>
  <c r="G43" i="35"/>
  <c r="H43" s="1"/>
  <c r="I42"/>
  <c r="J42" s="1"/>
  <c r="R39"/>
  <c r="E38"/>
  <c r="I43" s="1"/>
  <c r="J43" s="1"/>
  <c r="G47" i="37"/>
  <c r="H47" s="1"/>
  <c r="I46"/>
  <c r="J46" s="1"/>
  <c r="G63" i="40"/>
  <c r="F65"/>
  <c r="G48" i="21"/>
  <c r="R50" i="34"/>
  <c r="E49"/>
  <c r="G70" i="39"/>
  <c r="H27" i="6"/>
  <c r="R19"/>
  <c r="C14" i="12"/>
  <c r="C23"/>
  <c r="C36" i="68"/>
  <c r="C34"/>
  <c r="C38" i="11" l="1"/>
  <c r="C33" s="1"/>
  <c r="C42" s="1"/>
  <c r="E59" i="43"/>
  <c r="B57" s="1"/>
  <c r="C24" s="1"/>
  <c r="B29" i="1"/>
  <c r="C18" i="12" s="1"/>
  <c r="C8" i="68"/>
  <c r="D31" i="6"/>
  <c r="I6" s="1"/>
  <c r="R49" i="21"/>
  <c r="C48" s="1"/>
  <c r="G54" i="34"/>
  <c r="H54" s="1"/>
  <c r="I53" i="21"/>
  <c r="J53" s="1"/>
  <c r="C37" i="36"/>
  <c r="C36"/>
  <c r="G40"/>
  <c r="H40" s="1"/>
  <c r="E41"/>
  <c r="F41" s="1"/>
  <c r="G41"/>
  <c r="H41" s="1"/>
  <c r="C19" i="68"/>
  <c r="D37"/>
  <c r="C37" s="1"/>
  <c r="R27" i="6"/>
  <c r="R6" i="1"/>
  <c r="C16" i="12"/>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M21" i="67"/>
  <c r="M21" i="15"/>
  <c r="F35" i="67"/>
  <c r="F35" i="15"/>
  <c r="C36" i="43" l="1"/>
  <c r="C35"/>
  <c r="C38"/>
  <c r="T16"/>
  <c r="V16" s="1"/>
  <c r="T12"/>
  <c r="V12" s="1"/>
  <c r="T8"/>
  <c r="V8" s="1"/>
  <c r="T13"/>
  <c r="V13" s="1"/>
  <c r="C39"/>
  <c r="E39" s="1"/>
  <c r="C33"/>
  <c r="C34"/>
  <c r="T11"/>
  <c r="V11" s="1"/>
  <c r="T14"/>
  <c r="V14" s="1"/>
  <c r="T9"/>
  <c r="V9" s="1"/>
  <c r="T10"/>
  <c r="V10" s="1"/>
  <c r="C37"/>
  <c r="T15"/>
  <c r="V15" s="1"/>
  <c r="T6"/>
  <c r="V6" s="1"/>
  <c r="T5"/>
  <c r="V5" s="1"/>
  <c r="T3"/>
  <c r="V3" s="1"/>
  <c r="C29"/>
  <c r="T2"/>
  <c r="V2" s="1"/>
  <c r="T4"/>
  <c r="V4" s="1"/>
  <c r="T7"/>
  <c r="V7" s="1"/>
  <c r="C21" i="12"/>
  <c r="I5" i="6"/>
  <c r="F11" i="39"/>
  <c r="J11"/>
  <c r="H11"/>
  <c r="C49" i="21"/>
  <c r="F63" i="67"/>
  <c r="C62" s="1"/>
  <c r="C34"/>
  <c r="J20"/>
  <c r="C24" i="68"/>
  <c r="J20" i="15"/>
  <c r="F63"/>
  <c r="C62" s="1"/>
  <c r="C34"/>
  <c r="R16" i="1"/>
  <c r="C22" i="12"/>
  <c r="C30" s="1"/>
  <c r="C28" s="1"/>
  <c r="C33" i="68"/>
  <c r="I63" i="40"/>
  <c r="H65"/>
  <c r="C39" i="11"/>
  <c r="C43" s="1"/>
  <c r="C41" s="1"/>
  <c r="I70" i="39"/>
  <c r="E29" i="43" l="1"/>
  <c r="C30"/>
  <c r="E30" s="1"/>
  <c r="G34"/>
  <c r="I34" s="1"/>
  <c r="E34"/>
  <c r="G35"/>
  <c r="I35" s="1"/>
  <c r="E35"/>
  <c r="G37"/>
  <c r="I37" s="1"/>
  <c r="E37"/>
  <c r="G33"/>
  <c r="I33" s="1"/>
  <c r="E33"/>
  <c r="G38"/>
  <c r="I38" s="1"/>
  <c r="E38"/>
  <c r="E36"/>
  <c r="G36"/>
  <c r="I36" s="1"/>
  <c r="U11" i="39"/>
  <c r="AB11"/>
  <c r="AA11"/>
  <c r="S11"/>
  <c r="W11"/>
  <c r="AC11"/>
  <c r="C27" i="12"/>
  <c r="C25" s="1"/>
  <c r="C32" s="1"/>
  <c r="B2" s="1"/>
  <c r="B3" s="1"/>
  <c r="C39" i="68"/>
  <c r="C43" s="1"/>
  <c r="C42"/>
  <c r="J63" i="40"/>
  <c r="I65"/>
  <c r="C46" i="11"/>
  <c r="C45" s="1"/>
  <c r="C49" s="1"/>
  <c r="C51" s="1"/>
  <c r="C52" s="1"/>
  <c r="B2" s="1"/>
  <c r="B3" s="1"/>
  <c r="J70" i="39"/>
  <c r="C26" i="43" l="1"/>
  <c r="C27"/>
  <c r="C41" i="68"/>
  <c r="C46"/>
  <c r="C45" s="1"/>
  <c r="K63" i="40"/>
  <c r="J65"/>
  <c r="K70" i="39"/>
  <c r="C56" i="11"/>
  <c r="C57" s="1"/>
  <c r="E6" i="76"/>
  <c r="E2" l="1"/>
  <c r="B2" i="43"/>
  <c r="C49" i="68"/>
  <c r="C51" s="1"/>
  <c r="L63" i="40"/>
  <c r="K65"/>
  <c r="L70" i="39"/>
  <c r="E2" i="70"/>
  <c r="C34" i="69"/>
  <c r="C17" i="67"/>
  <c r="B6" i="76"/>
  <c r="B2" l="1"/>
  <c r="B3" s="1"/>
  <c r="B3" i="43"/>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M27" i="67"/>
  <c r="F41"/>
  <c r="M27" i="15"/>
  <c r="F41"/>
  <c r="L51"/>
  <c r="Q67" l="1"/>
  <c r="J26"/>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E2" i="69"/>
  <c r="AO6" i="1"/>
  <c r="AO7"/>
  <c r="AO8"/>
  <c r="B8" i="70" l="1"/>
  <c r="B7"/>
  <c r="B6"/>
  <c r="C46" i="15"/>
  <c r="B2" i="69"/>
  <c r="B3" s="1"/>
  <c r="B3" i="67"/>
  <c r="D2" i="36"/>
  <c r="D2" i="33"/>
  <c r="D2" i="34"/>
  <c r="E2" i="68"/>
  <c r="D2" i="37"/>
  <c r="F20" i="31"/>
  <c r="D2" i="21"/>
  <c r="D2" i="35"/>
  <c r="B20" i="31" l="1"/>
  <c r="B2" i="36"/>
  <c r="B3" s="1"/>
  <c r="B2" i="35"/>
  <c r="B3" s="1"/>
  <c r="B2" i="37"/>
  <c r="B3" s="1"/>
  <c r="B2" i="34"/>
  <c r="B3" s="1"/>
  <c r="B2" i="21"/>
  <c r="B3" s="1"/>
  <c r="B2" i="70"/>
  <c r="B3" s="1"/>
  <c r="D20" i="9"/>
  <c r="D19"/>
  <c r="D102" l="1"/>
  <c r="D21"/>
  <c r="D103"/>
  <c r="H109" l="1"/>
  <c r="M49" s="1"/>
  <c r="L68" s="1"/>
  <c r="M68" s="1"/>
  <c r="L65" l="1"/>
  <c r="M65" s="1"/>
  <c r="L66"/>
  <c r="M66" s="1"/>
  <c r="L64"/>
  <c r="M64" s="1"/>
  <c r="L63"/>
  <c r="M63" s="1"/>
  <c r="L67"/>
  <c r="M67" s="1"/>
  <c r="H110"/>
  <c r="D18" i="53" s="1"/>
  <c r="B35" i="72" s="1"/>
  <c r="D124" i="9"/>
  <c r="D16" i="53"/>
  <c r="B34" i="72" s="1"/>
  <c r="M69" i="9" l="1"/>
  <c r="D10" i="52"/>
  <c r="H14" i="74"/>
  <c r="D17" i="53"/>
  <c r="B36" i="72" s="1"/>
  <c r="D125" i="9"/>
  <c r="D11" i="52" s="1"/>
  <c r="N69" i="9" l="1"/>
  <c r="B7" i="74"/>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C6" i="68" s="1"/>
  <c r="B3" i="39" l="1"/>
  <c r="C7" i="68"/>
  <c r="C5" s="1"/>
  <c r="C23" l="1"/>
  <c r="C20"/>
  <c r="C28" l="1"/>
  <c r="C27" s="1"/>
  <c r="C25"/>
  <c r="C22" s="1"/>
  <c r="H112" i="9"/>
  <c r="D21" i="53" s="1"/>
  <c r="B39" i="72" s="1"/>
  <c r="H111" i="9"/>
  <c r="D126" s="1"/>
  <c r="D19" i="53"/>
  <c r="D59" i="9"/>
  <c r="M55"/>
  <c r="I14" i="74" l="1"/>
  <c r="B8" s="1"/>
  <c r="D127" i="9"/>
  <c r="D13" i="52" s="1"/>
  <c r="D12"/>
  <c r="B38" i="72"/>
  <c r="D20" i="53"/>
  <c r="B40" i="72" s="1"/>
  <c r="C31" i="68"/>
  <c r="C52" s="1"/>
  <c r="C57" s="1"/>
  <c r="C56" s="1"/>
  <c r="D8" i="74" l="1"/>
  <c r="C8"/>
  <c r="B2" i="68"/>
  <c r="B3"/>
  <c r="C19" i="9"/>
  <c r="C20"/>
  <c r="D35"/>
  <c r="C103" l="1"/>
  <c r="G20"/>
  <c r="C21"/>
  <c r="G19"/>
  <c r="C102"/>
  <c r="D22"/>
  <c r="D34"/>
  <c r="G21" l="1"/>
  <c r="C32"/>
  <c r="C35" s="1"/>
  <c r="F118" s="1"/>
  <c r="H118" l="1"/>
  <c r="C34"/>
  <c r="D118" s="1"/>
  <c r="G118"/>
  <c r="G4" i="52" s="1"/>
  <c r="B52" i="72" s="1"/>
  <c r="F119" i="9"/>
  <c r="F5" i="52" s="1"/>
  <c r="B53" i="72" s="1"/>
  <c r="F4" i="52"/>
  <c r="B51" i="72" s="1"/>
  <c r="C104" i="9" l="1"/>
  <c r="H4" i="52"/>
  <c r="D14" i="74"/>
  <c r="E14" s="1"/>
  <c r="H101" i="9"/>
  <c r="H107" s="1"/>
  <c r="I118"/>
  <c r="I4" i="52" s="1"/>
  <c r="H119" i="9"/>
  <c r="H5" i="52" s="1"/>
  <c r="D119" i="9"/>
  <c r="D5" i="52" s="1"/>
  <c r="B49" i="72" s="1"/>
  <c r="D4" i="52"/>
  <c r="B47" i="72" s="1"/>
  <c r="C105" i="9"/>
  <c r="F14" i="74" l="1"/>
  <c r="H102" i="9"/>
  <c r="D7" i="53" s="1"/>
  <c r="B21" i="72" s="1"/>
  <c r="D45" i="9"/>
  <c r="D53" s="1"/>
  <c r="M48"/>
  <c r="E118"/>
  <c r="E4" i="52" s="1"/>
  <c r="B48" i="72" s="1"/>
  <c r="D5" i="53"/>
  <c r="B20" i="72" s="1"/>
  <c r="H108" i="9"/>
  <c r="D15" i="53" s="1"/>
  <c r="B31" i="72" s="1"/>
  <c r="D122" i="9"/>
  <c r="D13" i="53"/>
  <c r="D55" i="9" l="1"/>
  <c r="M53" s="1"/>
  <c r="C72"/>
  <c r="D52"/>
  <c r="C93"/>
  <c r="C86" s="1"/>
  <c r="C85"/>
  <c r="C64"/>
  <c r="C63" s="1"/>
  <c r="C67" s="1"/>
  <c r="C68" s="1"/>
  <c r="D54" s="1"/>
  <c r="C78"/>
  <c r="C73" s="1"/>
  <c r="D6" i="53"/>
  <c r="B22" i="72" s="1"/>
  <c r="G14" i="74"/>
  <c r="D123" i="9"/>
  <c r="D9" i="52" s="1"/>
  <c r="D8"/>
  <c r="D14" i="53"/>
  <c r="B32" i="72" s="1"/>
  <c r="B30"/>
  <c r="C79" i="9" l="1"/>
  <c r="C80" s="1"/>
  <c r="E80" s="1"/>
  <c r="E81" s="1"/>
  <c r="C95"/>
  <c r="C96" s="1"/>
  <c r="E96" s="1"/>
  <c r="E97" s="1"/>
  <c r="C97" l="1"/>
  <c r="D58" s="1"/>
  <c r="D56" s="1"/>
  <c r="M54" s="1"/>
  <c r="N57" s="1"/>
  <c r="N59" s="1"/>
  <c r="C81"/>
  <c r="N60" l="1"/>
  <c r="N61"/>
  <c r="P57"/>
  <c r="N58"/>
  <c r="D15" i="74" l="1"/>
  <c r="K25" i="9"/>
  <c r="J19"/>
  <c r="E15" i="74" l="1"/>
  <c r="B5"/>
  <c r="F15"/>
  <c r="C5" l="1"/>
  <c r="D5"/>
  <c r="G15"/>
  <c r="B6" s="1"/>
  <c r="C6" l="1"/>
  <c r="D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<sst xmlns="http://schemas.openxmlformats.org/spreadsheetml/2006/main" count="7915" uniqueCount="3328">
  <si>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</si>
  <si>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</si>
  <si>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</si>
  <si>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</si>
  <si>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</si>
  <si>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</si>
  <si>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</si>
  <si>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</si>
  <si>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</si>
  <si>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</si>
  <si>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</si>
  <si>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</si>
  <si>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</si>
  <si>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</si>
  <si>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</si>
  <si>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</si>
  <si>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</si>
  <si>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</si>
  <si>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</si>
  <si>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</si>
  <si>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</si>
  <si>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</si>
  <si>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</si>
  <si>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</si>
  <si>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</si>
  <si>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</si>
  <si>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</si>
  <si>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</si>
  <si>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</si>
  <si>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</si>
  <si>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</si>
  <si>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</si>
  <si>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</si>
  <si>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</si>
  <si>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</si>
  <si>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</si>
  <si>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</si>
  <si>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</si>
  <si>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</si>
  <si>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</si>
  <si>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</si>
  <si>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</si>
  <si>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</si>
  <si>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</si>
  <si>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</si>
  <si>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</si>
  <si>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</si>
  <si>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</si>
  <si>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</si>
  <si>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</si>
  <si>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</si>
  <si>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</si>
  <si>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</si>
  <si>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</si>
  <si>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</si>
  <si>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</si>
  <si>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</si>
  <si>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</si>
  <si>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</si>
  <si>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</si>
  <si>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</si>
  <si>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</si>
  <si>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</si>
  <si>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</si>
  <si>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</si>
  <si>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</si>
  <si>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</si>
  <si>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</si>
  <si>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</si>
  <si>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</si>
  <si>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</si>
  <si>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</si>
  <si>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</si>
  <si>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</si>
  <si>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</si>
  <si>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</si>
  <si>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</si>
  <si>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</si>
  <si>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</si>
  <si>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</si>
  <si>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</si>
  <si>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</si>
  <si>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</si>
  <si>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</si>
  <si>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</si>
  <si>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</si>
  <si>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</si>
  <si>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</si>
  <si>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</si>
  <si>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</si>
  <si>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</si>
  <si>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</si>
  <si>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</si>
  <si>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</si>
  <si>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</si>
  <si>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</si>
  <si>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</si>
  <si>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</si>
  <si>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</si>
  <si>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</si>
  <si>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</si>
  <si>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</si>
  <si>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</si>
  <si>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</si>
  <si>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</si>
  <si>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</si>
  <si>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</si>
  <si>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</si>
  <si>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</si>
  <si>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</si>
  <si>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</si>
  <si>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</si>
  <si>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</si>
  <si>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</si>
  <si>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</si>
  <si>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</si>
  <si>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</si>
  <si>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</si>
  <si>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</si>
  <si>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</si>
  <si>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</si>
  <si>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</si>
  <si>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</si>
  <si>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</si>
  <si>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</si>
  <si>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</si>
  <si>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</si>
  <si>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</si>
  <si>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</si>
  <si>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</si>
  <si>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</si>
  <si>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</si>
  <si>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</si>
  <si>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</si>
  <si>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</si>
  <si>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</si>
  <si>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</si>
  <si>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</si>
  <si>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</si>
  <si>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</si>
  <si>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</si>
  <si>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</si>
  <si>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</si>
  <si>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</si>
  <si>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</si>
  <si>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</si>
  <si>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</si>
  <si>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</si>
  <si>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</si>
  <si>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</si>
  <si>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</si>
  <si>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</si>
  <si>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</si>
  <si>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</si>
  <si>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</si>
  <si>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</si>
  <si>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</si>
  <si>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</si>
  <si>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</si>
  <si>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</si>
  <si>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</si>
  <si>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</si>
  <si>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</si>
  <si>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</si>
  <si>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</si>
  <si>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</si>
  <si>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</si>
  <si>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</si>
  <si>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</si>
  <si>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</si>
  <si>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</si>
  <si>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</si>
  <si>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</si>
  <si>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</si>
  <si>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</si>
  <si>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</si>
  <si>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</si>
  <si>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</si>
  <si>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</si>
  <si>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</si>
  <si>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</si>
  <si>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</si>
  <si>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</si>
  <si>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</si>
  <si>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</si>
  <si>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</si>
  <si>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</si>
  <si>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</si>
  <si>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</si>
  <si>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</si>
  <si>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</si>
  <si>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</si>
  <si>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</si>
  <si>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</si>
  <si>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</si>
  <si>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</si>
  <si>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</si>
  <si>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</si>
  <si>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</si>
  <si>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</si>
  <si>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</si>
  <si>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</si>
  <si>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</si>
  <si>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</si>
  <si>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</si>
  <si>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</si>
  <si>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</si>
  <si>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</si>
  <si>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</si>
  <si>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</si>
  <si>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</si>
  <si>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</si>
  <si>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</si>
  <si>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</si>
  <si>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</si>
  <si>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</si>
  <si>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</si>
  <si>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</si>
  <si>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</si>
  <si>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</si>
  <si>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</si>
  <si>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</si>
  <si>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</si>
  <si>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</si>
  <si>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</si>
  <si>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</si>
  <si>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</si>
  <si>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</si>
  <si>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</si>
  <si>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</si>
  <si>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</si>
  <si>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</si>
  <si>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</si>
  <si>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</si>
  <si>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</si>
  <si>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</si>
  <si>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</si>
  <si>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</si>
  <si>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</si>
  <si>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</si>
  <si>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</si>
  <si>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</si>
  <si>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</si>
  <si>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</si>
  <si>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</si>
  <si>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</si>
  <si>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</si>
  <si>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</si>
  <si>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</si>
  <si>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</si>
  <si>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</si>
  <si>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</si>
  <si>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</si>
  <si>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</si>
  <si>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</si>
  <si>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</si>
  <si>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</si>
  <si>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</si>
  <si>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</si>
  <si>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</si>
  <si>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</si>
  <si>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</si>
  <si>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</si>
  <si>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</si>
  <si>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</si>
  <si>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</si>
  <si>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</si>
  <si>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</si>
  <si>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</si>
  <si>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</si>
  <si>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</si>
  <si>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</si>
  <si>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</si>
  <si>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</si>
  <si>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</si>
  <si>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</si>
  <si>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</si>
  <si>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</si>
  <si>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</si>
  <si>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</si>
  <si>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</si>
  <si>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</si>
  <si>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</si>
  <si>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</si>
  <si>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</si>
  <si>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</si>
  <si>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</si>
  <si>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</si>
  <si>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</si>
  <si>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</si>
  <si>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</si>
  <si>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</si>
  <si>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</si>
  <si>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</si>
  <si>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</si>
  <si>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</si>
  <si>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</si>
  <si>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</si>
  <si>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</si>
  <si>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</si>
  <si>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</si>
  <si>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</si>
  <si>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</si>
  <si>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</si>
  <si>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</si>
  <si>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</si>
  <si>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</si>
  <si>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</si>
  <si>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</si>
  <si>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</si>
  <si>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</si>
  <si>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</si>
  <si>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</si>
  <si>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</si>
  <si>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</si>
  <si>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</si>
  <si>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</si>
  <si>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</si>
  <si>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</si>
  <si>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</si>
  <si>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</si>
  <si>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</si>
  <si>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</si>
  <si>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</si>
  <si>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</si>
  <si>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</si>
  <si>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</si>
  <si>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</si>
  <si>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</si>
  <si>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</si>
  <si>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</si>
  <si>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</si>
  <si>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</si>
  <si>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</si>
  <si>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</si>
  <si>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</si>
  <si>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</si>
  <si>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</si>
  <si>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</si>
  <si>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</si>
  <si>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</si>
  <si>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</si>
  <si>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</si>
  <si>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</si>
  <si>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</si>
  <si>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</si>
  <si>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</si>
  <si>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</si>
  <si>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</si>
  <si>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</si>
  <si>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</si>
  <si>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</si>
  <si>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</si>
  <si>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</si>
  <si>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</si>
  <si>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</si>
  <si>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</si>
  <si>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</si>
  <si>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</si>
  <si>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</si>
  <si>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</si>
  <si>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</si>
  <si>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</si>
  <si>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</si>
  <si>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</si>
  <si>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</si>
  <si>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</si>
  <si>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</si>
  <si>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</si>
  <si>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</si>
  <si>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</si>
  <si>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</si>
  <si>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</si>
  <si>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</si>
  <si>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</si>
  <si>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</si>
  <si>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</si>
  <si>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</si>
  <si>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</si>
  <si>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</si>
  <si>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</si>
  <si>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</si>
  <si>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</si>
  <si>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</si>
  <si>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</si>
  <si>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</si>
  <si>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</si>
  <si>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</si>
  <si>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</si>
  <si>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</si>
  <si>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</si>
  <si>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</si>
  <si>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</si>
  <si>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</si>
  <si>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</si>
  <si>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</si>
  <si>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</si>
  <si>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</si>
  <si>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</si>
  <si>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</si>
  <si>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</si>
  <si>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</si>
  <si>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</si>
  <si>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</si>
  <si>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</si>
  <si>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</si>
  <si>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</si>
  <si>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</si>
  <si>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</si>
  <si>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</si>
  <si>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</si>
  <si>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</si>
  <si>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</si>
  <si>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</si>
  <si>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</si>
  <si>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</si>
  <si>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</si>
  <si>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</si>
  <si>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</si>
  <si>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</si>
  <si>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</si>
  <si>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</si>
  <si>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</si>
  <si>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</si>
  <si>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</si>
  <si>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</si>
  <si>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</si>
  <si>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</si>
  <si>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</si>
  <si>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</si>
  <si>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</si>
  <si>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</si>
  <si>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</si>
  <si>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</si>
  <si>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</si>
  <si>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</si>
  <si>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</si>
  <si>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</si>
  <si>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</si>
  <si>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</si>
  <si>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</si>
  <si>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</si>
  <si>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</si>
  <si>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</si>
  <si>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</si>
  <si>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</si>
  <si>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</si>
  <si>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</si>
  <si>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</si>
  <si>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</si>
  <si>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</si>
  <si>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</si>
  <si>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</si>
  <si>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</si>
  <si>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</si>
  <si>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</si>
  <si>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</si>
  <si>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</si>
  <si>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</si>
  <si>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</si>
  <si>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</si>
  <si>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</si>
  <si>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</si>
  <si>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</si>
  <si>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</si>
  <si>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</si>
  <si>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</si>
  <si>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</si>
  <si>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</si>
  <si>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</si>
  <si>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</si>
  <si>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</si>
  <si>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</si>
  <si>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</si>
  <si>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</si>
  <si>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</si>
  <si>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</si>
  <si>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</si>
  <si>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</si>
  <si>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</si>
  <si>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</si>
  <si>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</si>
  <si>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</si>
  <si>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</si>
  <si>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</si>
  <si>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</si>
  <si>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</si>
  <si>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</si>
  <si>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</si>
  <si>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</si>
  <si>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</si>
  <si>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</si>
  <si>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</si>
  <si>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</si>
  <si>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</si>
  <si>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</si>
  <si>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</si>
  <si>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</si>
  <si>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</si>
  <si>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</si>
  <si>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</si>
  <si>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</si>
  <si>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</si>
  <si>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</si>
  <si>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</si>
  <si>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</si>
  <si>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</si>
  <si>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</si>
  <si>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</si>
  <si>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</si>
  <si>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</si>
  <si>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</si>
  <si>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</si>
  <si>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</si>
  <si>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</si>
  <si>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</si>
  <si>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</si>
  <si>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</si>
  <si>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</si>
  <si>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</si>
  <si>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</si>
  <si>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</si>
  <si>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</si>
  <si>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</si>
  <si>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</si>
  <si>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</si>
  <si>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</si>
  <si>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</si>
  <si>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</si>
  <si>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</si>
  <si>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</si>
  <si>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</si>
  <si>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</si>
  <si>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</si>
  <si>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</si>
  <si>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</si>
  <si>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</si>
  <si>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</si>
  <si>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</si>
  <si>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</si>
  <si>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</si>
  <si>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</si>
  <si>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</si>
  <si>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</si>
  <si>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</si>
  <si>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</si>
  <si>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</si>
  <si>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</si>
  <si>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</si>
  <si>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</si>
  <si>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</si>
  <si>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</si>
  <si>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</si>
  <si>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</si>
  <si>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</si>
  <si>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</si>
  <si>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</si>
  <si>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</si>
  <si>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</si>
  <si>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</si>
  <si>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</si>
  <si>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</si>
  <si>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</si>
  <si>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</si>
  <si>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</si>
  <si>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</si>
  <si>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</si>
  <si>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</si>
  <si>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</si>
  <si>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</si>
  <si>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</si>
  <si>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</si>
  <si>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</si>
  <si>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</si>
  <si>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</si>
  <si>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</si>
  <si>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</si>
  <si>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</si>
  <si>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</si>
  <si>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</si>
  <si>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</si>
  <si>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</si>
  <si>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</si>
  <si>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</si>
  <si>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</si>
  <si>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</si>
  <si>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</si>
  <si>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</si>
  <si>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</si>
  <si>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</si>
  <si>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</si>
  <si>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</si>
  <si>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</si>
  <si>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</si>
  <si>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</si>
  <si>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</si>
  <si>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</si>
  <si>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</si>
  <si>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</si>
  <si>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</si>
  <si>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</si>
  <si>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</si>
  <si>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</si>
  <si>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</si>
  <si>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</si>
  <si>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</si>
  <si>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</si>
  <si>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</si>
  <si>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</si>
  <si>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</si>
  <si>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</si>
  <si>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</si>
  <si>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</si>
  <si>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</si>
  <si>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</si>
  <si>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</si>
  <si>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</si>
  <si>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</si>
  <si>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</si>
  <si>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</si>
  <si>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</si>
  <si>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</si>
  <si>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</si>
  <si>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</si>
  <si>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</si>
  <si>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</si>
  <si>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</si>
  <si>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</si>
  <si>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</si>
  <si>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</si>
  <si>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</si>
  <si>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</si>
  <si>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</si>
  <si>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</si>
  <si>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</si>
  <si>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</si>
  <si>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</si>
  <si>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</si>
  <si>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</si>
  <si>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</si>
  <si>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</si>
  <si>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</si>
  <si>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</si>
  <si>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</si>
  <si>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</si>
  <si>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</si>
  <si>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</si>
  <si>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</si>
  <si>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</si>
  <si>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</si>
  <si>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</si>
  <si>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</si>
  <si>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</si>
  <si>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</si>
  <si>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</si>
  <si>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</si>
  <si>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</si>
  <si>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</si>
  <si>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</si>
  <si>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</si>
  <si>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</si>
  <si>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</si>
  <si>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</si>
  <si>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</si>
  <si>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</si>
  <si>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</si>
  <si>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</si>
  <si>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</si>
  <si>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</si>
  <si>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</si>
  <si>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</si>
  <si>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</si>
  <si>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</si>
  <si>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</si>
  <si>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</si>
  <si>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</si>
  <si>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</si>
  <si>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</si>
  <si>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</si>
  <si>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</si>
  <si>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</si>
  <si>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</si>
  <si>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</si>
  <si>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</si>
  <si>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</si>
  <si>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</si>
  <si>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</si>
  <si>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</si>
  <si>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</si>
  <si>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</si>
  <si>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</si>
  <si>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</si>
  <si>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</si>
  <si>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</si>
  <si>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</si>
  <si>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</si>
  <si>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</si>
  <si>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</si>
  <si>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</si>
  <si>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</si>
  <si>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</si>
  <si>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</si>
  <si>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</si>
  <si>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</si>
  <si>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</si>
  <si>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</si>
  <si>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</si>
  <si>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</si>
  <si>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</si>
  <si>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</si>
  <si>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</si>
  <si>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</si>
  <si>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</si>
  <si>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</si>
  <si>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</si>
  <si>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</si>
  <si>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</si>
  <si>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</si>
  <si>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</si>
  <si>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</si>
  <si>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</si>
  <si>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</si>
  <si>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</si>
  <si>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</si>
  <si>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</si>
  <si>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</si>
  <si>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</si>
  <si>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</si>
  <si>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</si>
  <si>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</si>
  <si>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</si>
  <si>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</si>
  <si>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</si>
  <si>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</si>
  <si>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</si>
  <si>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</si>
  <si>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</si>
  <si>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</si>
  <si>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</si>
  <si>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</si>
  <si>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</si>
  <si>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</si>
  <si>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</si>
  <si>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</si>
  <si>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</si>
  <si>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</si>
  <si>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</si>
  <si>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</si>
  <si>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</si>
  <si>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</si>
  <si>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</si>
  <si>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</si>
  <si>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</si>
  <si>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</si>
  <si>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</si>
  <si>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</si>
  <si>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</si>
  <si>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</si>
  <si>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</si>
  <si>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</si>
  <si>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</si>
  <si>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</si>
  <si>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</si>
  <si>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</si>
  <si>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</si>
  <si>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</si>
  <si>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</si>
  <si>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</si>
  <si>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</si>
  <si>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</si>
  <si>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</si>
  <si>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</si>
  <si>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</si>
  <si>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</si>
  <si>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</si>
  <si>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</si>
  <si>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</si>
  <si>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</si>
  <si>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</si>
  <si>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</si>
  <si>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</si>
  <si>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</si>
  <si>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</si>
  <si>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</si>
  <si>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</si>
  <si>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</si>
  <si>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</si>
  <si>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</si>
  <si>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</si>
  <si>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</si>
  <si>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</si>
  <si>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</si>
  <si>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</si>
  <si>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</si>
  <si>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</si>
  <si>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</si>
  <si>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</si>
  <si>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</si>
  <si>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</si>
  <si>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</si>
  <si>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</si>
  <si>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</si>
  <si>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</si>
  <si>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</si>
  <si>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</si>
  <si>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</si>
  <si>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</si>
  <si>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</si>
  <si>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</si>
  <si>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</si>
  <si>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</si>
  <si>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</si>
  <si>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</si>
  <si>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</si>
  <si>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</si>
  <si>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</si>
  <si>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</si>
  <si>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</si>
  <si>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</si>
  <si>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</si>
  <si>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</si>
  <si>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</si>
  <si>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</si>
  <si>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</si>
  <si>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</si>
  <si>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</si>
  <si>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</si>
  <si>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</si>
  <si>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</si>
  <si>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</si>
  <si>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</si>
  <si>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</si>
  <si>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</si>
  <si>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</si>
  <si>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</si>
  <si>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</si>
  <si>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</si>
  <si>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</si>
  <si>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</si>
  <si>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</si>
  <si>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</si>
  <si>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</si>
  <si>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</si>
  <si>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</si>
  <si>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</si>
  <si>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</si>
  <si>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</si>
  <si>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</si>
  <si>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</si>
  <si>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</si>
  <si>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</si>
  <si>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</si>
  <si>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</si>
  <si>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</si>
  <si>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</si>
  <si>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</si>
  <si>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</si>
  <si>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</si>
  <si>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</si>
  <si>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</si>
  <si>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</si>
  <si>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</si>
  <si>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</si>
  <si>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</si>
  <si>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</si>
  <si>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</si>
  <si>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</si>
  <si>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</si>
  <si>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</si>
  <si>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</si>
  <si>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</si>
  <si>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</si>
  <si>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</si>
  <si>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</si>
  <si>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</si>
  <si>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</si>
  <si>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</si>
  <si>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</si>
  <si>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</si>
  <si>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</si>
  <si>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</si>
  <si>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</si>
  <si>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</si>
  <si>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</si>
  <si>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</si>
  <si>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</si>
  <si>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</si>
  <si>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</si>
  <si>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</si>
  <si>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</si>
  <si>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</si>
  <si>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</si>
  <si>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</si>
  <si>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</si>
  <si>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</si>
  <si>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</si>
  <si>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</si>
  <si>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</si>
  <si>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</si>
  <si>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</si>
  <si>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</si>
  <si>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</si>
  <si>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</si>
  <si>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</si>
  <si>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</si>
  <si>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</si>
  <si>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</si>
  <si>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</si>
  <si>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</si>
  <si>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</si>
  <si>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</si>
  <si>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</si>
  <si>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</si>
  <si>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</si>
  <si>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</si>
  <si>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</si>
  <si>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</si>
  <si>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</si>
  <si>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</si>
  <si>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</si>
  <si>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</si>
  <si>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</si>
  <si>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</si>
  <si>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</si>
  <si>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</si>
  <si>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</si>
  <si>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</si>
  <si>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</si>
  <si>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</si>
  <si>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</si>
  <si>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</si>
  <si>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</si>
  <si>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</si>
  <si>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</si>
  <si>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</si>
  <si>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</si>
  <si>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</si>
  <si>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</si>
  <si>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</si>
  <si>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</si>
  <si>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</si>
  <si>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</si>
  <si>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</si>
  <si>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</si>
  <si>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</si>
  <si>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</si>
  <si>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</si>
  <si>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</si>
  <si>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</si>
  <si>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</si>
  <si>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</si>
  <si>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</si>
  <si>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</si>
  <si>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</si>
  <si>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</si>
  <si>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</si>
  <si>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</si>
  <si>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</si>
  <si>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</si>
  <si>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</si>
  <si>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</si>
  <si>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</si>
  <si>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</si>
  <si>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</si>
  <si>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</si>
  <si>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</si>
  <si>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</si>
  <si>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</si>
  <si>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</si>
  <si>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</si>
  <si>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</si>
  <si>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</si>
  <si>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</si>
  <si>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</si>
  <si>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</si>
  <si>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</si>
  <si>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</si>
  <si>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</si>
  <si>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</si>
  <si>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</si>
  <si>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</si>
  <si>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</si>
  <si>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</si>
  <si>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</si>
  <si>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</si>
  <si>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</si>
  <si>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</si>
  <si>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</si>
  <si>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</si>
  <si>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</si>
  <si>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</si>
  <si>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</si>
  <si>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</si>
  <si>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</si>
  <si>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</si>
  <si>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</si>
  <si>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</si>
  <si>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</si>
  <si>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</si>
  <si>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</si>
  <si>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</si>
  <si>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</si>
  <si>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</si>
  <si>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</si>
  <si>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</si>
  <si>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</si>
  <si>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</si>
  <si>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</si>
  <si>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</si>
  <si>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</si>
  <si>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</si>
  <si>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</si>
  <si>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</si>
  <si>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</si>
  <si>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</si>
  <si>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</si>
  <si>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</si>
  <si>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</si>
  <si>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</si>
  <si>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</si>
  <si>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</si>
  <si>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</si>
  <si>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</si>
  <si>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</si>
  <si>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</si>
  <si>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</si>
  <si>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</si>
  <si>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</si>
  <si>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</si>
  <si>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</si>
  <si>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</si>
  <si>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</si>
  <si>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</si>
  <si>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</si>
  <si>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</si>
  <si>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</si>
  <si>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</si>
  <si>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</si>
  <si>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</si>
  <si>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</si>
  <si>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</si>
  <si>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</si>
  <si>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</si>
  <si>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</si>
  <si>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</si>
  <si>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</si>
  <si>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</si>
  <si>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</si>
  <si>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</si>
  <si>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</si>
  <si>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</si>
  <si>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</si>
  <si>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</si>
  <si>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</si>
  <si>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</si>
  <si>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</si>
  <si>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</si>
  <si>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</si>
  <si>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</si>
  <si>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</si>
  <si>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</si>
  <si>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</si>
  <si>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</si>
  <si>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</si>
  <si>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</si>
  <si>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</si>
  <si>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</si>
  <si>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</si>
  <si>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</si>
  <si>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</si>
  <si>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</si>
  <si>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</si>
  <si>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</si>
  <si>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</si>
  <si>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</si>
  <si>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</si>
  <si>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</si>
  <si>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</si>
  <si>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</si>
  <si>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</si>
  <si>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</si>
  <si>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</si>
  <si>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</si>
  <si>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</si>
  <si>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</si>
  <si>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</si>
  <si>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</si>
  <si>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</si>
  <si>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</si>
  <si>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</si>
  <si>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</si>
  <si>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</si>
  <si>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</si>
  <si>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</si>
  <si>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</si>
  <si>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</si>
  <si>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</si>
  <si>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</si>
  <si>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</si>
  <si>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</si>
  <si>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</si>
  <si>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</si>
  <si>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</si>
  <si>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</si>
  <si>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</si>
  <si>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</si>
  <si>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</si>
  <si>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</si>
  <si>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</si>
  <si>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</si>
  <si>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</si>
  <si>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</si>
  <si>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</si>
  <si>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</si>
  <si>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</si>
  <si>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</si>
  <si>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</si>
  <si>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</si>
  <si>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</si>
  <si>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</si>
  <si>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</si>
  <si>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</si>
  <si>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</si>
  <si>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</si>
  <si>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</si>
  <si>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</si>
  <si>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</si>
  <si>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</si>
  <si>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</si>
  <si>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</si>
  <si>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</si>
  <si>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</si>
  <si>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</si>
  <si>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</si>
  <si>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</si>
  <si>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</si>
  <si>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</si>
  <si>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</si>
  <si>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</si>
  <si>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</si>
  <si>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</si>
  <si>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</si>
  <si>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</si>
  <si>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</si>
  <si>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</si>
  <si>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</si>
  <si>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</si>
  <si>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</si>
  <si>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</si>
  <si>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</si>
  <si>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</si>
  <si>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</si>
  <si>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</si>
  <si>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</si>
  <si>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</si>
  <si>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</si>
  <si>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</si>
  <si>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</si>
  <si>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</si>
  <si>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</si>
  <si>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</si>
  <si>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</si>
  <si>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</si>
  <si>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</si>
  <si>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</si>
  <si>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</si>
  <si>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</si>
  <si>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</si>
  <si>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</si>
  <si>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</si>
  <si>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</si>
  <si>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</si>
  <si>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</si>
  <si>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</si>
  <si>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</si>
  <si>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</si>
  <si>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</si>
  <si>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</si>
  <si>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</si>
  <si>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</si>
  <si>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</si>
  <si>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</si>
  <si>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</si>
  <si>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</si>
  <si>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</si>
  <si>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</si>
  <si>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</si>
  <si>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</si>
  <si>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</si>
  <si>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</si>
  <si>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</si>
  <si>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</si>
  <si>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</si>
  <si>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</si>
  <si>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</si>
  <si>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</si>
  <si>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</si>
  <si>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</si>
  <si>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</si>
  <si>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</si>
  <si>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</si>
  <si>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</si>
  <si>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</si>
  <si>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</si>
  <si>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</si>
  <si>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</si>
  <si>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</si>
  <si>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</si>
  <si>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</si>
  <si>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</si>
  <si>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</si>
  <si>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</si>
  <si>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</si>
  <si>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</si>
  <si>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</si>
  <si>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</si>
  <si>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</si>
  <si>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</si>
  <si>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</si>
  <si>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</si>
  <si>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</si>
  <si>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</si>
  <si>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</si>
  <si>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</si>
  <si>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</si>
  <si>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</si>
  <si>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</si>
  <si>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</si>
  <si>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</si>
  <si>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</si>
  <si>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</si>
  <si>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</si>
  <si>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</si>
  <si>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</si>
  <si>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</si>
  <si>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</si>
  <si>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</si>
  <si>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</si>
  <si>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</si>
  <si>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</si>
  <si>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</si>
  <si>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</si>
  <si>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</si>
  <si>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</si>
  <si>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</si>
  <si>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</si>
  <si>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</si>
  <si>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</si>
  <si>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</si>
  <si>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</si>
  <si>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</si>
  <si>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</si>
  <si>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</si>
  <si>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</si>
  <si>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</si>
  <si>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</si>
  <si>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</si>
  <si>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</si>
  <si>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</si>
  <si>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</si>
  <si>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</si>
  <si>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</si>
  <si>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</si>
  <si>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</si>
  <si>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</si>
  <si>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</si>
  <si>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</si>
  <si>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</si>
  <si>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</si>
  <si>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</si>
  <si>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</si>
  <si>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</si>
  <si>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</si>
  <si>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</si>
  <si>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</si>
  <si>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</si>
  <si>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</si>
  <si>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</si>
  <si>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</si>
  <si>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</si>
  <si>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</si>
  <si>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</si>
  <si>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</si>
  <si>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</si>
  <si>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</si>
  <si>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</si>
  <si>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</si>
  <si>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</si>
  <si>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</si>
  <si>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</si>
  <si>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</si>
  <si>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</si>
  <si>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</si>
  <si>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</si>
  <si>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</si>
  <si>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</si>
  <si>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</si>
  <si>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</si>
  <si>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</si>
  <si>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</si>
  <si>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</si>
  <si>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</si>
  <si>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</si>
  <si>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</si>
  <si>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</si>
  <si>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</si>
  <si>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</si>
  <si>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</si>
  <si>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</si>
  <si>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</si>
  <si>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</si>
  <si>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</si>
  <si>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</si>
  <si>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</si>
  <si>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</si>
  <si>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</si>
  <si>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</si>
  <si>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</si>
  <si>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</si>
  <si>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</si>
  <si>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</si>
  <si>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</si>
  <si>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</si>
  <si>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</si>
  <si>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</si>
  <si>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</si>
  <si>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</si>
  <si>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</si>
  <si>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</si>
  <si>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</si>
  <si>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</si>
  <si>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</si>
  <si>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</si>
  <si>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</si>
  <si>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</si>
  <si>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</si>
  <si>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</si>
  <si>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</si>
  <si>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</si>
  <si>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</si>
  <si>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</si>
  <si>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</si>
  <si>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</si>
  <si>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</si>
  <si>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</si>
  <si>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</si>
  <si>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</si>
  <si>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</si>
  <si>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</si>
  <si>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</si>
  <si>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</si>
  <si>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</si>
  <si>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</si>
  <si>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</si>
  <si>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</si>
  <si>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</si>
  <si>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</si>
  <si>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</si>
  <si>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</si>
  <si>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</si>
  <si>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</si>
  <si>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</si>
  <si>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</si>
  <si>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</si>
  <si>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</si>
  <si>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</si>
  <si>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</si>
  <si>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</si>
  <si>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</si>
  <si>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</si>
  <si>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</si>
  <si>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</si>
  <si>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</si>
  <si>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</si>
  <si>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</si>
  <si>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</si>
  <si>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</si>
  <si>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</si>
  <si>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</si>
  <si>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</si>
  <si>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</si>
  <si>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</si>
  <si>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</si>
  <si>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</si>
  <si>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</si>
  <si>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</si>
  <si>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</si>
  <si>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</si>
  <si>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</si>
  <si>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</si>
  <si>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</si>
  <si>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</si>
  <si>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</si>
  <si>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</si>
  <si>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</si>
  <si>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</si>
  <si>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</si>
  <si>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</si>
  <si>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</si>
  <si>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</si>
  <si>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</si>
  <si>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</si>
  <si>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</si>
  <si>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</si>
  <si>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</si>
  <si>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</si>
  <si>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</si>
  <si>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</si>
  <si>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</si>
  <si>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</si>
  <si>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</si>
  <si>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</si>
  <si>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</si>
  <si>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</si>
  <si>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</si>
  <si>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</si>
  <si>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</si>
  <si>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</si>
  <si>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</si>
  <si>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</si>
  <si>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</si>
  <si>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</si>
  <si>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</si>
  <si>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</si>
  <si>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</si>
  <si>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</si>
  <si>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</si>
  <si>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</si>
  <si>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</si>
  <si>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</si>
  <si>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</si>
  <si>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</si>
  <si>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</si>
  <si>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</si>
  <si>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</si>
  <si>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</si>
  <si>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</si>
  <si>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</si>
  <si>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</si>
  <si>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</si>
  <si>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</si>
  <si>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</si>
  <si>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</si>
  <si>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</si>
  <si>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</si>
  <si>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</si>
  <si>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</si>
  <si>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</si>
  <si>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</si>
  <si>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</si>
  <si>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</si>
  <si>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</si>
  <si>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</si>
  <si>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</si>
  <si>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</si>
  <si>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</si>
  <si>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</si>
  <si>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</si>
  <si>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</si>
  <si>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</si>
  <si>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</si>
  <si>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</si>
  <si>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</si>
  <si>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</si>
  <si>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</si>
  <si>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</si>
  <si>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</si>
  <si>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</si>
  <si>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</si>
  <si>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</si>
  <si>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</si>
  <si>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</si>
  <si>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</si>
  <si>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</si>
  <si>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</si>
  <si>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</si>
  <si>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</si>
  <si>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</si>
  <si>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</si>
  <si>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</si>
  <si>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</si>
  <si>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</si>
  <si>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</si>
  <si>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</si>
  <si>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</si>
  <si>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</si>
  <si>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</si>
  <si>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</si>
  <si>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</si>
  <si>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</si>
  <si>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</si>
  <si>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</si>
  <si>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</si>
  <si>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</si>
  <si>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</si>
  <si>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</si>
  <si>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</si>
  <si>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</si>
  <si>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</si>
  <si>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</si>
  <si>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</si>
  <si>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</si>
  <si>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</si>
  <si>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</si>
  <si>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</si>
  <si>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</si>
  <si>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</si>
  <si>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</si>
  <si>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</si>
  <si>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</si>
  <si>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</si>
  <si>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</si>
  <si>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</si>
  <si>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</si>
  <si>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</si>
  <si>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</si>
  <si>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</si>
  <si>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</si>
  <si>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</si>
  <si>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</si>
  <si>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</si>
  <si>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</si>
  <si>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</si>
  <si>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</si>
  <si>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</si>
  <si>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</si>
  <si>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</si>
  <si>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</si>
  <si>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</si>
  <si>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</si>
  <si>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</si>
  <si>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</si>
  <si>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</si>
  <si>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</si>
  <si>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</si>
  <si>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</si>
  <si>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</si>
  <si>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</si>
  <si>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</si>
  <si>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</si>
  <si>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</si>
  <si>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</si>
  <si>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</si>
  <si>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</si>
  <si>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</si>
  <si>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</si>
  <si>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</si>
  <si>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</si>
  <si>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</si>
  <si>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</si>
  <si>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</si>
  <si>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</si>
  <si>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</si>
  <si>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</si>
  <si>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</si>
  <si>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</si>
  <si>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</si>
  <si>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</si>
  <si>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</si>
  <si>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</si>
  <si>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</si>
  <si>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</si>
  <si>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</si>
  <si>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</si>
  <si>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</si>
  <si>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</si>
  <si>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</si>
  <si>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</si>
  <si>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</si>
  <si>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</si>
  <si>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</si>
  <si>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</si>
  <si>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</si>
  <si>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</si>
  <si>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</si>
  <si>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</si>
  <si>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</si>
  <si>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</si>
  <si>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</si>
  <si>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</si>
  <si>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</si>
  <si>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</si>
  <si>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</si>
  <si>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</si>
  <si>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</si>
  <si>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</si>
  <si>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</si>
  <si>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</si>
  <si>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</si>
  <si>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</si>
  <si>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</si>
  <si>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</si>
  <si>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</si>
  <si>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</si>
  <si>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</si>
  <si>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</si>
  <si>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</si>
  <si>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</si>
  <si>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</si>
  <si>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</si>
  <si>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</si>
  <si>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</si>
  <si>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</si>
  <si>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</si>
  <si>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</si>
  <si>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</si>
  <si>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</si>
  <si>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</si>
  <si>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</si>
  <si>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</si>
  <si>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</si>
  <si>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</si>
  <si>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</si>
  <si>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</si>
  <si>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</si>
  <si>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</si>
  <si>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</si>
  <si>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</si>
  <si>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</si>
  <si>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</si>
  <si>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</si>
  <si>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</si>
  <si>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</si>
  <si>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</si>
  <si>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</si>
  <si>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</si>
  <si>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</si>
  <si>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</si>
  <si>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</si>
  <si>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</si>
  <si>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</si>
  <si>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</si>
  <si>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</si>
  <si>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</si>
  <si>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</si>
  <si>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</si>
  <si>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</si>
  <si>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</si>
  <si>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</si>
  <si>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</si>
  <si>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</si>
  <si>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</si>
  <si>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</si>
  <si>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</si>
  <si>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</si>
  <si>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</si>
  <si>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</si>
  <si>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</si>
  <si>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</si>
  <si>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</si>
  <si>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</si>
  <si>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</si>
  <si>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</si>
  <si>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</si>
  <si>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</si>
  <si>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</si>
  <si>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</si>
  <si>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</si>
  <si>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</si>
  <si>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</si>
  <si>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</si>
  <si>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</si>
  <si>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</si>
  <si>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</si>
  <si>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</si>
  <si>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</si>
  <si>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</si>
  <si>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</si>
  <si>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</si>
  <si>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</si>
  <si>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</si>
  <si>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</si>
  <si>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</si>
  <si>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</si>
  <si>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</si>
  <si>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</si>
  <si>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</si>
  <si>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</si>
  <si>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</si>
  <si>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</si>
  <si>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</si>
  <si>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</si>
  <si>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</si>
  <si>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</si>
  <si>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</si>
  <si>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</si>
  <si>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</si>
  <si>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</si>
  <si>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</si>
  <si>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</si>
  <si>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</si>
  <si>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</si>
  <si>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</si>
  <si>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</si>
  <si>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</si>
  <si>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</si>
  <si>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</si>
  <si>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</si>
  <si>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</si>
  <si>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</si>
  <si>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</si>
  <si>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</si>
  <si>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</si>
  <si>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</si>
  <si>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</si>
  <si>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</si>
  <si>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</si>
  <si>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</si>
  <si>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</si>
  <si>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</si>
  <si>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</si>
  <si>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</si>
  <si>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</si>
  <si>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</si>
  <si>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</si>
  <si>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</si>
  <si>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</si>
  <si>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</si>
  <si>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</si>
  <si>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</si>
  <si>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</si>
  <si>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</si>
  <si>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</si>
  <si>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</si>
  <si>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</si>
  <si>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</si>
  <si>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</si>
  <si>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</si>
  <si>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</si>
  <si>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</si>
  <si>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</si>
  <si>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</si>
  <si>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</si>
  <si>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</si>
  <si>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</si>
  <si>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</si>
  <si>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</si>
  <si>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</si>
  <si>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</si>
  <si>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</si>
  <si>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</si>
  <si>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</si>
  <si>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</si>
  <si>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</si>
  <si>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</si>
  <si>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</si>
  <si>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</si>
  <si>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</si>
  <si>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</si>
  <si>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</si>
  <si>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</si>
  <si>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</si>
  <si>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</si>
  <si>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</si>
  <si>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</si>
  <si>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</si>
  <si>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</si>
  <si>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</si>
  <si>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</si>
  <si>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</si>
  <si>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</si>
  <si>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</si>
  <si>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</si>
  <si>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</si>
  <si>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</si>
  <si>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</si>
  <si>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</si>
  <si>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</si>
  <si>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</si>
  <si>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</si>
  <si>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</si>
  <si>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</si>
  <si>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</si>
  <si>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</si>
  <si>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</si>
  <si>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</si>
  <si>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</si>
  <si>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</si>
  <si>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</si>
  <si>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</si>
  <si>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</si>
  <si>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</si>
  <si>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</si>
  <si>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</si>
  <si>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</si>
  <si>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</si>
  <si>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</si>
  <si>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</si>
  <si>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</si>
  <si>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</si>
  <si>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</si>
  <si>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</si>
  <si>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</si>
  <si>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</si>
  <si>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</si>
  <si>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</si>
  <si>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</si>
  <si>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</si>
  <si>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</si>
  <si>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</si>
  <si>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</si>
  <si>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</si>
  <si>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</si>
  <si>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</si>
  <si>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</si>
  <si>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</si>
  <si>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</si>
  <si>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</si>
  <si>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</si>
  <si>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</si>
  <si>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</si>
  <si>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</si>
  <si>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</si>
  <si>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</si>
  <si>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</si>
  <si>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</si>
  <si>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</si>
  <si>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</si>
  <si>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</si>
  <si>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</si>
  <si>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</si>
  <si>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</si>
  <si>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</si>
  <si>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</si>
  <si>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</si>
  <si>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</si>
  <si>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</si>
  <si>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</si>
  <si>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</si>
  <si>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</si>
  <si>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</si>
  <si>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</si>
  <si>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</si>
  <si>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</si>
  <si>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</si>
  <si>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</si>
  <si>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</si>
  <si>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</si>
  <si>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</si>
  <si>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</si>
  <si>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</si>
  <si>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</si>
  <si>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</si>
  <si>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</si>
  <si>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</si>
  <si>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</si>
  <si>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</si>
  <si>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</si>
  <si>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</si>
  <si>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</si>
  <si>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</si>
  <si>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</si>
  <si>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</si>
  <si>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</si>
  <si>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</si>
  <si>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</si>
  <si>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</si>
  <si>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</si>
  <si>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</si>
  <si>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</si>
  <si>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</si>
  <si>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</si>
  <si>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</si>
  <si>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</si>
  <si>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</si>
  <si>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</si>
  <si>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</si>
  <si>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</si>
  <si>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</si>
  <si>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</si>
  <si>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</si>
  <si>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</si>
  <si>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</si>
  <si>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</si>
  <si>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</si>
  <si>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</si>
  <si>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</si>
  <si>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</si>
  <si>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</si>
  <si>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</si>
  <si>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</si>
  <si>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</si>
  <si>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</si>
  <si>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</si>
  <si>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</si>
  <si>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</si>
  <si>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</si>
  <si>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</si>
  <si>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</si>
  <si>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</si>
  <si>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</si>
  <si>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</si>
  <si>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</si>
  <si>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</si>
  <si>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</si>
  <si>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</si>
  <si>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</si>
  <si>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</si>
  <si>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</si>
  <si>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</si>
  <si>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</si>
  <si>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</si>
  <si>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</si>
  <si>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</si>
  <si>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</si>
  <si>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</si>
  <si>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</si>
  <si>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</si>
  <si>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</si>
  <si>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</si>
  <si>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</si>
  <si>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</si>
  <si>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</si>
  <si>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</si>
  <si>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</si>
  <si>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</si>
  <si>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</si>
  <si>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</si>
  <si>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</si>
  <si>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</si>
  <si>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</si>
  <si>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</si>
  <si>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</si>
  <si>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</si>
  <si>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</si>
  <si>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</si>
  <si>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</si>
  <si>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</si>
  <si>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</si>
  <si>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</si>
  <si>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</si>
  <si>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</si>
  <si>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</si>
  <si>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</si>
  <si>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</si>
  <si>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</si>
  <si>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</si>
  <si>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</si>
  <si>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</si>
  <si>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</si>
  <si>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</si>
  <si>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</si>
  <si>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</si>
  <si>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</si>
  <si>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</si>
  <si>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</si>
  <si>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</si>
  <si>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</si>
  <si>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</si>
  <si>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</si>
  <si>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</si>
  <si>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</si>
  <si>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</si>
  <si>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</si>
  <si>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</si>
  <si>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</si>
  <si>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</si>
  <si>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</si>
  <si>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</si>
  <si>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</si>
  <si>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</si>
  <si>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</si>
  <si>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</si>
  <si>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</si>
  <si>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</si>
  <si>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</si>
  <si>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</si>
  <si>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</si>
  <si>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</si>
  <si>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</si>
  <si>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</si>
  <si>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</si>
  <si>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</si>
  <si>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</si>
  <si>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</si>
  <si>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</si>
  <si>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</si>
  <si>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</si>
  <si>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</si>
  <si>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</si>
  <si>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</si>
  <si>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</si>
  <si>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</si>
  <si>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</si>
  <si>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</si>
  <si>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</si>
  <si>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</si>
  <si>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</si>
  <si>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</si>
  <si>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</si>
  <si>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</si>
  <si>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</si>
  <si>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</si>
  <si>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</si>
  <si>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</si>
  <si>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</si>
  <si>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</si>
  <si>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</si>
  <si>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</si>
  <si>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</si>
  <si>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</si>
  <si>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</si>
  <si>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</si>
  <si>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</si>
  <si>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</si>
  <si>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</si>
  <si>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</si>
  <si>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</si>
  <si>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</si>
  <si>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</si>
  <si>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</si>
  <si>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</si>
  <si>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</si>
  <si>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</si>
  <si>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</si>
  <si>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</si>
  <si>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</si>
  <si>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</si>
  <si>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</si>
  <si>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</si>
  <si>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</si>
  <si>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</si>
  <si>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</si>
  <si>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</si>
  <si>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</si>
  <si>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</si>
  <si>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</si>
  <si>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</si>
  <si>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</si>
  <si>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</si>
  <si>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</si>
  <si>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</si>
  <si>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</si>
  <si>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</si>
  <si>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</si>
  <si>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</si>
  <si>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</si>
  <si>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</si>
  <si>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</si>
  <si>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</si>
  <si>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</si>
  <si>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</si>
  <si>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</si>
  <si>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</si>
  <si>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</si>
  <si>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</si>
  <si>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</si>
  <si>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</si>
  <si>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</si>
  <si>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</si>
  <si>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</si>
  <si>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</si>
  <si>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</si>
  <si>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</si>
  <si>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</si>
  <si>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</si>
  <si>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</si>
  <si>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</si>
  <si>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</si>
  <si>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</si>
  <si>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</si>
  <si>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</si>
  <si>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</si>
  <si>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</si>
  <si>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</si>
  <si>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</si>
  <si>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</si>
  <si>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</si>
  <si>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</si>
  <si>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</si>
  <si>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</si>
  <si>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</si>
  <si>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</si>
  <si>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</si>
  <si>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</si>
  <si>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</si>
  <si>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</si>
  <si>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</si>
  <si>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</si>
  <si>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</si>
  <si>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</si>
  <si>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</si>
  <si>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</si>
  <si>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</si>
  <si>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</si>
  <si>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</si>
  <si>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</si>
  <si>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</si>
  <si>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</si>
  <si>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</si>
  <si>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</si>
  <si>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</si>
  <si>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</si>
  <si>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</si>
  <si>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</si>
  <si>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</si>
  <si>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</si>
  <si>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</si>
  <si>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</si>
  <si>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</si>
  <si>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</si>
  <si>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</si>
  <si>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</si>
  <si>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</si>
  <si>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</si>
  <si>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</si>
  <si>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</si>
  <si>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</si>
  <si>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</si>
  <si>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</si>
  <si>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</si>
  <si>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</si>
  <si>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</si>
  <si>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</si>
  <si>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</si>
  <si>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</si>
  <si>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</si>
  <si>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</si>
  <si>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</si>
  <si>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</si>
  <si>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</si>
  <si>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</si>
  <si>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</si>
  <si>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</si>
  <si>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</si>
  <si>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</si>
  <si>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</si>
  <si>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</si>
  <si>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</si>
  <si>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</si>
  <si>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</si>
  <si>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</si>
  <si>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</si>
  <si>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</si>
  <si>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</si>
  <si>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</si>
  <si>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</si>
  <si>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</si>
  <si>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</si>
  <si>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</si>
  <si>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</si>
  <si>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</si>
  <si>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</si>
  <si>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</si>
  <si>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</si>
  <si>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</si>
  <si>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</si>
  <si>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</si>
  <si>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</si>
  <si>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</si>
  <si>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</si>
  <si>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</si>
  <si>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</si>
  <si>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</si>
  <si>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</si>
  <si>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</si>
  <si>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</si>
  <si>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</si>
  <si>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</si>
  <si>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</si>
  <si>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</si>
  <si>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</si>
  <si>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</si>
  <si>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</si>
  <si>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</si>
  <si>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</si>
  <si>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</si>
  <si>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</si>
  <si>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</si>
  <si>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</si>
  <si>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</si>
  <si>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</si>
  <si>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</si>
  <si>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</si>
  <si>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</si>
  <si>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</si>
  <si>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</si>
  <si>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</si>
  <si>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</si>
  <si>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</si>
  <si>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</si>
  <si>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</si>
  <si>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</si>
  <si>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</si>
  <si>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</si>
  <si>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</si>
  <si>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</si>
  <si>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</si>
  <si>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</si>
  <si>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</si>
  <si>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</si>
  <si>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</si>
  <si>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</si>
  <si>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</si>
  <si>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</si>
  <si>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</si>
  <si>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</si>
  <si>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</si>
  <si>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</si>
  <si>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</si>
  <si>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</si>
  <si>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</si>
  <si>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</si>
  <si>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</si>
  <si>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</si>
  <si>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</si>
  <si>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</si>
  <si>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</si>
  <si>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</si>
  <si>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</si>
  <si>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</si>
  <si>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</si>
  <si>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</si>
  <si>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</si>
  <si>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</si>
  <si>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</si>
  <si>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</si>
  <si>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</si>
  <si>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</si>
  <si>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</si>
  <si>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</si>
  <si>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</si>
  <si>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</si>
  <si>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</si>
  <si>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</si>
  <si>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</si>
  <si>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</si>
  <si>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</si>
  <si>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</si>
  <si>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</si>
  <si>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</si>
  <si>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</si>
  <si>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</si>
  <si>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</si>
  <si>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</si>
  <si>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</si>
  <si>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</si>
  <si>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</si>
  <si>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</si>
  <si>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</si>
  <si>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</si>
  <si>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</si>
  <si>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</si>
  <si>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</si>
  <si>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</si>
  <si>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</si>
  <si>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</si>
  <si>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</si>
  <si>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</si>
  <si>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</si>
  <si>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</si>
  <si>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</si>
  <si>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</si>
  <si>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</si>
  <si>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</si>
  <si>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</si>
  <si>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</si>
  <si>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</si>
  <si>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</si>
  <si>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</si>
  <si>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</si>
  <si>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</si>
  <si>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</si>
  <si>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</si>
  <si>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</si>
  <si>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</si>
  <si>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</si>
  <si>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</si>
  <si>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</si>
  <si>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</si>
  <si>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</si>
  <si>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</si>
  <si>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</si>
  <si>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</si>
  <si>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</si>
  <si>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</si>
  <si>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</si>
  <si>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</si>
  <si>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</si>
  <si>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</si>
  <si>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</si>
  <si>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</si>
  <si>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</si>
  <si>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</si>
  <si>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</si>
  <si>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</si>
  <si>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</si>
  <si>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</si>
  <si>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</si>
  <si>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</si>
  <si>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</si>
  <si>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</si>
  <si>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</si>
  <si>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</si>
  <si>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</si>
  <si>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</si>
  <si>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</si>
  <si>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</si>
  <si>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</si>
  <si>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</si>
  <si>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</si>
  <si>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</si>
  <si>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</si>
  <si>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</si>
  <si>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</si>
  <si>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</si>
  <si>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</si>
  <si>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</si>
  <si>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</si>
  <si>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</si>
  <si>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</si>
  <si>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</si>
  <si>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</si>
  <si>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</si>
  <si>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</si>
  <si>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</si>
  <si>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</si>
  <si>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</si>
  <si>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</si>
  <si>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</si>
  <si>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</si>
  <si>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</si>
  <si>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</si>
  <si>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</si>
  <si>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</si>
  <si>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</si>
  <si>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</si>
  <si>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</si>
  <si>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</si>
  <si>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</si>
  <si>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</si>
  <si>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</si>
  <si>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</si>
  <si>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</si>
  <si>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</si>
  <si>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</si>
  <si>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</si>
  <si>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</si>
  <si>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</si>
  <si>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</si>
  <si>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</si>
  <si>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</si>
  <si>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</si>
  <si>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</si>
  <si>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</si>
  <si>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</si>
  <si>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</si>
  <si>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</si>
  <si>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</si>
  <si>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</si>
  <si>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</si>
  <si>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</si>
  <si>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</si>
  <si>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</si>
  <si>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</si>
  <si>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</si>
  <si>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</si>
  <si>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</si>
  <si>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</si>
  <si>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</si>
  <si>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</si>
  <si>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</si>
  <si>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</si>
  <si>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</si>
  <si>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</si>
  <si>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</si>
  <si>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</si>
  <si>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</si>
  <si>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</si>
  <si>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</si>
  <si>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</si>
  <si>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</si>
  <si>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</si>
  <si>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</si>
  <si>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</si>
  <si>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</si>
  <si>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</si>
  <si>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</si>
  <si>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</si>
  <si>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</si>
  <si>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</si>
  <si>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</si>
  <si>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</si>
  <si>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</si>
  <si>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</si>
  <si>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</si>
  <si>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</si>
  <si>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</si>
  <si>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</si>
  <si>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</si>
  <si>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</si>
  <si>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</si>
  <si>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</si>
  <si>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</si>
  <si>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</si>
  <si>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</si>
  <si>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</si>
  <si>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</si>
  <si>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</si>
  <si>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</si>
  <si>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</si>
  <si>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</si>
  <si>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</si>
  <si>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</si>
  <si>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</si>
  <si>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</si>
  <si>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</si>
  <si>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</si>
  <si>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</si>
  <si>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</si>
  <si>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</si>
  <si>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</si>
  <si>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</si>
  <si>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</si>
  <si>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</si>
  <si>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</si>
  <si>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</si>
  <si>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</si>
  <si>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</si>
  <si>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</si>
  <si>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</si>
  <si>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</si>
  <si>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</si>
  <si>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</si>
  <si>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</si>
  <si>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</si>
  <si>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</si>
  <si>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</si>
  <si>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</si>
  <si>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</si>
  <si>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</si>
  <si>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</si>
  <si>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</si>
  <si>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</si>
  <si>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</si>
  <si>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</si>
  <si>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</si>
  <si>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</si>
  <si>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</si>
  <si>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</si>
  <si>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</si>
  <si>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</si>
  <si>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</si>
  <si>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</si>
  <si>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</si>
  <si>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</si>
  <si>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</si>
  <si>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</si>
  <si>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</si>
  <si>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</si>
  <si>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</si>
  <si>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</si>
  <si>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</si>
  <si>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</si>
  <si>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</si>
  <si>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</si>
  <si>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</si>
  <si>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</si>
  <si>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</si>
  <si>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</si>
  <si>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</si>
  <si>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</si>
  <si>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</si>
  <si>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</si>
  <si>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</si>
  <si>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</si>
  <si>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</si>
  <si>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</si>
  <si>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</si>
  <si>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</si>
  <si>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</si>
  <si>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</si>
  <si>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</si>
  <si>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</si>
  <si>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</si>
  <si>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</si>
  <si>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</si>
  <si>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</si>
  <si>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</si>
  <si>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</si>
  <si>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</si>
  <si>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</si>
  <si>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</si>
  <si>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</si>
  <si>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</si>
  <si>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</si>
  <si>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</si>
  <si>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</si>
  <si>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</si>
  <si>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</si>
  <si>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</si>
  <si>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</si>
  <si>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</si>
  <si>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</si>
  <si>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</si>
  <si>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</si>
  <si>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</si>
  <si>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</si>
  <si>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</si>
  <si>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</si>
  <si>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</si>
  <si>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</si>
  <si>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</si>
  <si>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</si>
  <si>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</si>
  <si>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</si>
  <si>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</si>
  <si>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</si>
  <si>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</si>
  <si>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</si>
  <si>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</si>
  <si>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</si>
  <si>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</si>
  <si>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</si>
  <si>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</si>
  <si>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</si>
  <si>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</si>
  <si>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</si>
  <si>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</si>
  <si>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</si>
  <si>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</si>
  <si>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</si>
  <si>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</si>
  <si>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</si>
  <si>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</si>
  <si>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</si>
  <si>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</si>
  <si>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</si>
  <si>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</si>
  <si>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</si>
  <si>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</si>
  <si>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</si>
  <si>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</si>
  <si>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</si>
  <si>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</si>
  <si>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</si>
  <si>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</si>
  <si>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</si>
  <si>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</si>
  <si>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</si>
  <si>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</si>
  <si>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</si>
  <si>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</si>
  <si>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</si>
  <si>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</si>
  <si>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</si>
  <si>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</si>
  <si>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</si>
  <si>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</si>
  <si>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</si>
  <si>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</si>
  <si>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</si>
  <si>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</si>
  <si>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</si>
  <si>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</si>
  <si>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</si>
  <si>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</si>
  <si>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</si>
  <si>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</si>
  <si>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</si>
  <si>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</si>
  <si>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</si>
  <si>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</si>
  <si>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</si>
  <si>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</si>
  <si>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</si>
  <si>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</si>
  <si>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</si>
  <si>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</si>
  <si>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</si>
  <si>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</si>
  <si>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</si>
  <si>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</si>
  <si>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</si>
  <si>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</si>
  <si>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</si>
  <si>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</si>
  <si>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</si>
  <si>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</si>
  <si>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</si>
  <si>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</si>
  <si>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</si>
  <si>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</si>
  <si>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</si>
  <si>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</si>
  <si>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</si>
  <si>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</si>
  <si>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</si>
  <si>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</si>
  <si>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</si>
  <si>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</si>
  <si>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</si>
  <si>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</si>
  <si>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</si>
  <si>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</si>
  <si>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</si>
  <si>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</si>
  <si>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</si>
  <si>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</si>
  <si>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</si>
  <si>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</si>
  <si>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</si>
  <si>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</si>
  <si>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</si>
  <si>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</si>
  <si>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</si>
  <si>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</si>
  <si>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</si>
  <si>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</si>
  <si>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</si>
  <si>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</si>
  <si>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</si>
  <si>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</si>
  <si>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</si>
  <si>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</si>
  <si>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</si>
  <si>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</si>
  <si>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</si>
  <si>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</si>
  <si>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</si>
  <si>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</si>
  <si>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</si>
  <si>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</si>
  <si>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</si>
  <si>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</si>
  <si>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</si>
  <si>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</si>
  <si>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</si>
  <si>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</si>
  <si>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</si>
  <si>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</si>
  <si>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</si>
  <si>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</si>
  <si>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</si>
  <si>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</si>
  <si>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</si>
  <si>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</si>
  <si>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</si>
  <si>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</si>
  <si>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</si>
  <si>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</si>
  <si>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</si>
  <si>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</si>
  <si>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</si>
  <si>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</si>
  <si>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</si>
  <si>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</si>
  <si>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</si>
  <si>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</si>
  <si>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</si>
  <si>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</si>
  <si>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</si>
  <si>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</si>
  <si>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</si>
  <si>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</si>
  <si>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</si>
  <si>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</si>
  <si>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</si>
  <si>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</si>
  <si>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</si>
  <si>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</si>
  <si>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</si>
  <si>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</si>
  <si>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</si>
  <si>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</si>
  <si>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</si>
  <si>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</si>
  <si>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</si>
  <si>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</si>
  <si>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</si>
  <si>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</si>
  <si>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</si>
  <si>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</si>
  <si>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</si>
  <si>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</si>
  <si>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</si>
  <si>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</si>
  <si>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</si>
  <si>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</si>
  <si>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</si>
  <si>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</si>
  <si>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</si>
  <si>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</si>
  <si>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</si>
  <si>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</si>
  <si>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</si>
  <si>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</si>
  <si>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</si>
  <si>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</si>
  <si>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</si>
  <si>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</si>
  <si>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</si>
  <si>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</si>
  <si>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</si>
  <si>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</si>
  <si>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</si>
  <si>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</si>
  <si>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</si>
  <si>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</si>
  <si>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</si>
  <si>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</si>
  <si>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</si>
  <si>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</si>
  <si>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</si>
  <si>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</si>
  <si>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</si>
  <si>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</si>
  <si>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</si>
  <si>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</si>
  <si>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</si>
  <si>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</si>
  <si>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</si>
  <si>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</si>
  <si>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</si>
  <si>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</si>
  <si>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</si>
  <si>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</si>
  <si>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</si>
  <si>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</si>
  <si>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</si>
  <si>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</si>
  <si>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</si>
  <si>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</si>
  <si>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</si>
  <si>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</si>
  <si>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</si>
  <si>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</si>
  <si>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</si>
  <si>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</si>
  <si>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</si>
  <si>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</si>
  <si>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</si>
  <si>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</si>
  <si>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</si>
  <si>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</si>
  <si>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</si>
  <si>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</si>
  <si>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</si>
  <si>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</si>
  <si>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</si>
  <si>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</si>
  <si>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</si>
  <si>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</si>
  <si>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</si>
  <si>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</si>
  <si>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</si>
  <si>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</si>
  <si>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</si>
  <si>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</si>
  <si>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</si>
  <si>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</si>
  <si>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</si>
  <si>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</si>
  <si>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</si>
  <si>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</si>
  <si>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</si>
  <si>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</si>
  <si>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</si>
  <si>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</si>
  <si>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</si>
  <si>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</si>
  <si>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</si>
  <si>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</si>
  <si>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</si>
  <si>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</si>
  <si>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</si>
  <si>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</si>
  <si>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</si>
  <si>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</si>
  <si>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</si>
  <si>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</si>
  <si>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</si>
  <si>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</si>
  <si>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</si>
  <si>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</si>
  <si>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</si>
  <si>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</si>
  <si>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</si>
  <si>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</si>
  <si>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</si>
  <si>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</si>
  <si>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</si>
  <si>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</si>
  <si>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</si>
  <si>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</si>
  <si>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</si>
  <si>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</si>
  <si>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</si>
  <si>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</si>
  <si>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</si>
  <si>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</si>
  <si>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</si>
  <si>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</si>
  <si>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</si>
  <si>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</si>
  <si>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</si>
  <si>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</si>
  <si>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</si>
  <si>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</si>
  <si>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</si>
  <si>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</si>
  <si>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</si>
  <si>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</si>
  <si>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</si>
  <si>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</si>
  <si>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</si>
  <si>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</si>
  <si>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</si>
  <si>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</si>
  <si>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</si>
  <si>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</si>
  <si>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</si>
  <si>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</si>
  <si>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</si>
  <si>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</si>
  <si>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</si>
  <si>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</si>
  <si>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</si>
  <si>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</si>
  <si>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</si>
  <si>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</si>
  <si>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</si>
  <si>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</si>
  <si>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</si>
  <si>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</si>
  <si>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</si>
  <si>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</si>
  <si>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</si>
  <si>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</si>
  <si>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</si>
  <si>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</si>
  <si>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</si>
  <si>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</si>
  <si>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</si>
  <si>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</si>
  <si>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</si>
  <si>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</si>
  <si>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</si>
  <si>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</si>
  <si>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</si>
  <si>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</si>
  <si>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</si>
  <si>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</si>
  <si>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</si>
  <si>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</si>
  <si>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</si>
  <si>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</si>
  <si>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</si>
  <si>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</si>
  <si>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</si>
  <si>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</si>
  <si>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</si>
  <si>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</si>
  <si>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</si>
  <si>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</si>
  <si>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</si>
  <si>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</si>
  <si>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</si>
  <si>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</si>
  <si>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</si>
  <si>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</si>
  <si>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</si>
  <si>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</si>
  <si>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</si>
  <si>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</si>
  <si>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</si>
  <si>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</si>
  <si>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</si>
  <si>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</si>
  <si>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</si>
  <si>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</si>
  <si>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</si>
  <si>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</si>
  <si>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</si>
  <si>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</si>
  <si>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</si>
  <si>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</si>
  <si>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</si>
  <si>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</si>
  <si>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</si>
  <si>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</si>
  <si>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</si>
  <si>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</si>
  <si>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</si>
  <si>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</si>
  <si>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</si>
  <si>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</si>
  <si>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</si>
  <si>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</si>
  <si>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</si>
  <si>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</si>
  <si>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</si>
  <si>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</si>
  <si>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</si>
  <si>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</si>
  <si>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</si>
  <si>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</si>
  <si>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</si>
  <si>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</si>
  <si>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</si>
  <si>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</si>
  <si>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</si>
  <si>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</si>
  <si>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</si>
  <si>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</si>
  <si>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</si>
  <si>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</si>
  <si>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</si>
  <si>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</si>
  <si>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</si>
  <si>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</si>
  <si>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</si>
  <si>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</si>
  <si>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</si>
  <si>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</si>
  <si>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</si>
  <si>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</si>
  <si>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</si>
  <si>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</si>
  <si>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</si>
  <si>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</si>
  <si>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</si>
  <si>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</si>
  <si>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</si>
  <si>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</si>
  <si>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</si>
  <si>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</si>
  <si>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</si>
  <si>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</si>
  <si>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</si>
  <si>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</si>
  <si>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</si>
  <si>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</si>
  <si>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</si>
  <si>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</si>
  <si>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</si>
  <si>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</si>
  <si>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</si>
  <si>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</si>
  <si>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</si>
  <si>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</si>
  <si>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</si>
  <si>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</si>
  <si>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</si>
  <si>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</si>
  <si>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</si>
  <si>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</si>
  <si>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</si>
  <si>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</si>
  <si>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</si>
  <si>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</si>
  <si>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</si>
  <si>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</si>
  <si>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</si>
  <si>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</si>
  <si>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</si>
  <si>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</si>
  <si>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</si>
  <si>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</si>
  <si>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</si>
  <si>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</si>
  <si>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</si>
  <si>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</si>
  <si>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</si>
  <si>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</si>
  <si>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</si>
  <si>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</si>
  <si>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</si>
  <si>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</si>
  <si>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</si>
  <si>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</si>
  <si>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</si>
  <si>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</si>
  <si>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</si>
  <si>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</si>
  <si>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</si>
  <si>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</si>
  <si>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</si>
  <si>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</si>
  <si>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</si>
  <si>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</si>
  <si>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</si>
  <si>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</si>
  <si>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</si>
  <si>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</si>
  <si>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</si>
  <si>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</si>
  <si>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</si>
  <si>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</si>
  <si>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</si>
  <si>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</si>
  <si>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</si>
  <si>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</si>
  <si>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</si>
  <si>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</si>
  <si>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</si>
  <si>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</si>
  <si>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</si>
  <si>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</si>
  <si>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</si>
  <si>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</si>
  <si>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</si>
  <si>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</si>
  <si>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</si>
  <si>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</si>
  <si>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</si>
  <si>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</si>
  <si>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</si>
  <si>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</si>
  <si>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</si>
  <si>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</si>
  <si>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</si>
  <si>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</si>
  <si>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</si>
  <si>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</si>
  <si>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</si>
  <si>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</si>
  <si>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</si>
  <si>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</si>
  <si>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</si>
  <si>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</si>
  <si>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</si>
  <si>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</si>
  <si>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</si>
  <si>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</si>
  <si>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</si>
  <si>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</si>
  <si>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</si>
  <si>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</si>
  <si>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</si>
  <si>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</si>
  <si>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</si>
  <si>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</si>
  <si>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</si>
  <si>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</si>
  <si>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</si>
  <si>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</si>
  <si>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</si>
  <si>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</si>
  <si>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</si>
  <si>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</si>
  <si>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</si>
  <si>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</si>
  <si>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</si>
  <si>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</si>
  <si>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</si>
  <si>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</si>
  <si>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</si>
  <si>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</si>
  <si>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</si>
  <si>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</si>
  <si>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</si>
  <si>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</si>
  <si>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</si>
  <si>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</si>
  <si>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</si>
  <si>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</si>
  <si>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</si>
  <si>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</si>
  <si>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</si>
  <si>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</si>
  <si>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</si>
  <si>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</si>
  <si>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</si>
  <si>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</si>
  <si>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</si>
  <si>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抵押</t>
  </si>
  <si>
    <t>房地产抵押价值</t>
  </si>
  <si>
    <t>北京市</t>
  </si>
  <si>
    <t>怀柔区</t>
    <phoneticPr fontId="6" type="noConversion"/>
  </si>
  <si>
    <t>企业</t>
  </si>
  <si>
    <t>怀柔区杨宋镇凤翔二园1号1-7幢</t>
    <phoneticPr fontId="6" type="noConversion"/>
  </si>
  <si>
    <t>星美今晟影视城管理有限公司</t>
    <phoneticPr fontId="6" type="noConversion"/>
  </si>
  <si>
    <t>34.31年</t>
    <phoneticPr fontId="6" type="noConversion"/>
  </si>
  <si>
    <t>《房屋所有权证》[X京房权证怀字第028434号]</t>
    <phoneticPr fontId="6" type="noConversion"/>
  </si>
  <si>
    <t>《国有土地使用证》[京怀国用（2014出）第00037号]</t>
    <phoneticPr fontId="6" type="noConversion"/>
  </si>
  <si>
    <t>凤翔二园1号清单</t>
    <phoneticPr fontId="263" type="noConversion"/>
  </si>
  <si>
    <t>房产证编号</t>
    <phoneticPr fontId="263" type="noConversion"/>
  </si>
  <si>
    <t>层数</t>
    <phoneticPr fontId="263" type="noConversion"/>
  </si>
  <si>
    <t>结构</t>
    <phoneticPr fontId="263" type="noConversion"/>
  </si>
  <si>
    <t>建成年代</t>
    <phoneticPr fontId="263" type="noConversion"/>
  </si>
  <si>
    <t>建筑面积（㎡）</t>
    <phoneticPr fontId="263" type="noConversion"/>
  </si>
  <si>
    <t>混合</t>
    <phoneticPr fontId="263" type="noConversion"/>
  </si>
  <si>
    <t>合计（2）</t>
    <phoneticPr fontId="263" type="noConversion"/>
  </si>
  <si>
    <t>土地面积</t>
    <phoneticPr fontId="205" type="noConversion"/>
  </si>
  <si>
    <t>容积率</t>
    <phoneticPr fontId="205" type="noConversion"/>
  </si>
  <si>
    <t>合同约定容积率</t>
    <phoneticPr fontId="205" type="noConversion"/>
  </si>
  <si>
    <t>北区待办证房产及无证房产</t>
  </si>
  <si>
    <t>土地证</t>
  </si>
  <si>
    <t>建筑物</t>
  </si>
  <si>
    <t>详细地址</t>
  </si>
  <si>
    <t>建筑</t>
  </si>
  <si>
    <t>拟建</t>
  </si>
  <si>
    <r>
      <t>建筑面积(m</t>
    </r>
    <r>
      <rPr>
        <b/>
        <vertAlign val="superscript"/>
        <sz val="9"/>
        <color rgb="FF000000"/>
        <rFont val="宋体"/>
        <family val="3"/>
        <charset val="134"/>
        <scheme val="minor"/>
      </rPr>
      <t>2</t>
    </r>
    <r>
      <rPr>
        <b/>
        <sz val="9"/>
        <color rgb="FF000000"/>
        <rFont val="宋体"/>
        <family val="3"/>
        <charset val="134"/>
        <scheme val="minor"/>
      </rPr>
      <t>)</t>
    </r>
  </si>
  <si>
    <t>完工日期</t>
  </si>
  <si>
    <t>施工证</t>
  </si>
  <si>
    <t>编号</t>
  </si>
  <si>
    <t>名称</t>
  </si>
  <si>
    <t>结构</t>
  </si>
  <si>
    <t>总层数</t>
  </si>
  <si>
    <t>建设工程规划许可证</t>
  </si>
  <si>
    <t>京怀国用(2001出)字第0156号</t>
  </si>
  <si>
    <t>6#宿舍楼</t>
  </si>
  <si>
    <t>北京市怀柔区</t>
  </si>
  <si>
    <t>框架</t>
  </si>
  <si>
    <t>　无</t>
  </si>
  <si>
    <t>住宿</t>
  </si>
  <si>
    <t>杨宋镇凤翔二园1号</t>
  </si>
  <si>
    <t>3#宿舍楼</t>
  </si>
  <si>
    <t>砖混</t>
  </si>
  <si>
    <t>无　</t>
  </si>
  <si>
    <t xml:space="preserve">其他 </t>
  </si>
  <si>
    <t>新建综合楼</t>
  </si>
  <si>
    <t>2008规（怀）建字0021号</t>
  </si>
  <si>
    <t>施工（2009）施建字0687号</t>
  </si>
  <si>
    <t>别墅</t>
  </si>
  <si>
    <t>砖混+构造柱</t>
  </si>
  <si>
    <t>无规划证</t>
  </si>
  <si>
    <t>无施工证</t>
  </si>
  <si>
    <t>美术楼</t>
  </si>
  <si>
    <t>配电室</t>
  </si>
  <si>
    <t>（95）怀规建字139号　</t>
  </si>
  <si>
    <t>锅炉房</t>
  </si>
  <si>
    <t>2001-怀规建市政字-0038号</t>
  </si>
  <si>
    <t>Ⅷ-怀1</t>
  </si>
  <si>
    <t>不临58条商业街</t>
  </si>
  <si>
    <t>六通一平</t>
  </si>
  <si>
    <t>增加</t>
  </si>
  <si>
    <t>燃气</t>
  </si>
  <si>
    <t>容积率修正</t>
  </si>
  <si>
    <t>现房</t>
  </si>
  <si>
    <t>地上</t>
  </si>
  <si>
    <t>是</t>
    <phoneticPr fontId="3" type="noConversion"/>
  </si>
  <si>
    <t>是</t>
    <phoneticPr fontId="3" type="noConversion"/>
  </si>
  <si>
    <t>北区</t>
    <phoneticPr fontId="205" type="noConversion"/>
  </si>
  <si>
    <t>备注</t>
    <phoneticPr fontId="205" type="noConversion"/>
  </si>
  <si>
    <t>为原2号楼</t>
    <phoneticPr fontId="205" type="noConversion"/>
  </si>
  <si>
    <t>已拆除，建成星美酒店，未办理产权证，已投入使用，为下表3</t>
    <phoneticPr fontId="205" type="noConversion"/>
  </si>
  <si>
    <t>拆除重建，目前进度为地上1层，为新建摄影棚</t>
    <phoneticPr fontId="205" type="noConversion"/>
  </si>
  <si>
    <t>新建摄影棚</t>
    <phoneticPr fontId="205" type="noConversion"/>
  </si>
  <si>
    <t>已建至地上1层，未封顶</t>
    <phoneticPr fontId="205" type="noConversion"/>
  </si>
  <si>
    <t>2015规（怀）建字0026号</t>
    <phoneticPr fontId="205" type="noConversion"/>
  </si>
  <si>
    <t>无</t>
    <phoneticPr fontId="205" type="noConversion"/>
  </si>
  <si>
    <t>摄影棚</t>
    <phoneticPr fontId="205" type="noConversion"/>
  </si>
  <si>
    <t>为原6号楼</t>
    <phoneticPr fontId="205" type="noConversion"/>
  </si>
  <si>
    <t>南区</t>
    <phoneticPr fontId="205" type="noConversion"/>
  </si>
  <si>
    <t>凤和一园9号清单</t>
    <phoneticPr fontId="263" type="noConversion"/>
  </si>
  <si>
    <t>房产证编号</t>
    <phoneticPr fontId="263" type="noConversion"/>
  </si>
  <si>
    <t>房屋总层数</t>
    <phoneticPr fontId="263" type="noConversion"/>
  </si>
  <si>
    <t>结构</t>
    <phoneticPr fontId="263" type="noConversion"/>
  </si>
  <si>
    <t>建成年份</t>
    <phoneticPr fontId="263" type="noConversion"/>
  </si>
  <si>
    <t>建筑面积（平方米）</t>
    <phoneticPr fontId="263" type="noConversion"/>
  </si>
  <si>
    <t>混合</t>
    <phoneticPr fontId="263" type="noConversion"/>
  </si>
  <si>
    <t>砖木</t>
    <phoneticPr fontId="263" type="noConversion"/>
  </si>
  <si>
    <t>合计（1)</t>
    <phoneticPr fontId="263" type="noConversion"/>
  </si>
  <si>
    <t>土地面积</t>
    <phoneticPr fontId="205" type="noConversion"/>
  </si>
  <si>
    <t>容积率</t>
    <phoneticPr fontId="205" type="noConversion"/>
  </si>
  <si>
    <t>项目总建筑面积</t>
    <phoneticPr fontId="205" type="noConversion"/>
  </si>
  <si>
    <r>
      <t>2</t>
    </r>
    <r>
      <rPr>
        <sz val="11"/>
        <color theme="1"/>
        <rFont val="宋体"/>
        <family val="3"/>
        <charset val="134"/>
        <scheme val="minor"/>
      </rPr>
      <t>016年主营业务收入</t>
    </r>
    <phoneticPr fontId="205" type="noConversion"/>
  </si>
  <si>
    <t>建成年代</t>
    <phoneticPr fontId="205" type="noConversion"/>
  </si>
  <si>
    <t>收益法</t>
  </si>
  <si>
    <t>办公</t>
    <phoneticPr fontId="3" type="noConversion"/>
  </si>
  <si>
    <t>综合项目（商业、办公）</t>
  </si>
  <si>
    <t>影视基地</t>
  </si>
  <si>
    <t>影视基地</t>
    <phoneticPr fontId="17" type="noConversion"/>
  </si>
  <si>
    <t>影视基地</t>
    <phoneticPr fontId="7" type="noConversion"/>
  </si>
  <si>
    <t>估价对象位于怀柔区杨宋镇，目前投用项目有中影基地、星美影视城、百汇演艺学校等类似用房以及相关行业酒店等配套设施，产业聚集度较好</t>
    <phoneticPr fontId="34" type="noConversion"/>
  </si>
  <si>
    <t>估价对象紧邻城市次干道——怀耿路，半径1公里内有866、H07、H09、H44路等公交线路，周边有怀耿路、杨雁路两条城市次干道，西北距离怀柔火车站4公里，交通便捷度较差</t>
    <phoneticPr fontId="62" type="noConversion"/>
  </si>
  <si>
    <t>周边2公里内的公共服务配套设施情况一般，无大型购物场所、医院（怀柔区杨宋镇卫生院）、银行（中国邮政储蓄银行）、学校（北京影视研修学院、北京怀柔中视腾飞影视培训学校）、餐饮等公共服务配套设施。</t>
    <phoneticPr fontId="62" type="noConversion"/>
  </si>
  <si>
    <t>估价对象所在区域基础设施水平达到七通</t>
    <phoneticPr fontId="34" type="noConversion"/>
  </si>
  <si>
    <t>周边约1公里范围内有北京影视研修学院、北京怀柔中视腾飞影视培训学校等演艺教育学校，人文环境一般；周边有约1公里有栖河，自然环境一般。综合评价自然与人文环境一般</t>
    <phoneticPr fontId="62" type="noConversion"/>
  </si>
  <si>
    <t>一般</t>
  </si>
  <si>
    <t>一般</t>
    <phoneticPr fontId="34" type="noConversion"/>
  </si>
  <si>
    <t>双面临街</t>
  </si>
  <si>
    <t>文体娱乐用地</t>
  </si>
  <si>
    <t>较好</t>
  </si>
  <si>
    <t>较差</t>
  </si>
  <si>
    <t>城市主干道-怀耿路</t>
    <phoneticPr fontId="34" type="noConversion"/>
  </si>
  <si>
    <t>宗地形状不规则，但对宗地利用影响有一定不利影响</t>
    <phoneticPr fontId="107" type="noConversion"/>
  </si>
  <si>
    <t>好</t>
  </si>
  <si>
    <t>未包含在土地购买价格中</t>
  </si>
  <si>
    <t>已包含在土地取得成本中</t>
  </si>
  <si>
    <t>项目全部</t>
  </si>
  <si>
    <t>成本法</t>
  </si>
  <si>
    <t>押一</t>
  </si>
  <si>
    <t>基准地价</t>
  </si>
  <si>
    <t>钢混</t>
  </si>
  <si>
    <t>成本比率</t>
  </si>
  <si>
    <t>现状用途</t>
    <phoneticPr fontId="205" type="noConversion"/>
  </si>
  <si>
    <t>影棚</t>
    <phoneticPr fontId="205" type="noConversion"/>
  </si>
  <si>
    <t>酒店</t>
    <phoneticPr fontId="205" type="noConversion"/>
  </si>
  <si>
    <t>餐厅，空置维修</t>
    <phoneticPr fontId="205" type="noConversion"/>
  </si>
  <si>
    <t>客房</t>
    <phoneticPr fontId="205" type="noConversion"/>
  </si>
  <si>
    <t>置景车间</t>
    <phoneticPr fontId="205" type="noConversion"/>
  </si>
  <si>
    <t>拆除</t>
    <phoneticPr fontId="205" type="noConversion"/>
  </si>
  <si>
    <t>房屋所有权证</t>
    <phoneticPr fontId="3" type="noConversion"/>
  </si>
  <si>
    <t>楼房建筑面积</t>
    <phoneticPr fontId="3" type="noConversion"/>
  </si>
  <si>
    <t>平房建筑面积</t>
    <phoneticPr fontId="3" type="noConversion"/>
  </si>
  <si>
    <t>楼号或幢号</t>
    <phoneticPr fontId="3" type="noConversion"/>
  </si>
  <si>
    <t>房屋总层数</t>
    <phoneticPr fontId="3" type="noConversion"/>
  </si>
  <si>
    <t>结构</t>
    <phoneticPr fontId="3" type="noConversion"/>
  </si>
  <si>
    <t>建成年份</t>
    <phoneticPr fontId="3" type="noConversion"/>
  </si>
  <si>
    <t>建筑面积</t>
    <phoneticPr fontId="3" type="noConversion"/>
  </si>
  <si>
    <t>建安单价</t>
    <phoneticPr fontId="3" type="noConversion"/>
  </si>
  <si>
    <t>备注</t>
    <phoneticPr fontId="3" type="noConversion"/>
  </si>
  <si>
    <t>建安费用</t>
    <phoneticPr fontId="3" type="noConversion"/>
  </si>
  <si>
    <t>混合</t>
    <phoneticPr fontId="3" type="noConversion"/>
  </si>
  <si>
    <t>灭失</t>
    <phoneticPr fontId="3" type="noConversion"/>
  </si>
  <si>
    <t>砖木</t>
    <phoneticPr fontId="3" type="noConversion"/>
  </si>
  <si>
    <t>建安合计（1）</t>
    <phoneticPr fontId="3" type="noConversion"/>
  </si>
  <si>
    <t>规划许可证</t>
    <phoneticPr fontId="3" type="noConversion"/>
  </si>
  <si>
    <t>建设项目</t>
    <phoneticPr fontId="3" type="noConversion"/>
  </si>
  <si>
    <t>砖混</t>
    <phoneticPr fontId="3" type="noConversion"/>
  </si>
  <si>
    <t>影视剧拍摄用房（酒楼）</t>
    <phoneticPr fontId="3" type="noConversion"/>
  </si>
  <si>
    <t>拍摄用房（前院大厅）</t>
    <phoneticPr fontId="3" type="noConversion"/>
  </si>
  <si>
    <t>东院茶屋</t>
    <phoneticPr fontId="3" type="noConversion"/>
  </si>
  <si>
    <t>东、西厢房</t>
    <phoneticPr fontId="3" type="noConversion"/>
  </si>
  <si>
    <t>大门</t>
    <phoneticPr fontId="3" type="noConversion"/>
  </si>
  <si>
    <t>四合院</t>
    <phoneticPr fontId="3" type="noConversion"/>
  </si>
  <si>
    <t>八角亭</t>
    <phoneticPr fontId="3" type="noConversion"/>
  </si>
  <si>
    <t>水榭和五角亭</t>
    <phoneticPr fontId="3" type="noConversion"/>
  </si>
  <si>
    <t>大街小楼</t>
    <phoneticPr fontId="3" type="noConversion"/>
  </si>
  <si>
    <t>建安合计（2）</t>
    <phoneticPr fontId="3" type="noConversion"/>
  </si>
  <si>
    <t>总建安费用</t>
    <phoneticPr fontId="3" type="noConversion"/>
  </si>
  <si>
    <t>办公</t>
    <phoneticPr fontId="45" type="noConversion"/>
  </si>
  <si>
    <t>已灭失</t>
    <phoneticPr fontId="205" type="noConversion"/>
  </si>
  <si>
    <t>验算</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</si>
  <si>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</si>
  <si>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</si>
  <si>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</si>
  <si>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</si>
  <si>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</si>
  <si>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</si>
  <si>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</si>
  <si>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</si>
  <si>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</si>
  <si>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</si>
  <si>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</si>
  <si>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地面价</t>
    <phoneticPr fontId="3" type="noConversion"/>
  </si>
  <si>
    <t>溢价率</t>
  </si>
  <si>
    <t>受让单位</t>
  </si>
  <si>
    <t>怀柔区怀柔新城13街区HR00-0013-6005地块</t>
  </si>
  <si>
    <t>商业/办公用地</t>
  </si>
  <si>
    <t>挂牌</t>
  </si>
  <si>
    <t>2015-12-15</t>
  </si>
  <si>
    <t>北京中关村微纳能源投资有限公司</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</si>
  <si>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</si>
  <si>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</si>
  <si>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</si>
  <si>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</si>
  <si>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</si>
  <si>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</si>
  <si>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平谷区夏各庄新城2号2-15地块</t>
  </si>
  <si>
    <t>2015-02-12</t>
  </si>
  <si>
    <t>北京中弘弘庆房地产开发有限公司</t>
  </si>
  <si>
    <t>平谷区马坊镇B01-01地块商业金融用地</t>
  </si>
  <si>
    <t>2015-01-07</t>
  </si>
  <si>
    <t>北京新华联伟业房地产有限公司和北京运河长基投资有限公司联合体</t>
  </si>
  <si>
    <t>顺义区高丽营镇02-08-01、02-08-02地块</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</si>
  <si>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</si>
  <si>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</si>
  <si>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</si>
  <si>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</si>
  <si>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</si>
  <si>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</si>
  <si>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</si>
  <si>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</si>
  <si>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</si>
  <si>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</si>
  <si>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</si>
  <si>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</si>
  <si>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</si>
  <si>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</si>
  <si>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</si>
  <si>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正常</t>
    <phoneticPr fontId="45" type="noConversion"/>
  </si>
  <si>
    <t>商业办公</t>
    <phoneticPr fontId="45" type="noConversion"/>
  </si>
  <si>
    <t>商业办公</t>
    <phoneticPr fontId="45" type="noConversion"/>
  </si>
  <si>
    <t>商业办公</t>
    <phoneticPr fontId="45" type="noConversion"/>
  </si>
  <si>
    <t>商业办公</t>
    <phoneticPr fontId="45" type="noConversion"/>
  </si>
  <si>
    <t>办公</t>
    <phoneticPr fontId="45" type="noConversion"/>
  </si>
  <si>
    <r>
      <t>40</t>
    </r>
    <r>
      <rPr>
        <sz val="11"/>
        <color indexed="8"/>
        <rFont val="宋体"/>
        <family val="3"/>
        <charset val="134"/>
      </rPr>
      <t>、</t>
    </r>
    <r>
      <rPr>
        <sz val="11"/>
        <color indexed="8"/>
        <rFont val="Arial"/>
        <family val="2"/>
      </rPr>
      <t>50</t>
    </r>
    <phoneticPr fontId="45" type="noConversion"/>
  </si>
  <si>
    <t>七通</t>
  </si>
  <si>
    <t>单面临街</t>
  </si>
  <si>
    <r>
      <rPr>
        <sz val="11"/>
        <rFont val="宋体"/>
        <family val="3"/>
        <charset val="134"/>
      </rPr>
      <t>城市主干道</t>
    </r>
    <r>
      <rPr>
        <sz val="11"/>
        <rFont val="Arial"/>
        <family val="2"/>
      </rPr>
      <t>-</t>
    </r>
    <r>
      <rPr>
        <sz val="11"/>
        <rFont val="宋体"/>
        <family val="3"/>
        <charset val="134"/>
      </rPr>
      <t>怀耿路</t>
    </r>
    <phoneticPr fontId="45" type="noConversion"/>
  </si>
  <si>
    <t>快速路</t>
    <phoneticPr fontId="45" type="noConversion"/>
  </si>
  <si>
    <t>城市主干道</t>
  </si>
  <si>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</si>
  <si>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</si>
  <si>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</si>
  <si>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</si>
  <si>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</si>
  <si>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</si>
  <si>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phoneticPr fontId="45" type="noConversion"/>
  </si>
  <si>
    <t>不规则</t>
  </si>
  <si>
    <t>不规则</t>
    <phoneticPr fontId="45" type="noConversion"/>
  </si>
  <si>
    <t>较好</t>
    <phoneticPr fontId="45" type="noConversion"/>
  </si>
  <si>
    <t>六通</t>
    <phoneticPr fontId="45" type="noConversion"/>
  </si>
  <si>
    <t>城市支路</t>
    <phoneticPr fontId="45" type="noConversion"/>
  </si>
  <si>
    <t>三通</t>
    <phoneticPr fontId="45" type="noConversion"/>
  </si>
  <si>
    <t>单面临街</t>
    <phoneticPr fontId="45" type="noConversion"/>
  </si>
  <si>
    <t>多面临街</t>
  </si>
  <si>
    <t>全部缴纳</t>
  </si>
  <si>
    <t>七通</t>
    <phoneticPr fontId="45" type="noConversion"/>
  </si>
  <si>
    <t>六通</t>
    <phoneticPr fontId="45" type="noConversion"/>
  </si>
  <si>
    <t>五通</t>
    <phoneticPr fontId="45" type="noConversion"/>
  </si>
  <si>
    <t>四通</t>
    <phoneticPr fontId="45" type="noConversion"/>
  </si>
  <si>
    <t>三通</t>
    <phoneticPr fontId="45" type="noConversion"/>
  </si>
  <si>
    <t>楼面地价</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</si>
  <si>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</si>
  <si>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</si>
  <si>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北京市门头沟区龙泉镇MC00-0010-6004地块B2商务用地</t>
  </si>
  <si>
    <t>2017-09-07</t>
  </si>
  <si>
    <t>北京象地房地产开发有限公司</t>
  </si>
  <si>
    <t>门头沟区门头沟新城MC00-0017-6002地块(S1线区域组团02地块西北侧地块)</t>
  </si>
  <si>
    <t>北京龙湖中佰置业有限公司和北京龙湖天行置业有限公司联合体</t>
  </si>
  <si>
    <t>新桥大街</t>
    <phoneticPr fontId="45" type="noConversion"/>
  </si>
  <si>
    <t>四纬路</t>
    <phoneticPr fontId="45" type="noConversion"/>
  </si>
  <si>
    <t>建安</t>
    <phoneticPr fontId="205" type="noConversion"/>
  </si>
  <si>
    <t>成新率</t>
    <phoneticPr fontId="205" type="noConversion"/>
  </si>
  <si>
    <t>规证面积</t>
    <phoneticPr fontId="205" type="noConversion"/>
  </si>
  <si>
    <t>酒店</t>
    <phoneticPr fontId="3" type="noConversion"/>
  </si>
  <si>
    <t>面积</t>
    <phoneticPr fontId="3" type="noConversion"/>
  </si>
  <si>
    <t>占比</t>
    <phoneticPr fontId="3" type="noConversion"/>
  </si>
  <si>
    <t>成新度</t>
    <phoneticPr fontId="3" type="noConversion"/>
  </si>
  <si>
    <t>建安费</t>
    <phoneticPr fontId="3" type="noConversion"/>
  </si>
  <si>
    <t>(规划)建筑面积</t>
  </si>
  <si>
    <t>(分摊)土地面积</t>
  </si>
  <si>
    <t>北京市怀柔区杨宋镇凤翔二园1号1-7幢房地产</t>
  </si>
</sst>
</file>

<file path=xl/styles.xml><?xml version="1.0" encoding="utf-8"?>
<styleSheet xmlns="http://schemas.openxmlformats.org/spreadsheetml/2006/main">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9"/>
      <name val="宋体"/>
      <family val="2"/>
      <charset val="134"/>
      <scheme val="minor"/>
    </font>
    <font>
      <b/>
      <sz val="9"/>
      <color theme="1"/>
      <name val="宋体"/>
      <family val="3"/>
      <charset val="134"/>
      <scheme val="minor"/>
    </font>
    <font>
      <b/>
      <sz val="9"/>
      <color rgb="FF000000"/>
      <name val="宋体"/>
      <family val="3"/>
      <charset val="134"/>
      <scheme val="minor"/>
    </font>
    <font>
      <b/>
      <vertAlign val="superscript"/>
      <sz val="9"/>
      <color rgb="FF000000"/>
      <name val="宋体"/>
      <family val="3"/>
      <charset val="134"/>
      <scheme val="minor"/>
    </font>
    <font>
      <sz val="9"/>
      <color rgb="FF000000"/>
      <name val="宋体"/>
      <family val="3"/>
      <charset val="134"/>
      <scheme val="minor"/>
    </font>
    <font>
      <b/>
      <sz val="2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FFFF"/>
        <bgColor indexed="64"/>
      </patternFill>
    </fill>
    <fill>
      <patternFill patternType="solid">
        <fgColor theme="0" tint="-0.14999847407452621"/>
        <bgColor indexed="64"/>
      </patternFill>
    </fill>
    <fill>
      <patternFill patternType="solid">
        <fgColor theme="8"/>
        <bgColor indexed="64"/>
      </patternFill>
    </fill>
    <fill>
      <patternFill patternType="solid">
        <fgColor theme="7"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2" fillId="0" borderId="0" applyFont="0" applyFill="0" applyBorder="0" applyAlignment="0" applyProtection="0">
      <alignment vertical="center"/>
    </xf>
    <xf numFmtId="0" fontId="77" fillId="0" borderId="0"/>
  </cellStyleXfs>
  <cellXfs count="382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9" fontId="0" fillId="0" borderId="1" xfId="0" applyNumberFormat="1" applyBorder="1" applyAlignment="1">
      <alignment horizontal="center" vertical="center" wrapText="1"/>
    </xf>
    <xf numFmtId="0" fontId="0" fillId="0" borderId="1" xfId="0" applyBorder="1" applyAlignment="1">
      <alignment horizontal="center" vertical="center"/>
    </xf>
    <xf numFmtId="43" fontId="0" fillId="0" borderId="1" xfId="13" applyFont="1" applyBorder="1" applyAlignment="1">
      <alignment horizontal="center" vertical="center"/>
    </xf>
    <xf numFmtId="0" fontId="0" fillId="0" borderId="1" xfId="0" applyBorder="1" applyAlignment="1">
      <alignment horizontal="center" vertical="center"/>
    </xf>
    <xf numFmtId="0" fontId="130" fillId="0" borderId="0" xfId="0" applyFont="1">
      <alignment vertical="center"/>
    </xf>
    <xf numFmtId="43" fontId="0" fillId="0" borderId="0" xfId="0" applyNumberFormat="1">
      <alignment vertical="center"/>
    </xf>
    <xf numFmtId="0" fontId="0" fillId="0" borderId="58" xfId="0" applyFill="1" applyBorder="1" applyAlignment="1">
      <alignment horizontal="center" vertical="center"/>
    </xf>
    <xf numFmtId="0" fontId="265" fillId="0" borderId="1" xfId="0" applyFont="1" applyBorder="1" applyAlignment="1">
      <alignment horizontal="center" vertical="center" wrapText="1"/>
    </xf>
    <xf numFmtId="0" fontId="265" fillId="0" borderId="1" xfId="0" applyFont="1" applyBorder="1" applyAlignment="1">
      <alignment horizontal="center" vertical="top" wrapText="1"/>
    </xf>
    <xf numFmtId="0" fontId="265" fillId="0" borderId="1" xfId="0" applyFont="1" applyBorder="1" applyAlignment="1">
      <alignment horizontal="justify" vertical="top" wrapText="1"/>
    </xf>
    <xf numFmtId="0" fontId="267" fillId="0" borderId="1" xfId="0" applyFont="1" applyBorder="1" applyAlignment="1">
      <alignment horizontal="center" vertical="center" wrapText="1"/>
    </xf>
    <xf numFmtId="0" fontId="267" fillId="0" borderId="1" xfId="0" applyFont="1" applyBorder="1" applyAlignment="1">
      <alignment horizontal="left" vertical="center"/>
    </xf>
    <xf numFmtId="4" fontId="267" fillId="0" borderId="1" xfId="0" applyNumberFormat="1" applyFont="1" applyBorder="1" applyAlignment="1">
      <alignment horizontal="right" vertical="center"/>
    </xf>
    <xf numFmtId="0" fontId="0" fillId="0" borderId="1" xfId="0" applyBorder="1" applyAlignment="1" applyProtection="1">
      <alignment horizontal="center" vertical="center"/>
      <protection locked="0"/>
    </xf>
    <xf numFmtId="43" fontId="71" fillId="3" borderId="3" xfId="0" applyNumberFormat="1" applyFont="1" applyFill="1" applyBorder="1" applyProtection="1">
      <alignment vertical="center"/>
      <protection locked="0"/>
    </xf>
    <xf numFmtId="0" fontId="130" fillId="5" borderId="0" xfId="0" applyFont="1" applyFill="1">
      <alignment vertical="center"/>
    </xf>
    <xf numFmtId="0" fontId="267" fillId="5"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vertical="center" wrapText="1"/>
    </xf>
    <xf numFmtId="0" fontId="130" fillId="0" borderId="1" xfId="0" applyFont="1" applyBorder="1" applyAlignment="1">
      <alignment vertical="center" wrapText="1"/>
    </xf>
    <xf numFmtId="0" fontId="0" fillId="5" borderId="1" xfId="0" applyFill="1" applyBorder="1" applyAlignment="1">
      <alignment horizontal="center" vertical="center"/>
    </xf>
    <xf numFmtId="43" fontId="0" fillId="5" borderId="1" xfId="13" applyFont="1" applyFill="1" applyBorder="1" applyAlignment="1">
      <alignment horizontal="center" vertical="center"/>
    </xf>
    <xf numFmtId="0" fontId="130" fillId="5" borderId="1" xfId="0" applyFont="1" applyFill="1" applyBorder="1" applyAlignment="1">
      <alignment vertical="center" wrapText="1"/>
    </xf>
    <xf numFmtId="0" fontId="130" fillId="9" borderId="0" xfId="0" applyFont="1" applyFill="1">
      <alignment vertical="center"/>
    </xf>
    <xf numFmtId="43" fontId="0" fillId="0" borderId="1" xfId="13" applyFont="1" applyBorder="1" applyAlignment="1">
      <alignment horizontal="center" vertical="center" wrapText="1"/>
    </xf>
    <xf numFmtId="0" fontId="130" fillId="0" borderId="1" xfId="0" applyFont="1" applyFill="1" applyBorder="1" applyAlignment="1">
      <alignment horizontal="center" vertical="center" wrapText="1"/>
    </xf>
    <xf numFmtId="0" fontId="68" fillId="9" borderId="23" xfId="0" applyFont="1" applyFill="1" applyBorder="1" applyAlignment="1" applyProtection="1">
      <alignment vertical="center"/>
      <protection locked="0"/>
    </xf>
    <xf numFmtId="10" fontId="137" fillId="0" borderId="1" xfId="0" applyNumberFormat="1" applyFont="1" applyFill="1" applyBorder="1" applyAlignment="1" applyProtection="1">
      <alignment horizontal="center" vertical="center"/>
      <protection locked="0"/>
    </xf>
    <xf numFmtId="0" fontId="130" fillId="0" borderId="1" xfId="0" applyFont="1" applyFill="1" applyBorder="1" applyAlignment="1">
      <alignment vertical="center" wrapText="1"/>
    </xf>
    <xf numFmtId="10" fontId="0" fillId="0" borderId="1" xfId="0" applyNumberFormat="1" applyBorder="1" applyAlignment="1">
      <alignment vertical="center" wrapText="1"/>
    </xf>
    <xf numFmtId="0" fontId="0" fillId="0" borderId="0" xfId="0" applyAlignment="1">
      <alignment vertical="center"/>
    </xf>
    <xf numFmtId="0" fontId="0" fillId="0" borderId="1" xfId="0" applyBorder="1">
      <alignment vertical="center"/>
    </xf>
    <xf numFmtId="0" fontId="0" fillId="8" borderId="1" xfId="0" applyFill="1" applyBorder="1">
      <alignment vertical="center"/>
    </xf>
    <xf numFmtId="0" fontId="0" fillId="16" borderId="1" xfId="0" applyFill="1" applyBorder="1">
      <alignment vertical="center"/>
    </xf>
    <xf numFmtId="0" fontId="0" fillId="17" borderId="1" xfId="0" applyFill="1" applyBorder="1">
      <alignment vertical="center"/>
    </xf>
    <xf numFmtId="0" fontId="0" fillId="5" borderId="1" xfId="0" applyFill="1" applyBorder="1">
      <alignment vertical="center"/>
    </xf>
    <xf numFmtId="0" fontId="268" fillId="8" borderId="1" xfId="0" applyFont="1" applyFill="1" applyBorder="1">
      <alignment vertical="center"/>
    </xf>
    <xf numFmtId="0" fontId="0" fillId="0" borderId="1" xfId="0" applyFont="1" applyBorder="1">
      <alignment vertical="center"/>
    </xf>
    <xf numFmtId="0" fontId="0" fillId="5" borderId="0" xfId="0" applyFill="1">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Fill="1" applyBorder="1">
      <alignment vertical="center"/>
    </xf>
    <xf numFmtId="0" fontId="0" fillId="18" borderId="0" xfId="0" applyFill="1">
      <alignment vertical="center"/>
    </xf>
    <xf numFmtId="43" fontId="13" fillId="9" borderId="1" xfId="0" applyNumberFormat="1" applyFont="1" applyFill="1" applyBorder="1" applyAlignment="1" applyProtection="1">
      <alignment vertical="center" wrapText="1"/>
      <protection locked="0"/>
    </xf>
    <xf numFmtId="43" fontId="0" fillId="9" borderId="0" xfId="0" applyNumberFormat="1" applyFill="1">
      <alignment vertical="center"/>
    </xf>
    <xf numFmtId="0" fontId="20" fillId="0" borderId="0" xfId="0" applyFont="1" applyAlignment="1"/>
    <xf numFmtId="0" fontId="0" fillId="9" borderId="0" xfId="0" applyFill="1" applyAlignment="1"/>
    <xf numFmtId="0" fontId="130" fillId="0" borderId="0" xfId="1" applyAlignment="1"/>
    <xf numFmtId="0" fontId="130" fillId="9" borderId="0" xfId="1" applyFill="1" applyAlignment="1"/>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1" applyFill="1" applyAlignment="1"/>
    <xf numFmtId="0" fontId="0" fillId="5" borderId="0" xfId="0" applyFill="1" applyAlignment="1"/>
    <xf numFmtId="43" fontId="0" fillId="5" borderId="0" xfId="0" applyNumberFormat="1" applyFill="1">
      <alignment vertical="center"/>
    </xf>
    <xf numFmtId="0" fontId="130" fillId="0" borderId="0" xfId="1" applyFill="1" applyAlignment="1"/>
    <xf numFmtId="0" fontId="0" fillId="0" borderId="0" xfId="0" applyFill="1" applyAlignment="1"/>
    <xf numFmtId="0" fontId="0" fillId="0" borderId="0" xfId="0" applyAlignment="1">
      <alignment wrapText="1"/>
    </xf>
    <xf numFmtId="0" fontId="0" fillId="9" borderId="0" xfId="0" applyFill="1" applyAlignment="1">
      <alignment wrapText="1"/>
    </xf>
    <xf numFmtId="0" fontId="130" fillId="0" borderId="0" xfId="1" applyAlignment="1">
      <alignment wrapText="1"/>
    </xf>
    <xf numFmtId="0" fontId="130" fillId="0" borderId="0" xfId="1" applyFill="1" applyAlignment="1">
      <alignment wrapText="1"/>
    </xf>
    <xf numFmtId="0" fontId="130" fillId="5" borderId="0" xfId="1" applyFill="1" applyAlignment="1">
      <alignment wrapText="1"/>
    </xf>
    <xf numFmtId="0" fontId="130" fillId="9" borderId="0" xfId="1" applyFill="1" applyAlignment="1">
      <alignment wrapText="1"/>
    </xf>
    <xf numFmtId="0" fontId="0" fillId="19" borderId="0" xfId="0" applyFill="1" applyAlignment="1">
      <alignment wrapText="1"/>
    </xf>
    <xf numFmtId="0" fontId="0" fillId="19" borderId="0" xfId="0" applyFill="1" applyAlignment="1"/>
    <xf numFmtId="0" fontId="130" fillId="0" borderId="15" xfId="0" applyFont="1" applyFill="1" applyBorder="1" applyAlignment="1">
      <alignment vertical="center" wrapText="1"/>
    </xf>
    <xf numFmtId="176" fontId="11" fillId="9" borderId="1" xfId="0" applyNumberFormat="1" applyFont="1" applyFill="1" applyBorder="1" applyAlignment="1" applyProtection="1">
      <alignment vertical="center" wrapText="1"/>
      <protection locked="0"/>
    </xf>
    <xf numFmtId="179" fontId="71" fillId="9" borderId="1" xfId="0" applyNumberFormat="1" applyFont="1" applyFill="1" applyBorder="1" applyAlignment="1" applyProtection="1">
      <alignment horizontal="center" vertical="center" wrapText="1"/>
      <protection locked="0"/>
    </xf>
    <xf numFmtId="0" fontId="138" fillId="0" borderId="82" xfId="0" applyFont="1" applyBorder="1" applyAlignment="1">
      <alignment horizontal="center" vertical="center"/>
    </xf>
    <xf numFmtId="0" fontId="138" fillId="0" borderId="81" xfId="0" applyFont="1" applyBorder="1" applyAlignment="1">
      <alignment horizontal="center" vertical="center"/>
    </xf>
    <xf numFmtId="0" fontId="138" fillId="0" borderId="82" xfId="0" applyFont="1" applyBorder="1" applyAlignment="1">
      <alignment horizontal="center" vertical="center" wrapText="1"/>
    </xf>
    <xf numFmtId="0" fontId="138" fillId="0" borderId="81" xfId="0" applyFont="1" applyBorder="1" applyAlignment="1">
      <alignment horizontal="center" vertical="center" wrapText="1"/>
    </xf>
    <xf numFmtId="9" fontId="11" fillId="6" borderId="0" xfId="0" applyNumberFormat="1" applyFont="1" applyFill="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1" xfId="0" applyFont="1" applyBorder="1" applyAlignment="1">
      <alignment horizontal="center" vertical="center"/>
    </xf>
    <xf numFmtId="0" fontId="0" fillId="0" borderId="1" xfId="0" applyBorder="1" applyAlignment="1">
      <alignment horizontal="center" vertical="center"/>
    </xf>
    <xf numFmtId="0" fontId="267" fillId="0" borderId="1" xfId="0" applyFont="1" applyBorder="1" applyAlignment="1">
      <alignment horizontal="center" vertical="center" wrapText="1"/>
    </xf>
    <xf numFmtId="0" fontId="267" fillId="5" borderId="1" xfId="0" applyFont="1" applyFill="1" applyBorder="1" applyAlignment="1">
      <alignment horizontal="center" vertical="center" wrapText="1"/>
    </xf>
    <xf numFmtId="0" fontId="0" fillId="0" borderId="60" xfId="0" applyBorder="1" applyAlignment="1">
      <alignment horizontal="center" vertical="center"/>
    </xf>
    <xf numFmtId="0" fontId="267" fillId="5" borderId="1" xfId="0" applyFont="1" applyFill="1" applyBorder="1" applyAlignment="1">
      <alignment horizontal="center" vertical="center"/>
    </xf>
    <xf numFmtId="31" fontId="267" fillId="5" borderId="1" xfId="0" applyNumberFormat="1" applyFont="1" applyFill="1" applyBorder="1" applyAlignment="1">
      <alignment horizontal="center" vertical="center" wrapText="1"/>
    </xf>
    <xf numFmtId="0" fontId="267" fillId="5" borderId="1" xfId="0" applyFont="1" applyFill="1" applyBorder="1" applyAlignment="1">
      <alignment horizontal="left" vertical="center" wrapText="1"/>
    </xf>
    <xf numFmtId="0" fontId="267"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center" vertical="center" wrapText="1"/>
    </xf>
    <xf numFmtId="0" fontId="267" fillId="0" borderId="1" xfId="0" applyFont="1" applyBorder="1" applyAlignment="1">
      <alignment horizontal="center" vertical="center"/>
    </xf>
    <xf numFmtId="4" fontId="267" fillId="0" borderId="1" xfId="0" applyNumberFormat="1" applyFont="1" applyBorder="1" applyAlignment="1">
      <alignment horizontal="center" vertical="center" wrapText="1"/>
    </xf>
    <xf numFmtId="31" fontId="267" fillId="0" borderId="1" xfId="0" applyNumberFormat="1" applyFont="1" applyBorder="1" applyAlignment="1">
      <alignment horizontal="center" vertical="center" wrapText="1"/>
    </xf>
    <xf numFmtId="4" fontId="267" fillId="5" borderId="1" xfId="0" applyNumberFormat="1" applyFont="1" applyFill="1" applyBorder="1" applyAlignment="1">
      <alignment horizontal="center" vertical="center" wrapText="1"/>
    </xf>
    <xf numFmtId="0" fontId="0" fillId="0" borderId="0" xfId="0" applyAlignment="1">
      <alignment horizontal="center" vertical="center"/>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4576;&#26580;&#21306;&#26143;&#32654;&#24433;&#35270;&#22522;&#22320;-&#21335;&#213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82323.28</v>
          </cell>
          <cell r="B3">
            <v>12736.12000000001</v>
          </cell>
        </row>
      </sheetData>
      <sheetData sheetId="12"/>
      <sheetData sheetId="13"/>
      <sheetData sheetId="14"/>
      <sheetData sheetId="15"/>
      <sheetData sheetId="16"/>
      <sheetData sheetId="17">
        <row r="19">
          <cell r="G19">
            <v>31257</v>
          </cell>
        </row>
        <row r="107">
          <cell r="H107">
            <v>31257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2797</v>
      </c>
      <c r="B1" s="3053" t="s">
        <v>2886</v>
      </c>
    </row>
    <row r="2" spans="1:2" s="3058" customFormat="1" ht="15" thickTop="1">
      <c r="A2" s="3056" t="s">
        <v>2798</v>
      </c>
      <c r="B2" s="3057" t="str">
        <f>'预评函-封皮'!B37:I37</f>
        <v>北京市怀柔区杨宋镇凤翔二园1号1-7幢房地产抵押价值预评估</v>
      </c>
    </row>
    <row r="3" spans="1:2" s="3061" customFormat="1">
      <c r="A3" s="3059" t="s">
        <v>2799</v>
      </c>
      <c r="B3" s="3060">
        <f>'预评函-封皮'!B40</f>
        <v>0</v>
      </c>
    </row>
    <row r="4" spans="1:2" s="3061" customFormat="1">
      <c r="A4" s="3059" t="s">
        <v>2800</v>
      </c>
      <c r="B4" s="3060" t="str">
        <f ca="1">'预评函-封皮'!B46</f>
        <v>刘梅（注册号：1120140022)、吴薇（注册号：1419970001)</v>
      </c>
    </row>
    <row r="5" spans="1:2" s="3055" customFormat="1" ht="15" thickBot="1">
      <c r="A5" s="3062" t="s">
        <v>2801</v>
      </c>
      <c r="B5" s="3063" t="str">
        <f>'预评函-封皮'!B49</f>
        <v>康正预评字号</v>
      </c>
    </row>
    <row r="6" spans="1:2" s="3058" customFormat="1" ht="15" thickTop="1">
      <c r="A6" s="3056" t="s">
        <v>2802</v>
      </c>
      <c r="B6" s="3057" t="str">
        <f>'预评函-1'!A4</f>
        <v>受贵公司委托，我公司对北京市怀柔区杨宋镇凤翔二园1号1-7幢房地产抵押价值进行了预评估。</v>
      </c>
    </row>
    <row r="7" spans="1:2" s="3061" customFormat="1">
      <c r="A7" s="3059" t="s">
        <v>2842</v>
      </c>
      <c r="B7" s="3060" t="str">
        <f>'预评函-1'!A7</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2" s="3061" customFormat="1">
      <c r="A8" s="3059" t="s">
        <v>2843</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2844</v>
      </c>
      <c r="B9" s="3060" t="str">
        <f>'预评函-1'!A10</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0" spans="1:2" s="3061" customFormat="1">
      <c r="A10" s="3059" t="s">
        <v>2845</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2803</v>
      </c>
      <c r="B11" s="3060" t="str">
        <f>'预评函-1'!A13</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2" spans="1:2" s="3061" customFormat="1">
      <c r="A12" s="3059" t="s">
        <v>2804</v>
      </c>
      <c r="B12" s="3060" t="str">
        <f>'预评函-1'!A15</f>
        <v>2017年9月8日（评估专业人员实地查勘之日）</v>
      </c>
    </row>
    <row r="13" spans="1:2" s="3061" customFormat="1">
      <c r="A13" s="3059" t="s">
        <v>2805</v>
      </c>
      <c r="B13" s="3060" t="str">
        <f>'预评函-1'!A18</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4" spans="1:2" s="3061" customFormat="1">
      <c r="A14" s="3059" t="s">
        <v>2806</v>
      </c>
      <c r="B14" s="3060" t="str">
        <f>'预评函-1'!A19</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2807</v>
      </c>
      <c r="B15" s="306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1" customFormat="1">
      <c r="A16" s="3059" t="s">
        <v>2808</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2809</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2810</v>
      </c>
      <c r="B18" s="3063" t="str">
        <f>'预评函-1'!A24</f>
        <v>本次评估采用的主估价方法为成本法和收益法。</v>
      </c>
    </row>
    <row r="19" spans="1:2" s="3058" customFormat="1" ht="15" thickTop="1">
      <c r="A19" s="3056" t="s">
        <v>2811</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2812</v>
      </c>
      <c r="B20" s="3060">
        <f ca="1">'预评函-2'!D5</f>
        <v>71292</v>
      </c>
    </row>
    <row r="21" spans="1:2" s="3061" customFormat="1">
      <c r="A21" s="3059" t="s">
        <v>2813</v>
      </c>
      <c r="B21" s="3060">
        <f ca="1">'预评函-2'!D7</f>
        <v>24606</v>
      </c>
    </row>
    <row r="22" spans="1:2" s="3061" customFormat="1">
      <c r="A22" s="3059" t="s">
        <v>2814</v>
      </c>
      <c r="B22" s="3060" t="str">
        <f ca="1">'预评函-2'!D6</f>
        <v>柒亿壹仟贰佰玖拾贰万元整</v>
      </c>
    </row>
    <row r="23" spans="1:2" s="3061" customFormat="1">
      <c r="A23" s="3059" t="s">
        <v>2874</v>
      </c>
      <c r="B23" s="3060" t="str">
        <f>'预评函-2'!B8</f>
        <v>2.估价师知悉的法定优先受偿款</v>
      </c>
    </row>
    <row r="24" spans="1:2" s="3061" customFormat="1">
      <c r="A24" s="3059" t="s">
        <v>2880</v>
      </c>
      <c r="B24" s="3060">
        <f>'预评函-2'!D8</f>
        <v>0</v>
      </c>
    </row>
    <row r="25" spans="1:2" s="3061" customFormat="1">
      <c r="A25" s="3059" t="s">
        <v>2815</v>
      </c>
      <c r="B25" s="3060" t="str">
        <f>'预评函-2'!D9</f>
        <v>零元整</v>
      </c>
    </row>
    <row r="26" spans="1:2" s="3061" customFormat="1">
      <c r="A26" s="3059" t="s">
        <v>2816</v>
      </c>
      <c r="B26" s="3060">
        <f>'预评函-2'!D10</f>
        <v>0</v>
      </c>
    </row>
    <row r="27" spans="1:2" s="3061" customFormat="1">
      <c r="A27" s="3059" t="s">
        <v>2817</v>
      </c>
      <c r="B27" s="3060">
        <f>'预评函-2'!D11</f>
        <v>0</v>
      </c>
    </row>
    <row r="28" spans="1:2" s="3061" customFormat="1">
      <c r="A28" s="3059" t="s">
        <v>2818</v>
      </c>
      <c r="B28" s="3060">
        <f>'预评函-2'!D12</f>
        <v>0</v>
      </c>
    </row>
    <row r="29" spans="1:2" s="3061" customFormat="1">
      <c r="A29" s="3059" t="s">
        <v>2878</v>
      </c>
      <c r="B29" s="3060" t="str">
        <f>'预评函-2'!B13</f>
        <v>3.房地产抵押价值</v>
      </c>
    </row>
    <row r="30" spans="1:2" s="3061" customFormat="1">
      <c r="A30" s="3059" t="s">
        <v>2879</v>
      </c>
      <c r="B30" s="3060">
        <f ca="1">'预评函-2'!D13</f>
        <v>71292</v>
      </c>
    </row>
    <row r="31" spans="1:2" s="3061" customFormat="1">
      <c r="A31" s="3059" t="s">
        <v>2853</v>
      </c>
      <c r="B31" s="3060">
        <f ca="1">'预评函-2'!D15</f>
        <v>24606</v>
      </c>
    </row>
    <row r="32" spans="1:2" s="3061" customFormat="1">
      <c r="A32" s="3059" t="s">
        <v>2819</v>
      </c>
      <c r="B32" s="3060" t="str">
        <f ca="1">'预评函-2'!D14</f>
        <v>柒亿壹仟贰佰玖拾贰万元整</v>
      </c>
    </row>
    <row r="33" spans="1:2" s="3061" customFormat="1">
      <c r="A33" s="3059" t="s">
        <v>2855</v>
      </c>
      <c r="B33" s="3060" t="str">
        <f>'预评函-2'!B16</f>
        <v>——</v>
      </c>
    </row>
    <row r="34" spans="1:2" s="3061" customFormat="1">
      <c r="A34" s="3059" t="s">
        <v>2881</v>
      </c>
      <c r="B34" s="3060" t="str">
        <f>'预评函-2'!D16</f>
        <v>——</v>
      </c>
    </row>
    <row r="35" spans="1:2" s="3061" customFormat="1">
      <c r="A35" s="3059" t="s">
        <v>2854</v>
      </c>
      <c r="B35" s="3060" t="str">
        <f>'预评函-2'!D18</f>
        <v>——</v>
      </c>
    </row>
    <row r="36" spans="1:2" s="3061" customFormat="1">
      <c r="A36" s="3059" t="s">
        <v>2820</v>
      </c>
      <c r="B36" s="3060" t="e">
        <f>'预评函-2'!D17</f>
        <v>#VALUE!</v>
      </c>
    </row>
    <row r="37" spans="1:2" s="3061" customFormat="1">
      <c r="A37" s="3059" t="s">
        <v>2856</v>
      </c>
      <c r="B37" s="3060" t="str">
        <f>'预评函-2'!B19</f>
        <v>——</v>
      </c>
    </row>
    <row r="38" spans="1:2" s="3061" customFormat="1">
      <c r="A38" s="3059" t="s">
        <v>2882</v>
      </c>
      <c r="B38" s="3060" t="str">
        <f>'预评函-2'!D19</f>
        <v>——</v>
      </c>
    </row>
    <row r="39" spans="1:2" s="3061" customFormat="1">
      <c r="A39" s="3059" t="s">
        <v>2821</v>
      </c>
      <c r="B39" s="3060" t="str">
        <f>'预评函-2'!D21</f>
        <v>——</v>
      </c>
    </row>
    <row r="40" spans="1:2" s="3061" customFormat="1">
      <c r="A40" s="3059" t="s">
        <v>2822</v>
      </c>
      <c r="B40" s="3060" t="e">
        <f>'预评函-2'!D20</f>
        <v>#VALUE!</v>
      </c>
    </row>
    <row r="41" spans="1:2" s="3061" customFormat="1">
      <c r="A41" s="3059" t="s">
        <v>2877</v>
      </c>
      <c r="B41" s="3060" t="str">
        <f>'预评函-3'!A4</f>
        <v>北京市怀柔区杨宋镇凤翔二园1号1-7幢房地产</v>
      </c>
    </row>
    <row r="42" spans="1:2" s="3061" customFormat="1">
      <c r="A42" s="3059" t="s">
        <v>2875</v>
      </c>
      <c r="B42" s="3060" t="str">
        <f>'预评函-3'!B2</f>
        <v>建筑面积</v>
      </c>
    </row>
    <row r="43" spans="1:2" s="3061" customFormat="1">
      <c r="A43" s="3059" t="s">
        <v>2876</v>
      </c>
      <c r="B43" s="3060">
        <f>'预评函-3'!B4</f>
        <v>28973.439999999999</v>
      </c>
    </row>
    <row r="44" spans="1:2" s="3061" customFormat="1">
      <c r="A44" s="3059" t="s">
        <v>2852</v>
      </c>
      <c r="B44" s="3060" t="str">
        <f>'预评函-3'!C2</f>
        <v>(分摊)土地面积</v>
      </c>
    </row>
    <row r="45" spans="1:2" s="3061" customFormat="1">
      <c r="A45" s="3059" t="s">
        <v>2823</v>
      </c>
      <c r="B45" s="3060">
        <f>'预评函-3'!C4</f>
        <v>92783.56</v>
      </c>
    </row>
    <row r="46" spans="1:2" s="3061" customFormat="1">
      <c r="A46" s="3059" t="s">
        <v>2850</v>
      </c>
      <c r="B46" s="3060" t="str">
        <f>'预评函-3'!D2</f>
        <v>出让国有建设用地使用权价值</v>
      </c>
    </row>
    <row r="47" spans="1:2" s="3061" customFormat="1">
      <c r="A47" s="3059" t="s">
        <v>2824</v>
      </c>
      <c r="B47" s="3060">
        <f ca="1">'预评函-3'!D4</f>
        <v>63093</v>
      </c>
    </row>
    <row r="48" spans="1:2" s="3061" customFormat="1">
      <c r="A48" s="3059" t="s">
        <v>2825</v>
      </c>
      <c r="B48" s="3060">
        <f ca="1">'预评函-3'!E4</f>
        <v>21776</v>
      </c>
    </row>
    <row r="49" spans="1:2" s="3061" customFormat="1">
      <c r="A49" s="3059" t="s">
        <v>2826</v>
      </c>
      <c r="B49" s="3060" t="str">
        <f ca="1">'预评函-3'!D5</f>
        <v>陆亿叁仟零玖拾叁万元整</v>
      </c>
    </row>
    <row r="50" spans="1:2" s="3061" customFormat="1">
      <c r="A50" s="3059" t="s">
        <v>2851</v>
      </c>
      <c r="B50" s="3060" t="str">
        <f>'预评函-3'!F2</f>
        <v>在建建筑物价值</v>
      </c>
    </row>
    <row r="51" spans="1:2" s="3061" customFormat="1">
      <c r="A51" s="3059" t="s">
        <v>2827</v>
      </c>
      <c r="B51" s="3060">
        <f ca="1">'预评函-3'!F4</f>
        <v>8199</v>
      </c>
    </row>
    <row r="52" spans="1:2" s="3061" customFormat="1">
      <c r="A52" s="3059" t="s">
        <v>2828</v>
      </c>
      <c r="B52" s="3060">
        <f ca="1">'预评函-3'!G4</f>
        <v>2830</v>
      </c>
    </row>
    <row r="53" spans="1:2" s="3061" customFormat="1">
      <c r="A53" s="3059" t="s">
        <v>2857</v>
      </c>
      <c r="B53" s="3060" t="str">
        <f ca="1">'预评函-3'!F5</f>
        <v>捌仟壹佰玖拾玖万元整</v>
      </c>
    </row>
    <row r="54" spans="1:2" s="3061" customFormat="1">
      <c r="A54" s="3059" t="s">
        <v>2884</v>
      </c>
      <c r="B54" s="3060" t="str">
        <f>'预评函-3'!A8</f>
        <v>房地产抵押价值</v>
      </c>
    </row>
    <row r="55" spans="1:2" s="3061" customFormat="1">
      <c r="A55" s="3059" t="s">
        <v>2858</v>
      </c>
      <c r="B55" s="3060" t="str">
        <f>'预评函-3'!A10</f>
        <v/>
      </c>
    </row>
    <row r="56" spans="1:2" s="3061" customFormat="1">
      <c r="A56" s="3059" t="s">
        <v>2859</v>
      </c>
      <c r="B56" s="3060" t="str">
        <f>'预评函-3'!A12</f>
        <v/>
      </c>
    </row>
    <row r="57" spans="1:2" s="3055" customFormat="1" ht="15" thickBot="1">
      <c r="A57" s="3062" t="s">
        <v>2885</v>
      </c>
      <c r="B57" s="3063" t="str">
        <f>'预评函-3'!A6</f>
        <v>估价师知悉的法定优先受偿款</v>
      </c>
    </row>
    <row r="58" spans="1:2" s="3058" customFormat="1" ht="15" thickTop="1">
      <c r="A58" s="3056" t="s">
        <v>2829</v>
      </c>
      <c r="B58" s="3057" t="str">
        <f>'预评函-4'!A12</f>
        <v>2.本《评估意见函》仅供金融机构进行内部审核使用，不做其他目的之用。</v>
      </c>
    </row>
    <row r="59" spans="1:2" s="3061" customFormat="1">
      <c r="A59" s="3059" t="s">
        <v>2830</v>
      </c>
      <c r="B59" s="3060" t="str">
        <f>'预评函-4'!A13</f>
        <v>3.抵押双方在办理抵押登记手续时，应使用本公司出具的正式《房地产评估报告》，特提醒报告使用者注意。</v>
      </c>
    </row>
    <row r="60" spans="1:2" s="3061" customFormat="1">
      <c r="A60" s="3059" t="s">
        <v>2831</v>
      </c>
      <c r="B60" s="3060" t="str">
        <f>'预评函-4'!A14</f>
        <v>4.本次评估估价师所知悉的法定优先受偿款情况说明如下：</v>
      </c>
    </row>
    <row r="61" spans="1:2" s="3061" customFormat="1">
      <c r="A61" s="3059" t="s">
        <v>2832</v>
      </c>
      <c r="B61" s="3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2833</v>
      </c>
      <c r="B62" s="3060" t="str">
        <f>'预评函-4'!A16</f>
        <v>（2）根据《工程款支付情况说明》，截至价值时点，估价对象不存在应付未付工程款项。（只要没有施工方盖章的，均“设定”进行表述）</v>
      </c>
    </row>
    <row r="63" spans="1:2" s="3061" customFormat="1">
      <c r="A63" s="3059" t="s">
        <v>2834</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2846</v>
      </c>
      <c r="B64" s="3060" t="str">
        <f>'预评函-4'!A18</f>
        <v>故，本次评估不存在估价师知悉的法定优先受偿款</v>
      </c>
    </row>
    <row r="65" spans="1:2" s="3061" customFormat="1">
      <c r="A65" s="3059" t="s">
        <v>2835</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2836</v>
      </c>
      <c r="B66" s="3060" t="str">
        <f>'预评函-4'!A20</f>
        <v>——</v>
      </c>
    </row>
    <row r="67" spans="1:2" s="3061" customFormat="1">
      <c r="A67" s="3059" t="s">
        <v>2847</v>
      </c>
      <c r="B67" s="3060" t="str">
        <f>'预评函-4'!A21</f>
        <v>——</v>
      </c>
    </row>
    <row r="68" spans="1:2" s="3061" customFormat="1">
      <c r="A68" s="3059" t="s">
        <v>2848</v>
      </c>
      <c r="B68" s="3060" t="str">
        <f>'预评函-4'!A22</f>
        <v>8.其他需特殊说明事项：无（注意调整序号）</v>
      </c>
    </row>
    <row r="69" spans="1:2" s="3055" customFormat="1" ht="15" thickBot="1">
      <c r="A69" s="3062" t="s">
        <v>2837</v>
      </c>
      <c r="B69" s="3064">
        <f>'预评函-4'!C31</f>
        <v>42551</v>
      </c>
    </row>
    <row r="70" spans="1:2" ht="15" thickTop="1">
      <c r="A70" s="3065" t="s">
        <v>2838</v>
      </c>
      <c r="B70" s="3066" t="str">
        <f>'预评函-4'!A4</f>
        <v>刘梅</v>
      </c>
    </row>
    <row r="71" spans="1:2">
      <c r="A71" s="3059" t="s">
        <v>2839</v>
      </c>
      <c r="B71" s="3060">
        <f ca="1">'预评函-4'!B4</f>
        <v>1120140022</v>
      </c>
    </row>
    <row r="72" spans="1:2">
      <c r="A72" s="3059" t="s">
        <v>2840</v>
      </c>
      <c r="B72" s="3068" t="str">
        <f>'预评函-4'!A5</f>
        <v>吴薇</v>
      </c>
    </row>
    <row r="73" spans="1:2" s="3055" customFormat="1" ht="15" thickBot="1">
      <c r="A73" s="3062" t="s">
        <v>2841</v>
      </c>
      <c r="B73" s="3063">
        <f ca="1">'预评函-4'!B5</f>
        <v>1419970001</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A27" sqref="A27"/>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256</v>
      </c>
      <c r="C1" s="1767" t="s">
        <v>1876</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1848</v>
      </c>
      <c r="Q1" s="11" t="s">
        <v>2642</v>
      </c>
      <c r="R1" s="1485" t="s">
        <v>2632</v>
      </c>
      <c r="S1" s="290" t="s">
        <v>269</v>
      </c>
      <c r="T1" s="291" t="s">
        <v>270</v>
      </c>
      <c r="U1" s="290" t="s">
        <v>271</v>
      </c>
      <c r="V1" s="290" t="s">
        <v>272</v>
      </c>
      <c r="W1" s="1485" t="s">
        <v>1851</v>
      </c>
    </row>
    <row r="2" spans="1:23">
      <c r="A2" s="2797" t="s">
        <v>114</v>
      </c>
      <c r="B2" s="2797" t="s">
        <v>579</v>
      </c>
      <c r="C2" s="1768" t="s">
        <v>1877</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3" t="s">
        <v>2636</v>
      </c>
      <c r="S2" s="292" t="s">
        <v>231</v>
      </c>
      <c r="T2" s="292" t="s">
        <v>232</v>
      </c>
      <c r="U2" s="292" t="s">
        <v>231</v>
      </c>
      <c r="V2" s="292" t="s">
        <v>233</v>
      </c>
      <c r="W2" s="292" t="s">
        <v>231</v>
      </c>
    </row>
    <row r="3" spans="1:23">
      <c r="A3" s="2797" t="s">
        <v>578</v>
      </c>
      <c r="B3" s="2798" t="s">
        <v>2678</v>
      </c>
      <c r="C3" s="1769" t="s">
        <v>1878</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3" t="s">
        <v>2634</v>
      </c>
      <c r="S3" s="292" t="s">
        <v>239</v>
      </c>
      <c r="T3" s="292" t="s">
        <v>240</v>
      </c>
      <c r="U3" s="292" t="s">
        <v>239</v>
      </c>
      <c r="V3" s="292" t="s">
        <v>241</v>
      </c>
      <c r="W3" s="292" t="s">
        <v>239</v>
      </c>
    </row>
    <row r="4" spans="1:23">
      <c r="A4" s="2797" t="s">
        <v>580</v>
      </c>
      <c r="B4" s="2797" t="s">
        <v>581</v>
      </c>
      <c r="C4" s="1768" t="s">
        <v>1879</v>
      </c>
      <c r="D4" s="292" t="s">
        <v>2043</v>
      </c>
      <c r="E4" s="292" t="s">
        <v>278</v>
      </c>
      <c r="F4" s="292" t="s">
        <v>279</v>
      </c>
      <c r="G4" s="292">
        <v>70</v>
      </c>
      <c r="H4" s="292" t="s">
        <v>280</v>
      </c>
      <c r="I4" s="292" t="s">
        <v>281</v>
      </c>
      <c r="K4" s="292" t="s">
        <v>242</v>
      </c>
      <c r="L4" s="292" t="s">
        <v>242</v>
      </c>
      <c r="M4" s="292" t="s">
        <v>242</v>
      </c>
      <c r="N4" s="292" t="s">
        <v>242</v>
      </c>
      <c r="O4" s="292" t="s">
        <v>242</v>
      </c>
      <c r="P4" s="292" t="s">
        <v>242</v>
      </c>
      <c r="Q4" s="292" t="s">
        <v>242</v>
      </c>
      <c r="R4" s="2763" t="s">
        <v>2637</v>
      </c>
      <c r="S4" s="292" t="s">
        <v>242</v>
      </c>
      <c r="T4" s="292" t="s">
        <v>243</v>
      </c>
      <c r="U4" s="292" t="s">
        <v>242</v>
      </c>
      <c r="W4" s="292" t="s">
        <v>242</v>
      </c>
    </row>
    <row r="5" spans="1:23">
      <c r="A5" s="2797" t="s">
        <v>582</v>
      </c>
      <c r="B5" s="2797" t="s">
        <v>583</v>
      </c>
      <c r="C5" s="1768" t="s">
        <v>1880</v>
      </c>
      <c r="F5" s="292" t="s">
        <v>244</v>
      </c>
      <c r="H5" s="292" t="s">
        <v>245</v>
      </c>
      <c r="I5" s="292" t="s">
        <v>246</v>
      </c>
      <c r="K5" s="292" t="s">
        <v>247</v>
      </c>
      <c r="L5" s="292" t="s">
        <v>247</v>
      </c>
      <c r="M5" s="292" t="s">
        <v>247</v>
      </c>
      <c r="N5" s="292" t="s">
        <v>247</v>
      </c>
      <c r="O5" s="292" t="s">
        <v>247</v>
      </c>
      <c r="P5" s="292" t="s">
        <v>247</v>
      </c>
      <c r="Q5" s="292" t="s">
        <v>247</v>
      </c>
      <c r="R5" s="2763" t="s">
        <v>2638</v>
      </c>
      <c r="S5" s="292" t="s">
        <v>247</v>
      </c>
      <c r="T5" s="292" t="s">
        <v>248</v>
      </c>
      <c r="U5" s="292" t="s">
        <v>247</v>
      </c>
      <c r="W5" s="292" t="s">
        <v>247</v>
      </c>
    </row>
    <row r="6" spans="1:23">
      <c r="A6" s="2797" t="s">
        <v>584</v>
      </c>
      <c r="B6" s="2798" t="s">
        <v>2679</v>
      </c>
      <c r="C6" s="1770" t="s">
        <v>162</v>
      </c>
      <c r="F6" s="292" t="s">
        <v>249</v>
      </c>
      <c r="H6" s="292" t="s">
        <v>250</v>
      </c>
      <c r="I6" s="292" t="s">
        <v>251</v>
      </c>
      <c r="K6" s="292" t="s">
        <v>252</v>
      </c>
      <c r="L6" s="292" t="s">
        <v>252</v>
      </c>
      <c r="M6" s="292" t="s">
        <v>252</v>
      </c>
      <c r="N6" s="292" t="s">
        <v>252</v>
      </c>
      <c r="O6" s="292" t="s">
        <v>252</v>
      </c>
      <c r="P6" s="292" t="s">
        <v>252</v>
      </c>
      <c r="Q6" s="292" t="s">
        <v>252</v>
      </c>
      <c r="R6" s="2763" t="s">
        <v>2639</v>
      </c>
      <c r="S6" s="292" t="s">
        <v>252</v>
      </c>
      <c r="T6" s="292"/>
      <c r="U6" s="292" t="s">
        <v>252</v>
      </c>
      <c r="W6" s="292" t="s">
        <v>252</v>
      </c>
    </row>
    <row r="7" spans="1:23">
      <c r="A7" s="2797" t="s">
        <v>586</v>
      </c>
      <c r="B7" s="2798" t="s">
        <v>2680</v>
      </c>
      <c r="C7" s="1768" t="s">
        <v>163</v>
      </c>
      <c r="F7" s="292" t="s">
        <v>253</v>
      </c>
      <c r="H7" s="292" t="s">
        <v>254</v>
      </c>
      <c r="I7" s="292" t="s">
        <v>255</v>
      </c>
    </row>
    <row r="8" spans="1:23">
      <c r="A8" s="2797" t="s">
        <v>588</v>
      </c>
      <c r="B8" s="2797" t="s">
        <v>585</v>
      </c>
      <c r="C8" s="1768" t="s">
        <v>1881</v>
      </c>
      <c r="F8" s="292" t="s">
        <v>282</v>
      </c>
      <c r="H8" s="292"/>
      <c r="I8" s="292" t="s">
        <v>283</v>
      </c>
    </row>
    <row r="9" spans="1:23">
      <c r="A9" s="2797" t="s">
        <v>590</v>
      </c>
      <c r="B9" s="2797" t="s">
        <v>587</v>
      </c>
      <c r="C9" s="1768" t="s">
        <v>1882</v>
      </c>
      <c r="F9" s="292" t="s">
        <v>284</v>
      </c>
      <c r="H9" s="292"/>
    </row>
    <row r="10" spans="1:23">
      <c r="A10" s="2797" t="s">
        <v>592</v>
      </c>
      <c r="B10" s="2797" t="s">
        <v>589</v>
      </c>
      <c r="C10" s="1768" t="s">
        <v>1883</v>
      </c>
      <c r="F10" s="292" t="s">
        <v>51</v>
      </c>
    </row>
    <row r="11" spans="1:23">
      <c r="A11" s="2797" t="s">
        <v>594</v>
      </c>
      <c r="B11" s="2797" t="s">
        <v>591</v>
      </c>
      <c r="C11" s="1768" t="s">
        <v>1884</v>
      </c>
    </row>
    <row r="12" spans="1:23">
      <c r="A12" s="2797" t="s">
        <v>596</v>
      </c>
      <c r="B12" s="2797" t="s">
        <v>593</v>
      </c>
      <c r="C12" s="1768" t="s">
        <v>1885</v>
      </c>
    </row>
    <row r="13" spans="1:23">
      <c r="A13" s="2797" t="s">
        <v>598</v>
      </c>
      <c r="B13" s="2797" t="s">
        <v>595</v>
      </c>
      <c r="C13" s="1768" t="s">
        <v>1886</v>
      </c>
    </row>
    <row r="14" spans="1:23">
      <c r="A14" s="2797" t="s">
        <v>600</v>
      </c>
      <c r="B14" s="2797" t="s">
        <v>597</v>
      </c>
      <c r="C14" s="292" t="s">
        <v>51</v>
      </c>
    </row>
    <row r="15" spans="1:23">
      <c r="A15" s="2797" t="s">
        <v>601</v>
      </c>
      <c r="B15" s="2797" t="s">
        <v>599</v>
      </c>
      <c r="C15" s="1771"/>
    </row>
    <row r="16" spans="1:23">
      <c r="A16" s="2797" t="s">
        <v>602</v>
      </c>
      <c r="B16" s="2797" t="s">
        <v>1867</v>
      </c>
      <c r="C16" s="1771"/>
    </row>
    <row r="17" spans="1:3">
      <c r="A17" s="2797" t="s">
        <v>603</v>
      </c>
      <c r="B17" s="2797" t="s">
        <v>1868</v>
      </c>
      <c r="C17" s="1771"/>
    </row>
    <row r="18" spans="1:3">
      <c r="A18" s="2797" t="s">
        <v>604</v>
      </c>
      <c r="B18" s="2797" t="s">
        <v>1868</v>
      </c>
      <c r="C18" s="1771"/>
    </row>
    <row r="19" spans="1:3">
      <c r="A19" s="2797" t="s">
        <v>605</v>
      </c>
      <c r="B19" s="2797" t="s">
        <v>1868</v>
      </c>
      <c r="C19" s="1771"/>
    </row>
    <row r="20" spans="1:3">
      <c r="A20" s="2797" t="s">
        <v>606</v>
      </c>
      <c r="B20" s="2797" t="s">
        <v>1868</v>
      </c>
      <c r="C20" s="1771"/>
    </row>
    <row r="21" spans="1:3">
      <c r="A21" s="2797" t="s">
        <v>607</v>
      </c>
      <c r="B21" s="2797" t="s">
        <v>1868</v>
      </c>
      <c r="C21" s="1771"/>
    </row>
    <row r="22" spans="1:3">
      <c r="A22" s="2797" t="s">
        <v>608</v>
      </c>
      <c r="B22" s="2797" t="s">
        <v>1868</v>
      </c>
      <c r="C22" s="1771"/>
    </row>
    <row r="23" spans="1:3">
      <c r="A23" s="2797" t="s">
        <v>609</v>
      </c>
      <c r="B23" s="2797" t="s">
        <v>1868</v>
      </c>
      <c r="C23" s="1771"/>
    </row>
    <row r="24" spans="1:3">
      <c r="A24" s="2797" t="s">
        <v>610</v>
      </c>
      <c r="B24" s="2797" t="s">
        <v>1868</v>
      </c>
      <c r="C24" s="1771"/>
    </row>
    <row r="25" spans="1:3">
      <c r="A25" s="2797" t="s">
        <v>611</v>
      </c>
      <c r="B25" s="2797" t="s">
        <v>1868</v>
      </c>
      <c r="C25" s="1771"/>
    </row>
    <row r="26" spans="1:3">
      <c r="A26" s="2797" t="s">
        <v>612</v>
      </c>
      <c r="B26" s="2797" t="s">
        <v>1868</v>
      </c>
      <c r="C26" s="1771"/>
    </row>
    <row r="27" spans="1:3">
      <c r="A27" s="2797" t="s">
        <v>3164</v>
      </c>
      <c r="B27" s="2797" t="s">
        <v>1868</v>
      </c>
      <c r="C27" s="1771"/>
    </row>
    <row r="28" spans="1:3">
      <c r="A28" s="2797" t="s">
        <v>1868</v>
      </c>
      <c r="B28" s="2797" t="s">
        <v>1868</v>
      </c>
      <c r="C28" s="1771"/>
    </row>
    <row r="29" spans="1:3">
      <c r="A29" s="2797" t="s">
        <v>1868</v>
      </c>
      <c r="B29" s="2797" t="s">
        <v>1868</v>
      </c>
      <c r="C29" s="1771"/>
    </row>
    <row r="30" spans="1:3">
      <c r="A30" s="2797" t="s">
        <v>1868</v>
      </c>
      <c r="B30" s="2797" t="s">
        <v>1868</v>
      </c>
      <c r="C30" s="1771"/>
    </row>
    <row r="31" spans="1:3">
      <c r="A31" s="2797" t="s">
        <v>1868</v>
      </c>
      <c r="B31" s="2797" t="s">
        <v>1868</v>
      </c>
      <c r="C31" s="1771"/>
    </row>
    <row r="32" spans="1:3">
      <c r="A32" s="2797" t="s">
        <v>1868</v>
      </c>
      <c r="B32" s="2797" t="s">
        <v>1868</v>
      </c>
      <c r="C32" s="1771"/>
    </row>
    <row r="33" spans="1:3">
      <c r="A33" s="2797" t="s">
        <v>1868</v>
      </c>
      <c r="B33" s="2797" t="s">
        <v>1868</v>
      </c>
      <c r="C33" s="1771"/>
    </row>
    <row r="34" spans="1:3">
      <c r="A34" s="2797" t="s">
        <v>1868</v>
      </c>
      <c r="B34" s="2797" t="s">
        <v>1868</v>
      </c>
      <c r="C34" s="1771"/>
    </row>
    <row r="35" spans="1:3">
      <c r="A35" s="2797" t="s">
        <v>1868</v>
      </c>
      <c r="B35" s="2797" t="s">
        <v>1868</v>
      </c>
      <c r="C35" s="1771"/>
    </row>
    <row r="36" spans="1:3">
      <c r="A36" s="2797" t="s">
        <v>1868</v>
      </c>
      <c r="B36" s="2797" t="s">
        <v>1868</v>
      </c>
      <c r="C36" s="1771"/>
    </row>
    <row r="37" spans="1:3">
      <c r="A37" s="2797" t="s">
        <v>1868</v>
      </c>
      <c r="B37" s="2797" t="s">
        <v>1868</v>
      </c>
      <c r="C37" s="1771"/>
    </row>
    <row r="38" spans="1:3">
      <c r="A38" s="2797" t="s">
        <v>1868</v>
      </c>
      <c r="B38" s="2797" t="s">
        <v>1868</v>
      </c>
      <c r="C38" s="1771"/>
    </row>
    <row r="39" spans="1:3">
      <c r="A39" s="2797" t="s">
        <v>1868</v>
      </c>
      <c r="B39" s="2797" t="s">
        <v>1868</v>
      </c>
      <c r="C39" s="1771"/>
    </row>
    <row r="40" spans="1:3">
      <c r="A40" s="2797" t="s">
        <v>1868</v>
      </c>
      <c r="B40" s="2797" t="s">
        <v>1868</v>
      </c>
      <c r="C40" s="1771"/>
    </row>
    <row r="41" spans="1:3">
      <c r="A41" s="2797" t="s">
        <v>1868</v>
      </c>
      <c r="B41" s="2797" t="s">
        <v>1868</v>
      </c>
      <c r="C41" s="1771"/>
    </row>
    <row r="42" spans="1:3">
      <c r="A42" s="2797" t="s">
        <v>1868</v>
      </c>
      <c r="B42" s="2797" t="s">
        <v>1868</v>
      </c>
      <c r="C42" s="1771"/>
    </row>
    <row r="43" spans="1:3">
      <c r="A43" s="2797" t="s">
        <v>1868</v>
      </c>
      <c r="B43" s="2797" t="s">
        <v>1868</v>
      </c>
      <c r="C43" s="1771"/>
    </row>
    <row r="44" spans="1:3">
      <c r="A44" s="2797" t="s">
        <v>1868</v>
      </c>
      <c r="B44" s="2797" t="s">
        <v>1868</v>
      </c>
      <c r="C44" s="1771"/>
    </row>
    <row r="45" spans="1:3">
      <c r="A45" s="2797" t="s">
        <v>1868</v>
      </c>
      <c r="B45" s="2797" t="s">
        <v>1868</v>
      </c>
      <c r="C45" s="1771"/>
    </row>
    <row r="46" spans="1:3">
      <c r="A46" s="2797" t="s">
        <v>1868</v>
      </c>
      <c r="B46" s="2797" t="s">
        <v>1868</v>
      </c>
      <c r="C46" s="1771"/>
    </row>
    <row r="47" spans="1:3">
      <c r="A47" s="2797" t="s">
        <v>1868</v>
      </c>
      <c r="B47" s="2797" t="s">
        <v>1868</v>
      </c>
      <c r="C47" s="1771"/>
    </row>
    <row r="48" spans="1:3">
      <c r="A48" s="2797" t="s">
        <v>1868</v>
      </c>
      <c r="B48" s="2797" t="s">
        <v>1868</v>
      </c>
      <c r="C48" s="1771"/>
    </row>
    <row r="49" spans="1:4">
      <c r="A49" s="2797" t="s">
        <v>1868</v>
      </c>
      <c r="B49" s="2797" t="s">
        <v>1868</v>
      </c>
      <c r="C49" s="1771"/>
    </row>
    <row r="50" spans="1:4">
      <c r="A50" s="2797" t="s">
        <v>1868</v>
      </c>
      <c r="B50" s="2797" t="s">
        <v>1868</v>
      </c>
      <c r="C50" s="1771"/>
    </row>
    <row r="51" spans="1:4">
      <c r="A51" s="1951" t="s">
        <v>2010</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c r="D51" s="2094" t="s">
        <v>2865</v>
      </c>
    </row>
    <row r="52" spans="1:4">
      <c r="A52" s="1951" t="s">
        <v>2013</v>
      </c>
      <c r="B52" s="1951" t="s">
        <v>2014</v>
      </c>
      <c r="C52" s="1160" t="s">
        <v>2015</v>
      </c>
      <c r="D52" s="1160" t="s">
        <v>2016</v>
      </c>
    </row>
    <row r="53" spans="1:4">
      <c r="A53" s="3472" t="s">
        <v>2017</v>
      </c>
      <c r="B53" s="2094" t="s">
        <v>2018</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2094" t="s">
        <v>2019</v>
      </c>
      <c r="C54" s="1160" t="s">
        <v>2862</v>
      </c>
    </row>
    <row r="55" spans="1:4">
      <c r="A55" s="3472"/>
      <c r="B55" s="2094" t="s">
        <v>2020</v>
      </c>
      <c r="C55" s="1160" t="s">
        <v>2863</v>
      </c>
    </row>
    <row r="56" spans="1:4">
      <c r="A56" s="3472"/>
      <c r="B56" s="2094" t="s">
        <v>2021</v>
      </c>
      <c r="C56" s="1160" t="s">
        <v>2873</v>
      </c>
    </row>
    <row r="57" spans="1:4">
      <c r="A57" s="3472"/>
      <c r="B57" s="2094" t="s">
        <v>2022</v>
      </c>
      <c r="C57" s="1160" t="s">
        <v>2864</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I22" sqref="I22"/>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2124</v>
      </c>
      <c r="B1" s="3481" t="str">
        <f>IF(B10="北京市","北京市",C10)&amp;F10&amp;IF(结果表!G1="在建","出让国有建设用地使用权及在建建筑物",IF(结果表!G1="土地","出让国有建设用地使用权",))&amp;B9&amp;"预评估"</f>
        <v>北京市怀柔区杨宋镇凤翔二园1号1-7幢房地产抵押价值预评估</v>
      </c>
      <c r="C1" s="3482"/>
      <c r="D1" s="3482"/>
      <c r="E1" s="3482"/>
      <c r="F1" s="3482"/>
      <c r="G1" s="3482"/>
      <c r="H1" s="3482"/>
      <c r="I1" s="3483"/>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北京市怀柔区杨宋镇凤翔二园1号1-7幢房地产抵押价值</v>
      </c>
    </row>
    <row r="2" spans="1:19" ht="18" customHeight="1">
      <c r="A2" s="1995" t="s">
        <v>2125</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北京市怀柔区杨宋镇凤翔二园1号1-7幢房地产</v>
      </c>
    </row>
    <row r="3" spans="1:19" ht="18" customHeight="1">
      <c r="A3" s="1940" t="s">
        <v>2003</v>
      </c>
      <c r="B3" s="3231">
        <v>42986</v>
      </c>
      <c r="C3" s="1923" t="s">
        <v>2004</v>
      </c>
      <c r="D3" s="3231">
        <v>42986</v>
      </c>
      <c r="E3" s="1995"/>
      <c r="F3" s="1995"/>
      <c r="G3" s="1995"/>
      <c r="H3" s="1995"/>
      <c r="I3" s="1995"/>
      <c r="J3" s="1995"/>
      <c r="K3" s="2101"/>
      <c r="L3" s="1996"/>
      <c r="M3" s="1996"/>
      <c r="N3" s="1195"/>
      <c r="O3" s="11"/>
      <c r="P3" s="1195"/>
      <c r="Q3" s="1195"/>
      <c r="R3" s="1195"/>
      <c r="S3" s="1194"/>
    </row>
    <row r="4" spans="1:19" ht="18" customHeight="1" thickBot="1">
      <c r="A4" s="1924" t="s">
        <v>2005</v>
      </c>
      <c r="B4" s="1925" t="s">
        <v>3064</v>
      </c>
      <c r="C4" s="1926">
        <f ca="1">SUMIF(注册房地产估价师,B4,估价师及机构信息!B3:B24)</f>
        <v>1120140022</v>
      </c>
      <c r="D4" s="1925" t="s">
        <v>3065</v>
      </c>
      <c r="E4" s="1927">
        <f ca="1">SUMIF(注册房地产估价师,D4,估价师及机构信息!B3:B24)</f>
        <v>1419970001</v>
      </c>
      <c r="F4" s="1925" t="s">
        <v>530</v>
      </c>
      <c r="G4" s="1954">
        <f>SUMIF(注册房地产估价师,F4,估价师及机构信息!B3:B24)</f>
        <v>0</v>
      </c>
      <c r="H4" s="1925" t="s">
        <v>530</v>
      </c>
      <c r="I4" s="2886">
        <f>SUMIF(注册房地产估价师,H4,估价师及机构信息!B3:B24)</f>
        <v>0</v>
      </c>
      <c r="J4" s="2000"/>
      <c r="K4" s="2102" t="str">
        <f ca="1">CONCATENATE(B4,"（注册号：",C4,")、",D4,"（注册号：",E4,")")</f>
        <v>刘梅（注册号：1120140022)、吴薇（注册号：1419970001)</v>
      </c>
      <c r="L4" s="1996"/>
      <c r="M4" s="1996"/>
      <c r="N4" s="1195"/>
      <c r="O4" s="11"/>
      <c r="P4" s="1195"/>
      <c r="Q4" s="1195"/>
      <c r="R4" s="1195"/>
      <c r="S4" s="1194"/>
    </row>
    <row r="5" spans="1:19" ht="18" customHeight="1" thickTop="1">
      <c r="A5" s="1928" t="s">
        <v>2089</v>
      </c>
      <c r="B5" s="3286"/>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2090</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2868</v>
      </c>
      <c r="B7" s="3287"/>
      <c r="C7" s="2041"/>
      <c r="D7" s="2002"/>
      <c r="E7" s="1998"/>
      <c r="F7" s="2000"/>
      <c r="G7" s="2000"/>
      <c r="H7" s="2000"/>
      <c r="I7" s="2000"/>
      <c r="J7" s="2000"/>
      <c r="K7" s="2103"/>
      <c r="L7" s="1996"/>
      <c r="M7" s="1996"/>
      <c r="N7" s="1195"/>
      <c r="O7" s="11"/>
      <c r="P7" s="1195"/>
      <c r="Q7" s="1195"/>
      <c r="R7" s="1195"/>
    </row>
    <row r="8" spans="1:19" ht="18" customHeight="1">
      <c r="A8" s="1929" t="s">
        <v>1955</v>
      </c>
      <c r="B8" s="2034" t="s">
        <v>3066</v>
      </c>
      <c r="C8" s="2003"/>
      <c r="D8" s="3484" t="s">
        <v>2012</v>
      </c>
      <c r="E8" s="2035"/>
      <c r="F8" s="2036"/>
      <c r="G8" s="1995"/>
      <c r="H8" s="1995"/>
      <c r="I8" s="1995"/>
      <c r="J8" s="2000"/>
      <c r="K8" s="2102"/>
      <c r="L8" s="1996"/>
      <c r="M8" s="1996"/>
      <c r="N8" s="1195"/>
      <c r="O8" s="11"/>
      <c r="P8" s="1195"/>
      <c r="Q8" s="1195"/>
      <c r="R8" s="1195"/>
    </row>
    <row r="9" spans="1:19" ht="18" customHeight="1" thickBot="1">
      <c r="A9" s="1954" t="s">
        <v>1956</v>
      </c>
      <c r="B9" s="1955" t="s">
        <v>3067</v>
      </c>
      <c r="C9" s="2004"/>
      <c r="D9" s="3485"/>
      <c r="E9" s="1955"/>
      <c r="F9" s="2889"/>
      <c r="G9" s="1999"/>
      <c r="H9" s="1999"/>
      <c r="I9" s="1999"/>
      <c r="J9" s="2000"/>
      <c r="K9" s="2103"/>
      <c r="L9" s="1996"/>
      <c r="M9" s="1996"/>
      <c r="N9" s="1195"/>
      <c r="O9" s="11"/>
      <c r="P9" s="1195"/>
      <c r="Q9" s="1195"/>
      <c r="R9" s="1195"/>
    </row>
    <row r="10" spans="1:19" ht="18" customHeight="1" thickTop="1">
      <c r="A10" s="2009" t="s">
        <v>2061</v>
      </c>
      <c r="B10" s="2055" t="s">
        <v>3068</v>
      </c>
      <c r="C10" s="2037" t="s">
        <v>3069</v>
      </c>
      <c r="D10" s="2001"/>
      <c r="E10" s="1939" t="s">
        <v>1957</v>
      </c>
      <c r="F10" s="1952" t="s">
        <v>3071</v>
      </c>
      <c r="G10" s="2887"/>
      <c r="H10" s="2888"/>
      <c r="I10" s="2001"/>
      <c r="J10" s="2000"/>
      <c r="K10" s="2103"/>
      <c r="L10" s="1996"/>
      <c r="M10" s="1996"/>
      <c r="N10" s="1195"/>
      <c r="O10" s="11"/>
      <c r="P10" s="1195"/>
      <c r="Q10" s="1195"/>
      <c r="R10" s="1195"/>
    </row>
    <row r="11" spans="1:19" ht="18" customHeight="1">
      <c r="A11" s="1958" t="s">
        <v>2062</v>
      </c>
      <c r="B11" s="2054" t="s">
        <v>3070</v>
      </c>
      <c r="C11" s="2038" t="s">
        <v>3072</v>
      </c>
      <c r="D11" s="2005"/>
      <c r="E11" s="2000"/>
      <c r="F11" s="2000"/>
      <c r="G11" s="2000"/>
      <c r="H11" s="2000"/>
      <c r="I11" s="2000"/>
      <c r="J11" s="2000"/>
      <c r="K11" s="2103"/>
      <c r="L11" s="1996"/>
      <c r="M11" s="1996"/>
      <c r="N11" s="1195"/>
      <c r="O11" s="11"/>
      <c r="P11" s="1195"/>
      <c r="Q11" s="1195"/>
      <c r="R11" s="1195"/>
    </row>
    <row r="12" spans="1:19" ht="18" customHeight="1">
      <c r="A12" s="2053" t="s">
        <v>2088</v>
      </c>
      <c r="B12" s="2054" t="s">
        <v>2023</v>
      </c>
      <c r="C12" s="2012" t="s">
        <v>2092</v>
      </c>
      <c r="D12" s="2024" t="s">
        <v>1949</v>
      </c>
      <c r="E12" s="2024" t="s">
        <v>2705</v>
      </c>
      <c r="F12" s="2024" t="s">
        <v>2706</v>
      </c>
      <c r="G12" s="2024" t="s">
        <v>2707</v>
      </c>
      <c r="H12" s="2024" t="s">
        <v>2708</v>
      </c>
      <c r="I12" s="2024" t="s">
        <v>2709</v>
      </c>
      <c r="J12" s="2000"/>
      <c r="K12" s="2103"/>
      <c r="L12" s="1996"/>
      <c r="M12" s="1996"/>
      <c r="N12" s="1195"/>
      <c r="O12" s="11"/>
      <c r="P12" s="1195"/>
      <c r="Q12" s="1195"/>
      <c r="R12" s="1195"/>
    </row>
    <row r="13" spans="1:19" ht="18" customHeight="1">
      <c r="A13" s="2008"/>
      <c r="B13" s="2083"/>
      <c r="C13" s="2084" t="s">
        <v>2091</v>
      </c>
      <c r="D13" s="3230"/>
      <c r="E13" s="3230"/>
      <c r="F13" s="3230">
        <v>55511</v>
      </c>
      <c r="G13" s="3230"/>
      <c r="H13" s="3230"/>
      <c r="I13" s="2049"/>
      <c r="J13" s="2000"/>
      <c r="K13" s="2103"/>
      <c r="L13" s="1996"/>
      <c r="M13" s="1996"/>
      <c r="N13" s="1195"/>
      <c r="O13" s="11"/>
      <c r="P13" s="1195"/>
      <c r="Q13" s="1195"/>
      <c r="R13" s="1195"/>
    </row>
    <row r="14" spans="1:19" ht="18" customHeight="1">
      <c r="A14" s="2008"/>
      <c r="B14" s="2083"/>
      <c r="C14" s="2084" t="s">
        <v>2093</v>
      </c>
      <c r="D14" s="2052"/>
      <c r="E14" s="2052">
        <v>40</v>
      </c>
      <c r="F14" s="2052">
        <v>50</v>
      </c>
      <c r="G14" s="2052"/>
      <c r="H14" s="2052"/>
      <c r="I14" s="2052"/>
      <c r="J14" s="2000"/>
      <c r="K14" s="2104"/>
      <c r="L14" s="1996"/>
      <c r="M14" s="1996"/>
      <c r="N14" s="1195"/>
      <c r="O14" s="11"/>
      <c r="P14" s="1195"/>
      <c r="Q14" s="1195"/>
      <c r="R14" s="1195"/>
    </row>
    <row r="15" spans="1:19" ht="18" customHeight="1">
      <c r="A15" s="2009"/>
      <c r="B15" s="2085"/>
      <c r="C15" s="2084" t="s">
        <v>2094</v>
      </c>
      <c r="D15" s="2051" t="str">
        <f>IF(B12="出让",IF(D13="","",ROUNDDOWN(MIN((D13-$D$3)/365,D14),2)),D14)</f>
        <v/>
      </c>
      <c r="E15" s="2051" t="str">
        <f>IF(B12="出让",IF(E13="","",ROUNDDOWN(MIN((E13-$D$3)/365,E14),2)),E14)</f>
        <v/>
      </c>
      <c r="F15" s="2051">
        <f>IF(B12="出让",IF(F13="","",ROUNDDOWN(MIN((F13-$D$3)/365,F14),2)),F14)</f>
        <v>34.31</v>
      </c>
      <c r="G15" s="2051" t="str">
        <f>IF(B12="出让",IF(G13="","",ROUNDDOWN(MIN((G13-$D$3)/365,G14),2)),G14)</f>
        <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2095</v>
      </c>
      <c r="B16" s="3491"/>
      <c r="C16" s="3492"/>
      <c r="D16" s="3493"/>
      <c r="E16" s="1956" t="s">
        <v>2024</v>
      </c>
      <c r="F16" s="3494" t="s">
        <v>3073</v>
      </c>
      <c r="G16" s="3495"/>
      <c r="H16" s="3495"/>
      <c r="I16" s="3496"/>
      <c r="J16" s="1195"/>
      <c r="K16" s="2105"/>
      <c r="L16" s="1229"/>
      <c r="M16" s="1229"/>
      <c r="N16" s="2020"/>
      <c r="O16" s="1229"/>
      <c r="P16" s="2020"/>
      <c r="Q16" s="1195"/>
      <c r="R16" s="1195"/>
    </row>
    <row r="17" spans="1:22" ht="18" customHeight="1">
      <c r="A17" s="2007" t="s">
        <v>1958</v>
      </c>
      <c r="B17" s="1940" t="s">
        <v>1959</v>
      </c>
      <c r="C17" s="2086">
        <f>'数据-汇总表'!E3</f>
        <v>28973.439999999999</v>
      </c>
      <c r="D17" s="1941" t="s">
        <v>1960</v>
      </c>
      <c r="E17" s="3497" t="s">
        <v>3074</v>
      </c>
      <c r="F17" s="3498"/>
      <c r="G17" s="3498"/>
      <c r="H17" s="3498"/>
      <c r="I17" s="3499"/>
      <c r="J17" s="1195"/>
      <c r="K17" s="2696"/>
      <c r="L17" s="1229"/>
      <c r="M17" s="1229"/>
      <c r="N17" s="2020"/>
      <c r="O17" s="1229"/>
      <c r="P17" s="2020"/>
      <c r="Q17" s="1195"/>
      <c r="R17" s="1195"/>
      <c r="S17" s="1195"/>
      <c r="T17" s="1195"/>
      <c r="U17" s="1195"/>
      <c r="V17" s="1195"/>
    </row>
    <row r="18" spans="1:22" ht="36" customHeight="1" thickBot="1">
      <c r="A18" s="2895" t="s">
        <v>2701</v>
      </c>
      <c r="B18" s="1924" t="s">
        <v>1961</v>
      </c>
      <c r="C18" s="2896">
        <f>'数据-汇总表'!D3</f>
        <v>92783.56</v>
      </c>
      <c r="D18" s="2897" t="s">
        <v>1960</v>
      </c>
      <c r="E18" s="3500" t="s">
        <v>3075</v>
      </c>
      <c r="F18" s="3501"/>
      <c r="G18" s="3501"/>
      <c r="H18" s="3501"/>
      <c r="I18" s="3502"/>
      <c r="J18" s="1195"/>
      <c r="K18" s="2696"/>
      <c r="L18" s="1229"/>
      <c r="M18" s="1229"/>
      <c r="N18" s="2020"/>
      <c r="O18" s="1229"/>
      <c r="P18" s="2020"/>
      <c r="Q18" s="1195"/>
      <c r="R18" s="1195"/>
      <c r="S18" s="1195"/>
      <c r="T18" s="1195"/>
      <c r="U18" s="1195"/>
      <c r="V18" s="1195"/>
    </row>
    <row r="19" spans="1:22" ht="37.5" customHeight="1" thickTop="1" thickBot="1">
      <c r="A19" s="2894" t="s">
        <v>2041</v>
      </c>
      <c r="B19" s="2060" t="s">
        <v>2042</v>
      </c>
      <c r="C19" s="2061"/>
      <c r="D19" s="2043" t="s">
        <v>2045</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2046</v>
      </c>
      <c r="B20" s="3487" t="s">
        <v>2047</v>
      </c>
      <c r="C20" s="3488"/>
      <c r="D20" s="3489" t="s">
        <v>2048</v>
      </c>
      <c r="E20" s="3490"/>
      <c r="F20" s="2068" t="s">
        <v>2049</v>
      </c>
      <c r="G20" s="2000"/>
      <c r="H20" s="2000"/>
      <c r="I20" s="2000"/>
      <c r="J20" s="2000"/>
      <c r="K20" s="3486" t="s">
        <v>2044</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2050</v>
      </c>
      <c r="C21" s="2032" t="s">
        <v>2051</v>
      </c>
      <c r="D21" s="1989" t="s">
        <v>2054</v>
      </c>
      <c r="E21" s="2033" t="s">
        <v>2051</v>
      </c>
      <c r="F21" s="1978"/>
      <c r="G21" s="2000"/>
      <c r="H21" s="2000"/>
      <c r="I21" s="2000"/>
      <c r="J21" s="2000"/>
      <c r="K21" s="3486"/>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2052</v>
      </c>
      <c r="C22" s="2032" t="s">
        <v>2053</v>
      </c>
      <c r="D22" s="1995"/>
      <c r="E22" s="1995"/>
      <c r="F22" s="2069"/>
      <c r="G22" s="2000"/>
      <c r="H22" s="2000"/>
      <c r="I22" s="2000"/>
      <c r="J22" s="2000"/>
      <c r="K22" s="3486"/>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2055</v>
      </c>
      <c r="B23" s="2065" t="s">
        <v>2056</v>
      </c>
      <c r="C23" s="2066"/>
      <c r="D23" s="1979" t="s">
        <v>2056</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2057</v>
      </c>
      <c r="C24" s="2067"/>
      <c r="D24" s="1977" t="s">
        <v>2057</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2058</v>
      </c>
      <c r="C25" s="2067"/>
      <c r="D25" s="1977" t="s">
        <v>2058</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2059</v>
      </c>
      <c r="C26" s="2071"/>
      <c r="D26" s="2059" t="s">
        <v>2059</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74" t="s">
        <v>2063</v>
      </c>
      <c r="B27" s="2009" t="s">
        <v>2064</v>
      </c>
      <c r="C27" s="1930" t="s">
        <v>3162</v>
      </c>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74"/>
      <c r="B28" s="1940" t="s">
        <v>2065</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74"/>
      <c r="B29" s="1940" t="s">
        <v>2066</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75"/>
      <c r="B30" s="1940" t="s">
        <v>2067</v>
      </c>
      <c r="C30" s="3476"/>
      <c r="D30" s="3477"/>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78" t="s">
        <v>2068</v>
      </c>
      <c r="B31" s="1936" t="s">
        <v>3130</v>
      </c>
      <c r="C31" s="1937" t="str">
        <f>IF(B31="现房","成新及维护状况正常否",IF(B31="在建","工程状态是否正常",IF(B31="土地","是否闲置","-")))</f>
        <v>成新及维护状况正常否</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79"/>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79"/>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2025</v>
      </c>
      <c r="B34" s="1960"/>
      <c r="C34" s="1960"/>
      <c r="D34" s="1960"/>
      <c r="E34" s="1960"/>
      <c r="F34" s="1960"/>
      <c r="G34" s="1960"/>
      <c r="H34" s="1960"/>
      <c r="I34" s="2000"/>
      <c r="J34" s="2000"/>
      <c r="K34" s="2884">
        <f>COUNTIF(B34:H34,"——")</f>
        <v>0</v>
      </c>
      <c r="L34" s="2012" t="s">
        <v>2097</v>
      </c>
      <c r="M34" s="2012" t="s">
        <v>2098</v>
      </c>
      <c r="N34" s="2012" t="s">
        <v>2099</v>
      </c>
      <c r="O34" s="2012" t="s">
        <v>2100</v>
      </c>
      <c r="P34" s="2012" t="s">
        <v>2101</v>
      </c>
      <c r="Q34" s="2012" t="s">
        <v>2102</v>
      </c>
      <c r="R34" s="2012" t="s">
        <v>2103</v>
      </c>
      <c r="S34" s="3473" t="s">
        <v>2104</v>
      </c>
      <c r="T34" s="2013" t="str">
        <f>NUMBERSTRING(7-K34,1)&amp;"通"</f>
        <v>七通</v>
      </c>
      <c r="U34" s="1195"/>
      <c r="V34" s="1195"/>
    </row>
    <row r="35" spans="1:22" ht="18" customHeight="1">
      <c r="A35" s="2014"/>
      <c r="B35" s="3480" t="s">
        <v>1874</v>
      </c>
      <c r="C35" s="3480"/>
      <c r="D35" s="3480"/>
      <c r="E35" s="3480"/>
      <c r="F35" s="2015" t="str">
        <f>C10</f>
        <v>怀柔区</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3"/>
      <c r="T35" s="23" t="str">
        <f>IF(T34="一通",L35,IF(T34="二通",M35,IF(T34="三通",N35,IF(T34="四通",O35,IF(T34="五通",P35,IF(T34="六通",Q35,R35))))))</f>
        <v>、、、、、、</v>
      </c>
      <c r="U35" s="1195"/>
      <c r="V35" s="1195"/>
    </row>
    <row r="36" spans="1:22" ht="18" customHeight="1">
      <c r="A36" s="2016"/>
      <c r="B36" s="2015" t="s">
        <v>1954</v>
      </c>
      <c r="C36" s="2015" t="s">
        <v>1950</v>
      </c>
      <c r="D36" s="2015" t="s">
        <v>1949</v>
      </c>
      <c r="E36" s="2015" t="s">
        <v>1951</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1873</v>
      </c>
      <c r="B37" s="2019" t="s">
        <v>1542</v>
      </c>
      <c r="C37" s="2019" t="s">
        <v>1542</v>
      </c>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1875</v>
      </c>
      <c r="B38" s="2047" t="s">
        <v>3124</v>
      </c>
      <c r="C38" s="2047" t="s">
        <v>3124</v>
      </c>
      <c r="D38" s="2047"/>
      <c r="E38" s="2047"/>
      <c r="F38" s="2048"/>
      <c r="G38" s="1999"/>
      <c r="H38" s="1999"/>
      <c r="I38" s="1999"/>
      <c r="J38" s="2000"/>
      <c r="K38" s="2103"/>
      <c r="L38" s="1996"/>
      <c r="M38" s="1996"/>
      <c r="N38" s="1195"/>
      <c r="O38" s="11"/>
      <c r="P38" s="1195"/>
      <c r="Q38" s="1195"/>
      <c r="R38" s="1195"/>
      <c r="S38" s="1195"/>
      <c r="T38" s="1195"/>
      <c r="U38" s="1195"/>
      <c r="V38" s="1195"/>
    </row>
    <row r="39" spans="1:22" s="3309" customFormat="1" ht="18" customHeight="1" thickTop="1" thickBot="1">
      <c r="A39" s="3310" t="s">
        <v>3030</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2069</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2070</v>
      </c>
      <c r="B42" s="1986" t="s">
        <v>2071</v>
      </c>
      <c r="C42" s="1986" t="s">
        <v>2072</v>
      </c>
      <c r="D42" s="1986" t="s">
        <v>2073</v>
      </c>
      <c r="E42" s="1986" t="s">
        <v>2074</v>
      </c>
      <c r="F42" s="1986" t="s">
        <v>2075</v>
      </c>
      <c r="G42" s="1986" t="s">
        <v>2076</v>
      </c>
      <c r="H42" s="1986" t="s">
        <v>2077</v>
      </c>
      <c r="I42" s="1986" t="s">
        <v>2078</v>
      </c>
      <c r="J42" s="2099" t="s">
        <v>2079</v>
      </c>
      <c r="K42" s="2024" t="s">
        <v>2080</v>
      </c>
      <c r="L42" s="2024" t="s">
        <v>2081</v>
      </c>
      <c r="M42" s="2024" t="s">
        <v>2082</v>
      </c>
      <c r="N42" s="1986" t="s">
        <v>2083</v>
      </c>
      <c r="O42" s="1986" t="s">
        <v>2084</v>
      </c>
      <c r="P42" s="1986" t="s">
        <v>2085</v>
      </c>
      <c r="Q42" s="2012" t="s">
        <v>2086</v>
      </c>
      <c r="R42" s="2012" t="s">
        <v>2087</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40"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40"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40"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40"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40"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40"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40"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615</v>
      </c>
      <c r="B2" s="82" t="s">
        <v>616</v>
      </c>
      <c r="C2" s="82" t="s">
        <v>617</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2405</v>
      </c>
      <c r="AZ2" s="2520" t="s">
        <v>2406</v>
      </c>
      <c r="BA2" s="2521"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424">
        <v>92783.56</v>
      </c>
      <c r="B3" s="301">
        <f>IF(C3="否",G5-AT5,G5)</f>
        <v>28973.439999999999</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618</v>
      </c>
      <c r="B5" s="220"/>
      <c r="C5" s="220"/>
      <c r="D5" s="218"/>
      <c r="E5" s="304" t="s">
        <v>23</v>
      </c>
      <c r="F5" s="304">
        <f>SUM(F13:F587)</f>
        <v>0</v>
      </c>
      <c r="G5" s="304">
        <f>SUM(G13:G587)</f>
        <v>28973.439999999999</v>
      </c>
      <c r="H5" s="304">
        <f t="shared" ref="H5:AT5" si="0">SUM(H13:H656)</f>
        <v>28973.439999999999</v>
      </c>
      <c r="I5" s="304">
        <f t="shared" si="0"/>
        <v>28973.439999999999</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618</v>
      </c>
      <c r="AW5" s="220"/>
      <c r="AX5" s="220"/>
      <c r="AY5" s="305" t="s">
        <v>29</v>
      </c>
      <c r="AZ5" s="306">
        <f t="shared" ref="AZ5:BT5" si="1">SUM(AZ13:AZ656)</f>
        <v>28973.439999999999</v>
      </c>
      <c r="BA5" s="306">
        <f t="shared" si="1"/>
        <v>28973.439999999999</v>
      </c>
      <c r="BB5" s="306">
        <f t="shared" si="1"/>
        <v>28973.439999999999</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9" customFormat="1" ht="12.75">
      <c r="A6" s="83" t="s">
        <v>619</v>
      </c>
      <c r="B6" s="223"/>
      <c r="C6" s="223"/>
      <c r="D6" s="224"/>
      <c r="E6" s="304">
        <f>H6+AC6+AT6</f>
        <v>92783.56</v>
      </c>
      <c r="F6" s="304" t="s">
        <v>23</v>
      </c>
      <c r="G6" s="304" t="s">
        <v>25</v>
      </c>
      <c r="H6" s="308">
        <f>SUMIF(I$12:AB$12,"总值",I6:AB6)</f>
        <v>92783.56</v>
      </c>
      <c r="I6" s="304">
        <f t="shared" ref="I6:AB6" si="2">ROUND($A$3*I5/$B$3,2)</f>
        <v>92783.56</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619</v>
      </c>
      <c r="AW6" s="223"/>
      <c r="AX6" s="223"/>
      <c r="AY6" s="309">
        <f>IF(AY3&gt;0,AY3,ROUND($A$3*AZ5/$B$3,2))</f>
        <v>92783.56</v>
      </c>
      <c r="AZ6" s="304" t="s">
        <v>29</v>
      </c>
      <c r="BA6" s="304">
        <f>ROUND($AY$6*BA5/$AZ$5,2)</f>
        <v>92783.56</v>
      </c>
      <c r="BB6" s="304">
        <f>ROUND($AY$6*BB5/$AZ$5,2)</f>
        <v>92783.56</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3"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634</v>
      </c>
      <c r="I9" s="244" t="s">
        <v>3131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2" t="s">
        <v>2394</v>
      </c>
      <c r="AE11" s="2491"/>
      <c r="AF11" s="2512" t="s">
        <v>2394</v>
      </c>
      <c r="AG11" s="2491"/>
      <c r="AH11" s="2512" t="s">
        <v>2395</v>
      </c>
      <c r="AI11" s="2513"/>
      <c r="AJ11" s="2512" t="s">
        <v>2395</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c r="A13" s="216"/>
      <c r="B13" s="216"/>
      <c r="C13" s="3369">
        <f>面积!A4</f>
        <v>1</v>
      </c>
      <c r="D13" s="217" t="s">
        <v>3132</v>
      </c>
      <c r="E13" s="304">
        <f>IF($C$3="是",ROUND($A$3*G13/$B$3,2),ROUND($A$3*(G13-AT13)/$B$3,2))</f>
        <v>32887.82</v>
      </c>
      <c r="F13" s="320"/>
      <c r="G13" s="321">
        <f>H13+AC13+AT13</f>
        <v>10269.85</v>
      </c>
      <c r="H13" s="308">
        <f>SUMIF(I$12:AB$12,"总值",I13:AB13)</f>
        <v>10269.85</v>
      </c>
      <c r="I13" s="1416">
        <f>面积!E4</f>
        <v>10269.85</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1</v>
      </c>
      <c r="AY13" s="303">
        <f>ROUND($AY$6*AZ13/$AZ$5,2)</f>
        <v>32887.82</v>
      </c>
      <c r="AZ13" s="304">
        <f>BA13+BL13</f>
        <v>10269.85</v>
      </c>
      <c r="BA13" s="304">
        <f>SUM(BB13:BK13)</f>
        <v>10269.85</v>
      </c>
      <c r="BB13" s="304">
        <f>IF($D13="是",I13-J13,0)</f>
        <v>10269.85</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c r="A14" s="216"/>
      <c r="B14" s="216"/>
      <c r="C14" s="3369">
        <f>面积!A5</f>
        <v>2</v>
      </c>
      <c r="D14" s="217" t="s">
        <v>3133</v>
      </c>
      <c r="E14" s="304">
        <f>IF($C$3="是",ROUND($A$3*G14/$B$3,2),ROUND($A$3*(G14-AT14)/$B$3,2))</f>
        <v>33913.06</v>
      </c>
      <c r="F14" s="320"/>
      <c r="G14" s="321">
        <f>H14+AC14+AT14</f>
        <v>10590</v>
      </c>
      <c r="H14" s="308">
        <f>SUMIF(I$12:AB$12,"总值",I14:AB14)</f>
        <v>10590</v>
      </c>
      <c r="I14" s="3423">
        <f>面积!K5</f>
        <v>10590</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2</v>
      </c>
      <c r="AY14" s="303">
        <f>ROUND($AY$6*AZ14/$AZ$5,2)</f>
        <v>33913.06</v>
      </c>
      <c r="AZ14" s="304">
        <f>BA14+BL14</f>
        <v>10590</v>
      </c>
      <c r="BA14" s="304">
        <f>SUM(BB14:BK14)</f>
        <v>10590</v>
      </c>
      <c r="BB14" s="304">
        <f>IF($D14="是",I14-J14,0)</f>
        <v>10590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c r="A15" s="216"/>
      <c r="B15" s="216"/>
      <c r="C15" s="3369">
        <f>面积!A6</f>
        <v>3</v>
      </c>
      <c r="D15" s="217" t="s">
        <v>3133</v>
      </c>
      <c r="E15" s="304">
        <f>IF($C$3="是",ROUND($A$3*G15/$B$3,2),ROUND($A$3*(G15-AT15)/$B$3,2))</f>
        <v>2314.83</v>
      </c>
      <c r="F15" s="320"/>
      <c r="G15" s="321">
        <f>H15+AC15+AT15</f>
        <v>722.85</v>
      </c>
      <c r="H15" s="308">
        <f>SUMIF(I$12:AB$12,"总值",I15:AB15)</f>
        <v>722.85</v>
      </c>
      <c r="I15" s="1416">
        <f>面积!E6</f>
        <v>722.85</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3</v>
      </c>
      <c r="AY15" s="303">
        <f>ROUND($AY$6*AZ15/$AZ$5,2)</f>
        <v>2314.83</v>
      </c>
      <c r="AZ15" s="304">
        <f>BA15+BL15</f>
        <v>722.85</v>
      </c>
      <c r="BA15" s="304">
        <f>SUM(BB15:BK15)</f>
        <v>722.85</v>
      </c>
      <c r="BB15" s="304">
        <f>IF($D15="是",I15-J15,0)</f>
        <v>722.85</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c r="A16" s="216"/>
      <c r="B16" s="216"/>
      <c r="C16" s="3369">
        <f>面积!A7</f>
        <v>4</v>
      </c>
      <c r="D16" s="217" t="s">
        <v>3133</v>
      </c>
      <c r="E16" s="304">
        <f>IF($C$3="是",ROUND($A$3*G16/$B$3,2),ROUND($A$3*(G16-AT16)/$B$3,2))</f>
        <v>9024.49</v>
      </c>
      <c r="F16" s="320"/>
      <c r="G16" s="321">
        <f>H16+AC16+AT16</f>
        <v>2818.07</v>
      </c>
      <c r="H16" s="308">
        <f>SUMIF(I$12:AB$12,"总值",I16:AB16)</f>
        <v>2818.07</v>
      </c>
      <c r="I16" s="1416">
        <f>面积!E7</f>
        <v>2818.07</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4</v>
      </c>
      <c r="AY16" s="303">
        <f>ROUND($AY$6*AZ16/$AZ$5,2)</f>
        <v>9024.49</v>
      </c>
      <c r="AZ16" s="304">
        <f>BA16+BL16</f>
        <v>2818.07</v>
      </c>
      <c r="BA16" s="304">
        <f>SUM(BB16:BK16)</f>
        <v>2818.07</v>
      </c>
      <c r="BB16" s="304">
        <f>IF($D16="是",I16-J16,0)</f>
        <v>2818.07</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c r="A17" s="216"/>
      <c r="B17" s="216"/>
      <c r="C17" s="3369">
        <f>面积!A8</f>
        <v>5</v>
      </c>
      <c r="D17" s="217" t="s">
        <v>3133</v>
      </c>
      <c r="E17" s="304">
        <f>IF($C$3="是",ROUND($A$3*G17/$B$3,2),ROUND($A$3*(G17-AT17)/$B$3,2))</f>
        <v>4304.91</v>
      </c>
      <c r="F17" s="320"/>
      <c r="G17" s="321">
        <f>H17+AC17+AT17</f>
        <v>1344.29</v>
      </c>
      <c r="H17" s="308">
        <f>SUMIF(I$12:AB$12,"总值",I17:AB17)</f>
        <v>1344.29</v>
      </c>
      <c r="I17" s="1416">
        <f>面积!E8</f>
        <v>1344.29</v>
      </c>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5</v>
      </c>
      <c r="AY17" s="303">
        <f>ROUND($AY$6*AZ17/$AZ$5,2)</f>
        <v>4304.91</v>
      </c>
      <c r="AZ17" s="304">
        <f>BA17+BL17</f>
        <v>1344.29</v>
      </c>
      <c r="BA17" s="304">
        <f>SUM(BB17:BK17)</f>
        <v>1344.29</v>
      </c>
      <c r="BB17" s="304">
        <f>IF($D17="是",I17-J17,0)</f>
        <v>1344.29</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7"/>
      <c r="B18" s="322"/>
      <c r="C18" s="3369">
        <f>面积!A9</f>
        <v>6</v>
      </c>
      <c r="D18" s="217" t="s">
        <v>3133</v>
      </c>
      <c r="E18" s="323">
        <f t="shared" ref="E18:E112" si="7">IF($C$3="是",ROUND($A$3*G18/$B$3,2),ROUND($A$3*(G18-AT18)/$B$3,2))</f>
        <v>0</v>
      </c>
      <c r="F18" s="324"/>
      <c r="G18" s="325">
        <f t="shared" ref="G18:G109" si="8">H18+AC18+AT18</f>
        <v>0</v>
      </c>
      <c r="H18" s="326">
        <f t="shared" ref="H18:H109" si="9">SUMIF(I$12:AB$12,"总值",I18:AB18)</f>
        <v>0</v>
      </c>
      <c r="I18" s="3423"/>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1">
        <f t="shared" ref="AV18:AV112" si="11">A18</f>
        <v>0</v>
      </c>
      <c r="AW18" s="2211">
        <f t="shared" ref="AW18:AW112" si="12">B18</f>
        <v>0</v>
      </c>
      <c r="AX18" s="2211">
        <f t="shared" ref="AX18:AX112" si="13">C18</f>
        <v>6</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7"/>
      <c r="B19" s="322"/>
      <c r="C19" s="3369">
        <f>面积!A10</f>
        <v>7</v>
      </c>
      <c r="D19" s="217" t="s">
        <v>3133</v>
      </c>
      <c r="E19" s="323">
        <f t="shared" si="7"/>
        <v>10338.450000000001</v>
      </c>
      <c r="F19" s="324"/>
      <c r="G19" s="325">
        <f t="shared" si="8"/>
        <v>3228.38</v>
      </c>
      <c r="H19" s="326">
        <f t="shared" si="9"/>
        <v>3228.38</v>
      </c>
      <c r="I19" s="1416">
        <f>面积!E10</f>
        <v>3228.38</v>
      </c>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7</v>
      </c>
      <c r="AY19" s="330">
        <f t="shared" si="14"/>
        <v>10338.450000000001</v>
      </c>
      <c r="AZ19" s="323">
        <f t="shared" si="15"/>
        <v>3228.38</v>
      </c>
      <c r="BA19" s="323">
        <f t="shared" si="16"/>
        <v>3228.38</v>
      </c>
      <c r="BB19" s="323">
        <f t="shared" si="17"/>
        <v>3228.38</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7"/>
      <c r="B20" s="322"/>
      <c r="C20" s="3369"/>
      <c r="D20" s="217"/>
      <c r="E20" s="323">
        <f t="shared" si="7"/>
        <v>0</v>
      </c>
      <c r="F20" s="324"/>
      <c r="G20" s="325">
        <f t="shared" si="8"/>
        <v>0</v>
      </c>
      <c r="H20" s="326">
        <f t="shared" si="9"/>
        <v>0</v>
      </c>
      <c r="I20" s="1416"/>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7"/>
      <c r="B21" s="322"/>
      <c r="C21" s="3369"/>
      <c r="D21" s="217"/>
      <c r="E21" s="323">
        <f t="shared" si="7"/>
        <v>0</v>
      </c>
      <c r="F21" s="324"/>
      <c r="G21" s="325">
        <f t="shared" si="8"/>
        <v>0</v>
      </c>
      <c r="H21" s="326">
        <f t="shared" si="9"/>
        <v>0</v>
      </c>
      <c r="I21" s="1416"/>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322"/>
      <c r="C22" s="3369"/>
      <c r="D22" s="217"/>
      <c r="E22" s="323">
        <f t="shared" si="7"/>
        <v>0</v>
      </c>
      <c r="F22" s="324"/>
      <c r="G22" s="325">
        <f t="shared" si="8"/>
        <v>0</v>
      </c>
      <c r="H22" s="326">
        <f t="shared" si="9"/>
        <v>0</v>
      </c>
      <c r="I22" s="1416"/>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c r="C23" s="3369"/>
      <c r="D23" s="217"/>
      <c r="E23" s="323">
        <f t="shared" si="7"/>
        <v>0</v>
      </c>
      <c r="F23" s="324"/>
      <c r="G23" s="325">
        <f t="shared" si="8"/>
        <v>0</v>
      </c>
      <c r="H23" s="326">
        <f t="shared" si="9"/>
        <v>0</v>
      </c>
      <c r="I23" s="1416"/>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c r="C24" s="3369"/>
      <c r="D24" s="217"/>
      <c r="E24" s="323">
        <f t="shared" si="7"/>
        <v>0</v>
      </c>
      <c r="F24" s="324"/>
      <c r="G24" s="325">
        <f t="shared" si="8"/>
        <v>0</v>
      </c>
      <c r="H24" s="326">
        <f t="shared" si="9"/>
        <v>0</v>
      </c>
      <c r="I24" s="1416"/>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c r="C25" s="3369"/>
      <c r="D25" s="217"/>
      <c r="E25" s="323">
        <f t="shared" si="7"/>
        <v>0</v>
      </c>
      <c r="F25" s="324"/>
      <c r="G25" s="325">
        <f t="shared" si="8"/>
        <v>0</v>
      </c>
      <c r="H25" s="326">
        <f t="shared" si="9"/>
        <v>0</v>
      </c>
      <c r="I25" s="1416"/>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c r="C26" s="3369"/>
      <c r="D26" s="217"/>
      <c r="E26" s="323">
        <f t="shared" si="7"/>
        <v>0</v>
      </c>
      <c r="F26" s="324"/>
      <c r="G26" s="325">
        <f t="shared" si="8"/>
        <v>0</v>
      </c>
      <c r="H26" s="326">
        <f t="shared" si="9"/>
        <v>0</v>
      </c>
      <c r="I26" s="1416"/>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c r="C27" s="3369"/>
      <c r="D27" s="217"/>
      <c r="E27" s="323">
        <f t="shared" si="7"/>
        <v>0</v>
      </c>
      <c r="F27" s="324"/>
      <c r="G27" s="325">
        <f t="shared" si="8"/>
        <v>0</v>
      </c>
      <c r="H27" s="326">
        <f t="shared" si="9"/>
        <v>0</v>
      </c>
      <c r="I27" s="1416"/>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7"/>
      <c r="B28" s="322"/>
      <c r="C28" s="3369"/>
      <c r="D28" s="217"/>
      <c r="E28" s="323">
        <f t="shared" si="7"/>
        <v>0</v>
      </c>
      <c r="F28" s="324"/>
      <c r="G28" s="325">
        <f t="shared" si="8"/>
        <v>0</v>
      </c>
      <c r="H28" s="326">
        <f t="shared" si="9"/>
        <v>0</v>
      </c>
      <c r="I28" s="1416"/>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7"/>
      <c r="B29" s="322"/>
      <c r="C29" s="3369"/>
      <c r="D29" s="217"/>
      <c r="E29" s="323">
        <f t="shared" si="7"/>
        <v>0</v>
      </c>
      <c r="F29" s="324"/>
      <c r="G29" s="325">
        <f t="shared" si="8"/>
        <v>0</v>
      </c>
      <c r="H29" s="326">
        <f t="shared" si="9"/>
        <v>0</v>
      </c>
      <c r="I29" s="1416"/>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7"/>
      <c r="B30" s="322"/>
      <c r="C30" s="3369"/>
      <c r="D30" s="217"/>
      <c r="E30" s="323">
        <f t="shared" si="7"/>
        <v>0</v>
      </c>
      <c r="F30" s="324"/>
      <c r="G30" s="325">
        <f t="shared" si="8"/>
        <v>0</v>
      </c>
      <c r="H30" s="326">
        <f t="shared" si="9"/>
        <v>0</v>
      </c>
      <c r="I30" s="1416"/>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7"/>
      <c r="B31" s="322"/>
      <c r="C31" s="3369"/>
      <c r="D31" s="217"/>
      <c r="E31" s="323">
        <f t="shared" si="7"/>
        <v>0</v>
      </c>
      <c r="F31" s="324"/>
      <c r="G31" s="325">
        <f t="shared" si="8"/>
        <v>0</v>
      </c>
      <c r="H31" s="326">
        <f t="shared" si="9"/>
        <v>0</v>
      </c>
      <c r="I31" s="1416"/>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7"/>
      <c r="B32" s="322"/>
      <c r="C32" s="3369"/>
      <c r="D32" s="217"/>
      <c r="E32" s="323">
        <f t="shared" si="7"/>
        <v>0</v>
      </c>
      <c r="F32" s="324"/>
      <c r="G32" s="325">
        <f t="shared" si="8"/>
        <v>0</v>
      </c>
      <c r="H32" s="326">
        <f t="shared" si="9"/>
        <v>0</v>
      </c>
      <c r="I32" s="1416"/>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7"/>
      <c r="B33" s="322"/>
      <c r="C33" s="3369"/>
      <c r="D33" s="217"/>
      <c r="E33" s="323">
        <f t="shared" si="7"/>
        <v>0</v>
      </c>
      <c r="F33" s="324"/>
      <c r="G33" s="325">
        <f t="shared" si="8"/>
        <v>0</v>
      </c>
      <c r="H33" s="326">
        <f t="shared" si="9"/>
        <v>0</v>
      </c>
      <c r="I33" s="1416"/>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7"/>
      <c r="B34" s="322"/>
      <c r="C34" s="3369"/>
      <c r="D34" s="217"/>
      <c r="E34" s="323">
        <f t="shared" si="7"/>
        <v>0</v>
      </c>
      <c r="F34" s="324"/>
      <c r="G34" s="325">
        <f t="shared" si="8"/>
        <v>0</v>
      </c>
      <c r="H34" s="326">
        <f t="shared" si="9"/>
        <v>0</v>
      </c>
      <c r="I34" s="1416"/>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7"/>
      <c r="B35" s="322"/>
      <c r="C35" s="3369"/>
      <c r="D35" s="217"/>
      <c r="E35" s="323">
        <f t="shared" si="7"/>
        <v>0</v>
      </c>
      <c r="F35" s="324"/>
      <c r="G35" s="325">
        <f t="shared" si="8"/>
        <v>0</v>
      </c>
      <c r="H35" s="326">
        <f t="shared" si="9"/>
        <v>0</v>
      </c>
      <c r="I35" s="1416"/>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7"/>
      <c r="B36" s="322"/>
      <c r="C36" s="3369"/>
      <c r="D36" s="217"/>
      <c r="E36" s="323">
        <f t="shared" si="7"/>
        <v>0</v>
      </c>
      <c r="F36" s="324"/>
      <c r="G36" s="325">
        <f t="shared" si="8"/>
        <v>0</v>
      </c>
      <c r="H36" s="326">
        <f t="shared" si="9"/>
        <v>0</v>
      </c>
      <c r="I36" s="1416"/>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7"/>
      <c r="B37" s="322"/>
      <c r="C37" s="3369"/>
      <c r="D37" s="217"/>
      <c r="E37" s="323">
        <f t="shared" si="7"/>
        <v>0</v>
      </c>
      <c r="F37" s="324"/>
      <c r="G37" s="325">
        <f t="shared" si="8"/>
        <v>0</v>
      </c>
      <c r="H37" s="326">
        <f t="shared" si="9"/>
        <v>0</v>
      </c>
      <c r="I37" s="1416"/>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7"/>
      <c r="B38" s="322"/>
      <c r="C38" s="3369"/>
      <c r="D38" s="217"/>
      <c r="E38" s="323">
        <f t="shared" si="7"/>
        <v>0</v>
      </c>
      <c r="F38" s="324"/>
      <c r="G38" s="325">
        <f t="shared" si="8"/>
        <v>0</v>
      </c>
      <c r="H38" s="326">
        <f t="shared" si="9"/>
        <v>0</v>
      </c>
      <c r="I38" s="1416"/>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7"/>
      <c r="B39" s="322"/>
      <c r="C39" s="3369"/>
      <c r="D39" s="217"/>
      <c r="E39" s="323">
        <f t="shared" si="7"/>
        <v>0</v>
      </c>
      <c r="F39" s="324"/>
      <c r="G39" s="325">
        <f t="shared" si="8"/>
        <v>0</v>
      </c>
      <c r="H39" s="326">
        <f t="shared" si="9"/>
        <v>0</v>
      </c>
      <c r="I39" s="1416"/>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7"/>
      <c r="B40" s="322"/>
      <c r="C40" s="3369"/>
      <c r="D40" s="217"/>
      <c r="E40" s="323">
        <f t="shared" si="7"/>
        <v>0</v>
      </c>
      <c r="F40" s="324"/>
      <c r="G40" s="325">
        <f t="shared" si="8"/>
        <v>0</v>
      </c>
      <c r="H40" s="326">
        <f t="shared" si="9"/>
        <v>0</v>
      </c>
      <c r="I40" s="1416"/>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7"/>
      <c r="B41" s="322"/>
      <c r="C41" s="3369"/>
      <c r="D41" s="217"/>
      <c r="E41" s="323">
        <f t="shared" si="7"/>
        <v>0</v>
      </c>
      <c r="F41" s="324"/>
      <c r="G41" s="325">
        <f t="shared" si="8"/>
        <v>0</v>
      </c>
      <c r="H41" s="326">
        <f t="shared" si="9"/>
        <v>0</v>
      </c>
      <c r="I41" s="1416"/>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7"/>
      <c r="B42" s="322"/>
      <c r="C42" s="3369"/>
      <c r="D42" s="217"/>
      <c r="E42" s="323">
        <f t="shared" si="7"/>
        <v>0</v>
      </c>
      <c r="F42" s="324"/>
      <c r="G42" s="325">
        <f t="shared" si="8"/>
        <v>0</v>
      </c>
      <c r="H42" s="326">
        <f t="shared" si="9"/>
        <v>0</v>
      </c>
      <c r="I42" s="1416"/>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7"/>
      <c r="B43" s="322"/>
      <c r="C43" s="3369"/>
      <c r="D43" s="217"/>
      <c r="E43" s="323">
        <f t="shared" si="7"/>
        <v>0</v>
      </c>
      <c r="F43" s="324"/>
      <c r="G43" s="325">
        <f t="shared" si="8"/>
        <v>0</v>
      </c>
      <c r="H43" s="326">
        <f t="shared" si="9"/>
        <v>0</v>
      </c>
      <c r="I43" s="1416"/>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7"/>
      <c r="B44" s="322"/>
      <c r="C44" s="3369"/>
      <c r="D44" s="217"/>
      <c r="E44" s="323">
        <f t="shared" si="7"/>
        <v>0</v>
      </c>
      <c r="F44" s="324"/>
      <c r="G44" s="325">
        <f t="shared" si="8"/>
        <v>0</v>
      </c>
      <c r="H44" s="326">
        <f t="shared" si="9"/>
        <v>0</v>
      </c>
      <c r="I44" s="1416"/>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7"/>
      <c r="B45" s="322"/>
      <c r="C45" s="3369"/>
      <c r="D45" s="217"/>
      <c r="E45" s="323">
        <f t="shared" si="7"/>
        <v>0</v>
      </c>
      <c r="F45" s="324"/>
      <c r="G45" s="325">
        <f t="shared" si="8"/>
        <v>0</v>
      </c>
      <c r="H45" s="326">
        <f t="shared" si="9"/>
        <v>0</v>
      </c>
      <c r="I45" s="1416"/>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7"/>
      <c r="B46" s="322"/>
      <c r="C46" s="3369"/>
      <c r="D46" s="217"/>
      <c r="E46" s="323">
        <f t="shared" si="7"/>
        <v>0</v>
      </c>
      <c r="F46" s="324"/>
      <c r="G46" s="325">
        <f t="shared" si="8"/>
        <v>0</v>
      </c>
      <c r="H46" s="326">
        <f t="shared" si="9"/>
        <v>0</v>
      </c>
      <c r="I46" s="1416"/>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7"/>
      <c r="B47" s="322"/>
      <c r="C47" s="3369"/>
      <c r="D47" s="217"/>
      <c r="E47" s="323">
        <f t="shared" si="7"/>
        <v>0</v>
      </c>
      <c r="F47" s="324"/>
      <c r="G47" s="325">
        <f t="shared" si="8"/>
        <v>0</v>
      </c>
      <c r="H47" s="326">
        <f t="shared" si="9"/>
        <v>0</v>
      </c>
      <c r="I47" s="1416"/>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7"/>
      <c r="B48" s="322"/>
      <c r="C48" s="3369"/>
      <c r="D48" s="217"/>
      <c r="E48" s="323">
        <f t="shared" si="7"/>
        <v>0</v>
      </c>
      <c r="F48" s="324"/>
      <c r="G48" s="325">
        <f t="shared" si="8"/>
        <v>0</v>
      </c>
      <c r="H48" s="326">
        <f t="shared" si="9"/>
        <v>0</v>
      </c>
      <c r="I48" s="1416"/>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7"/>
      <c r="B49" s="322"/>
      <c r="C49" s="3369"/>
      <c r="D49" s="217"/>
      <c r="E49" s="323">
        <f t="shared" si="7"/>
        <v>0</v>
      </c>
      <c r="F49" s="324"/>
      <c r="G49" s="325">
        <f t="shared" si="8"/>
        <v>0</v>
      </c>
      <c r="H49" s="326">
        <f t="shared" si="9"/>
        <v>0</v>
      </c>
      <c r="I49" s="1416"/>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7"/>
      <c r="B50" s="322"/>
      <c r="C50" s="3369"/>
      <c r="D50" s="217"/>
      <c r="E50" s="323">
        <f t="shared" si="7"/>
        <v>0</v>
      </c>
      <c r="F50" s="324"/>
      <c r="G50" s="325">
        <f t="shared" si="8"/>
        <v>0</v>
      </c>
      <c r="H50" s="326">
        <f t="shared" si="9"/>
        <v>0</v>
      </c>
      <c r="I50" s="1416"/>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7"/>
      <c r="B51" s="322"/>
      <c r="C51" s="3369"/>
      <c r="D51" s="217"/>
      <c r="E51" s="323">
        <f t="shared" si="7"/>
        <v>0</v>
      </c>
      <c r="F51" s="324"/>
      <c r="G51" s="325">
        <f t="shared" si="8"/>
        <v>0</v>
      </c>
      <c r="H51" s="326">
        <f t="shared" si="9"/>
        <v>0</v>
      </c>
      <c r="I51" s="1416"/>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7"/>
      <c r="B52" s="322"/>
      <c r="C52" s="3369"/>
      <c r="D52" s="217"/>
      <c r="E52" s="323">
        <f t="shared" si="7"/>
        <v>0</v>
      </c>
      <c r="F52" s="324"/>
      <c r="G52" s="325">
        <f t="shared" si="8"/>
        <v>0</v>
      </c>
      <c r="H52" s="326">
        <f t="shared" si="9"/>
        <v>0</v>
      </c>
      <c r="I52" s="1416"/>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7"/>
      <c r="B53" s="322"/>
      <c r="C53" s="3369"/>
      <c r="D53" s="217"/>
      <c r="E53" s="323">
        <f t="shared" si="7"/>
        <v>0</v>
      </c>
      <c r="F53" s="324"/>
      <c r="G53" s="325">
        <f t="shared" si="8"/>
        <v>0</v>
      </c>
      <c r="H53" s="326">
        <f t="shared" si="9"/>
        <v>0</v>
      </c>
      <c r="I53" s="1416"/>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7"/>
      <c r="B54" s="322"/>
      <c r="C54" s="3369"/>
      <c r="D54" s="217"/>
      <c r="E54" s="323">
        <f t="shared" si="7"/>
        <v>0</v>
      </c>
      <c r="F54" s="324"/>
      <c r="G54" s="325">
        <f t="shared" si="8"/>
        <v>0</v>
      </c>
      <c r="H54" s="326">
        <f t="shared" si="9"/>
        <v>0</v>
      </c>
      <c r="I54" s="1416"/>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7"/>
      <c r="B55" s="322"/>
      <c r="C55" s="3369"/>
      <c r="D55" s="217"/>
      <c r="E55" s="323">
        <f t="shared" si="7"/>
        <v>0</v>
      </c>
      <c r="F55" s="324"/>
      <c r="G55" s="325">
        <f t="shared" si="8"/>
        <v>0</v>
      </c>
      <c r="H55" s="326">
        <f t="shared" si="9"/>
        <v>0</v>
      </c>
      <c r="I55" s="1416"/>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7"/>
      <c r="B56" s="322"/>
      <c r="C56" s="3369"/>
      <c r="D56" s="217"/>
      <c r="E56" s="323">
        <f t="shared" si="7"/>
        <v>0</v>
      </c>
      <c r="F56" s="324"/>
      <c r="G56" s="325">
        <f t="shared" si="8"/>
        <v>0</v>
      </c>
      <c r="H56" s="326">
        <f t="shared" si="9"/>
        <v>0</v>
      </c>
      <c r="I56" s="1416"/>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7"/>
      <c r="B57" s="322"/>
      <c r="C57" s="3369"/>
      <c r="D57" s="217"/>
      <c r="E57" s="323">
        <f t="shared" si="7"/>
        <v>0</v>
      </c>
      <c r="F57" s="324"/>
      <c r="G57" s="325">
        <f t="shared" si="8"/>
        <v>0</v>
      </c>
      <c r="H57" s="326">
        <f t="shared" si="9"/>
        <v>0</v>
      </c>
      <c r="I57" s="1416"/>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7"/>
      <c r="B58" s="322"/>
      <c r="C58" s="3369"/>
      <c r="D58" s="217"/>
      <c r="E58" s="323">
        <f t="shared" si="7"/>
        <v>0</v>
      </c>
      <c r="F58" s="324"/>
      <c r="G58" s="325">
        <f t="shared" si="8"/>
        <v>0</v>
      </c>
      <c r="H58" s="326">
        <f t="shared" si="9"/>
        <v>0</v>
      </c>
      <c r="I58" s="1416"/>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7"/>
      <c r="B59" s="322"/>
      <c r="C59" s="3369"/>
      <c r="D59" s="217"/>
      <c r="E59" s="323">
        <f t="shared" si="7"/>
        <v>0</v>
      </c>
      <c r="F59" s="324"/>
      <c r="G59" s="325">
        <f t="shared" si="8"/>
        <v>0</v>
      </c>
      <c r="H59" s="326">
        <f t="shared" si="9"/>
        <v>0</v>
      </c>
      <c r="I59" s="1416"/>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7"/>
      <c r="B60" s="322"/>
      <c r="C60" s="3369"/>
      <c r="D60" s="217"/>
      <c r="E60" s="323">
        <f t="shared" si="7"/>
        <v>0</v>
      </c>
      <c r="F60" s="324"/>
      <c r="G60" s="325">
        <f t="shared" si="8"/>
        <v>0</v>
      </c>
      <c r="H60" s="326">
        <f t="shared" si="9"/>
        <v>0</v>
      </c>
      <c r="I60" s="1416"/>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7"/>
      <c r="B61" s="322"/>
      <c r="C61" s="3369"/>
      <c r="D61" s="217"/>
      <c r="E61" s="323">
        <f t="shared" si="7"/>
        <v>0</v>
      </c>
      <c r="F61" s="324"/>
      <c r="G61" s="325">
        <f t="shared" si="8"/>
        <v>0</v>
      </c>
      <c r="H61" s="326">
        <f t="shared" si="9"/>
        <v>0</v>
      </c>
      <c r="I61" s="1416"/>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7"/>
      <c r="B62" s="322"/>
      <c r="C62" s="3369"/>
      <c r="D62" s="217"/>
      <c r="E62" s="323">
        <f t="shared" si="7"/>
        <v>0</v>
      </c>
      <c r="F62" s="324"/>
      <c r="G62" s="325">
        <f t="shared" si="8"/>
        <v>0</v>
      </c>
      <c r="H62" s="326">
        <f t="shared" si="9"/>
        <v>0</v>
      </c>
      <c r="I62" s="1416"/>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7"/>
      <c r="B63" s="322"/>
      <c r="C63" s="3369"/>
      <c r="D63" s="217"/>
      <c r="E63" s="323">
        <f t="shared" si="7"/>
        <v>0</v>
      </c>
      <c r="F63" s="324"/>
      <c r="G63" s="325">
        <f t="shared" si="8"/>
        <v>0</v>
      </c>
      <c r="H63" s="326">
        <f t="shared" si="9"/>
        <v>0</v>
      </c>
      <c r="I63" s="1416"/>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7"/>
      <c r="B64" s="322"/>
      <c r="C64" s="3369"/>
      <c r="D64" s="217"/>
      <c r="E64" s="323">
        <f t="shared" si="7"/>
        <v>0</v>
      </c>
      <c r="F64" s="324"/>
      <c r="G64" s="325">
        <f t="shared" si="8"/>
        <v>0</v>
      </c>
      <c r="H64" s="326">
        <f t="shared" si="9"/>
        <v>0</v>
      </c>
      <c r="I64" s="1416"/>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7"/>
      <c r="B65" s="322"/>
      <c r="C65" s="3369"/>
      <c r="D65" s="217"/>
      <c r="E65" s="323">
        <f t="shared" si="7"/>
        <v>0</v>
      </c>
      <c r="F65" s="324"/>
      <c r="G65" s="325">
        <f t="shared" si="8"/>
        <v>0</v>
      </c>
      <c r="H65" s="326">
        <f t="shared" si="9"/>
        <v>0</v>
      </c>
      <c r="I65" s="1416"/>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7"/>
      <c r="B66" s="322"/>
      <c r="C66" s="3369"/>
      <c r="D66" s="217"/>
      <c r="E66" s="323">
        <f t="shared" si="7"/>
        <v>0</v>
      </c>
      <c r="F66" s="324"/>
      <c r="G66" s="325">
        <f t="shared" si="8"/>
        <v>0</v>
      </c>
      <c r="H66" s="326">
        <f t="shared" si="9"/>
        <v>0</v>
      </c>
      <c r="I66" s="1416"/>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7"/>
      <c r="B67" s="322"/>
      <c r="C67" s="3369"/>
      <c r="D67" s="217"/>
      <c r="E67" s="323">
        <f t="shared" si="7"/>
        <v>0</v>
      </c>
      <c r="F67" s="324"/>
      <c r="G67" s="325">
        <f t="shared" si="8"/>
        <v>0</v>
      </c>
      <c r="H67" s="326">
        <f t="shared" si="9"/>
        <v>0</v>
      </c>
      <c r="I67" s="1416"/>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7"/>
      <c r="B68" s="322"/>
      <c r="C68" s="3369"/>
      <c r="D68" s="217"/>
      <c r="E68" s="323">
        <f t="shared" si="7"/>
        <v>0</v>
      </c>
      <c r="F68" s="324"/>
      <c r="G68" s="325">
        <f t="shared" si="8"/>
        <v>0</v>
      </c>
      <c r="H68" s="326">
        <f t="shared" si="9"/>
        <v>0</v>
      </c>
      <c r="I68" s="1416"/>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7"/>
      <c r="B69" s="322"/>
      <c r="C69" s="3369"/>
      <c r="D69" s="217"/>
      <c r="E69" s="323">
        <f t="shared" si="7"/>
        <v>0</v>
      </c>
      <c r="F69" s="324"/>
      <c r="G69" s="325">
        <f t="shared" si="8"/>
        <v>0</v>
      </c>
      <c r="H69" s="326">
        <f t="shared" si="9"/>
        <v>0</v>
      </c>
      <c r="I69" s="1416"/>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7"/>
      <c r="B70" s="322"/>
      <c r="C70" s="3369"/>
      <c r="D70" s="217"/>
      <c r="E70" s="323">
        <f t="shared" si="7"/>
        <v>0</v>
      </c>
      <c r="F70" s="324"/>
      <c r="G70" s="325">
        <f t="shared" si="8"/>
        <v>0</v>
      </c>
      <c r="H70" s="326">
        <f t="shared" si="9"/>
        <v>0</v>
      </c>
      <c r="I70" s="1416"/>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7"/>
      <c r="B71" s="322"/>
      <c r="C71" s="3369"/>
      <c r="D71" s="217"/>
      <c r="E71" s="323">
        <f t="shared" si="7"/>
        <v>0</v>
      </c>
      <c r="F71" s="324"/>
      <c r="G71" s="325">
        <f t="shared" si="8"/>
        <v>0</v>
      </c>
      <c r="H71" s="326">
        <f t="shared" si="9"/>
        <v>0</v>
      </c>
      <c r="I71" s="1416"/>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7"/>
      <c r="B72" s="322"/>
      <c r="C72" s="3369"/>
      <c r="D72" s="217"/>
      <c r="E72" s="323">
        <f t="shared" si="7"/>
        <v>0</v>
      </c>
      <c r="F72" s="324"/>
      <c r="G72" s="325">
        <f t="shared" si="8"/>
        <v>0</v>
      </c>
      <c r="H72" s="326">
        <f t="shared" si="9"/>
        <v>0</v>
      </c>
      <c r="I72" s="1416"/>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7"/>
      <c r="B73" s="322"/>
      <c r="C73" s="3369"/>
      <c r="D73" s="217"/>
      <c r="E73" s="323">
        <f t="shared" si="7"/>
        <v>0</v>
      </c>
      <c r="F73" s="324"/>
      <c r="G73" s="325">
        <f t="shared" si="8"/>
        <v>0</v>
      </c>
      <c r="H73" s="326">
        <f t="shared" si="9"/>
        <v>0</v>
      </c>
      <c r="I73" s="1416"/>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7"/>
      <c r="B74" s="322"/>
      <c r="C74" s="3369"/>
      <c r="D74" s="217"/>
      <c r="E74" s="323">
        <f t="shared" si="7"/>
        <v>0</v>
      </c>
      <c r="F74" s="324"/>
      <c r="G74" s="325">
        <f t="shared" si="8"/>
        <v>0</v>
      </c>
      <c r="H74" s="326">
        <f t="shared" si="9"/>
        <v>0</v>
      </c>
      <c r="I74" s="1416"/>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7"/>
      <c r="B75" s="322"/>
      <c r="C75" s="3369"/>
      <c r="D75" s="217"/>
      <c r="E75" s="323">
        <f t="shared" si="7"/>
        <v>0</v>
      </c>
      <c r="F75" s="324"/>
      <c r="G75" s="325">
        <f t="shared" si="8"/>
        <v>0</v>
      </c>
      <c r="H75" s="326">
        <f t="shared" si="9"/>
        <v>0</v>
      </c>
      <c r="I75" s="1416"/>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7"/>
      <c r="B76" s="322"/>
      <c r="C76" s="3369"/>
      <c r="D76" s="217"/>
      <c r="E76" s="323">
        <f t="shared" si="7"/>
        <v>0</v>
      </c>
      <c r="F76" s="324"/>
      <c r="G76" s="325">
        <f t="shared" si="8"/>
        <v>0</v>
      </c>
      <c r="H76" s="326">
        <f t="shared" si="9"/>
        <v>0</v>
      </c>
      <c r="I76" s="1416"/>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7"/>
      <c r="B77" s="322"/>
      <c r="C77" s="3369"/>
      <c r="D77" s="217"/>
      <c r="E77" s="323">
        <f t="shared" si="7"/>
        <v>0</v>
      </c>
      <c r="F77" s="324"/>
      <c r="G77" s="325">
        <f t="shared" si="8"/>
        <v>0</v>
      </c>
      <c r="H77" s="326">
        <f t="shared" si="9"/>
        <v>0</v>
      </c>
      <c r="I77" s="1416"/>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7"/>
      <c r="B78" s="322"/>
      <c r="C78" s="3369"/>
      <c r="D78" s="217"/>
      <c r="E78" s="323">
        <f t="shared" si="7"/>
        <v>0</v>
      </c>
      <c r="F78" s="324"/>
      <c r="G78" s="325">
        <f t="shared" si="8"/>
        <v>0</v>
      </c>
      <c r="H78" s="326">
        <f t="shared" si="9"/>
        <v>0</v>
      </c>
      <c r="I78" s="1416"/>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7"/>
      <c r="B79" s="322"/>
      <c r="C79" s="3369"/>
      <c r="D79" s="217"/>
      <c r="E79" s="323">
        <f t="shared" si="7"/>
        <v>0</v>
      </c>
      <c r="F79" s="324"/>
      <c r="G79" s="325">
        <f t="shared" si="8"/>
        <v>0</v>
      </c>
      <c r="H79" s="326">
        <f t="shared" si="9"/>
        <v>0</v>
      </c>
      <c r="I79" s="1416"/>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7"/>
      <c r="B80" s="322"/>
      <c r="C80" s="3369"/>
      <c r="D80" s="217"/>
      <c r="E80" s="323">
        <f t="shared" si="7"/>
        <v>0</v>
      </c>
      <c r="F80" s="324"/>
      <c r="G80" s="325">
        <f t="shared" si="8"/>
        <v>0</v>
      </c>
      <c r="H80" s="326">
        <f t="shared" si="9"/>
        <v>0</v>
      </c>
      <c r="I80" s="1416"/>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7"/>
      <c r="B81" s="322"/>
      <c r="C81" s="3369"/>
      <c r="D81" s="217"/>
      <c r="E81" s="323">
        <f t="shared" si="7"/>
        <v>0</v>
      </c>
      <c r="F81" s="324"/>
      <c r="G81" s="325">
        <f t="shared" si="8"/>
        <v>0</v>
      </c>
      <c r="H81" s="326">
        <f t="shared" si="9"/>
        <v>0</v>
      </c>
      <c r="I81" s="1416"/>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7"/>
      <c r="B82" s="322"/>
      <c r="C82" s="3369"/>
      <c r="D82" s="217"/>
      <c r="E82" s="323">
        <f t="shared" si="7"/>
        <v>0</v>
      </c>
      <c r="F82" s="324"/>
      <c r="G82" s="325">
        <f t="shared" si="8"/>
        <v>0</v>
      </c>
      <c r="H82" s="326">
        <f t="shared" si="9"/>
        <v>0</v>
      </c>
      <c r="I82" s="1416"/>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7"/>
      <c r="B83" s="322"/>
      <c r="C83" s="3369"/>
      <c r="D83" s="217"/>
      <c r="E83" s="323">
        <f t="shared" si="7"/>
        <v>0</v>
      </c>
      <c r="F83" s="324"/>
      <c r="G83" s="325">
        <f t="shared" si="8"/>
        <v>0</v>
      </c>
      <c r="H83" s="326">
        <f t="shared" si="9"/>
        <v>0</v>
      </c>
      <c r="I83" s="1416"/>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7"/>
      <c r="B84" s="322"/>
      <c r="C84" s="3369"/>
      <c r="D84" s="217"/>
      <c r="E84" s="323">
        <f t="shared" si="7"/>
        <v>0</v>
      </c>
      <c r="F84" s="324"/>
      <c r="G84" s="325">
        <f t="shared" si="8"/>
        <v>0</v>
      </c>
      <c r="H84" s="326">
        <f t="shared" si="9"/>
        <v>0</v>
      </c>
      <c r="I84" s="1416"/>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7"/>
      <c r="B85" s="322"/>
      <c r="C85" s="3369"/>
      <c r="D85" s="217"/>
      <c r="E85" s="323">
        <f t="shared" si="7"/>
        <v>0</v>
      </c>
      <c r="F85" s="324"/>
      <c r="G85" s="325">
        <f t="shared" si="8"/>
        <v>0</v>
      </c>
      <c r="H85" s="326">
        <f t="shared" si="9"/>
        <v>0</v>
      </c>
      <c r="I85" s="1416"/>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7"/>
      <c r="B86" s="322"/>
      <c r="C86" s="3369"/>
      <c r="D86" s="217"/>
      <c r="E86" s="323">
        <f t="shared" si="7"/>
        <v>0</v>
      </c>
      <c r="F86" s="324"/>
      <c r="G86" s="325">
        <f t="shared" si="8"/>
        <v>0</v>
      </c>
      <c r="H86" s="326">
        <f t="shared" si="9"/>
        <v>0</v>
      </c>
      <c r="I86" s="1416"/>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7"/>
      <c r="B87" s="322"/>
      <c r="C87" s="3369"/>
      <c r="D87" s="217"/>
      <c r="E87" s="323">
        <f t="shared" si="7"/>
        <v>0</v>
      </c>
      <c r="F87" s="324"/>
      <c r="G87" s="325">
        <f t="shared" si="8"/>
        <v>0</v>
      </c>
      <c r="H87" s="326">
        <f t="shared" si="9"/>
        <v>0</v>
      </c>
      <c r="I87" s="1416"/>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7"/>
      <c r="B88" s="322"/>
      <c r="C88" s="3369"/>
      <c r="D88" s="217"/>
      <c r="E88" s="323">
        <f t="shared" si="7"/>
        <v>0</v>
      </c>
      <c r="F88" s="324"/>
      <c r="G88" s="325">
        <f t="shared" si="8"/>
        <v>0</v>
      </c>
      <c r="H88" s="326">
        <f t="shared" si="9"/>
        <v>0</v>
      </c>
      <c r="I88" s="1416"/>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7"/>
      <c r="B89" s="322"/>
      <c r="C89" s="3369"/>
      <c r="D89" s="217"/>
      <c r="E89" s="323">
        <f t="shared" si="7"/>
        <v>0</v>
      </c>
      <c r="F89" s="324"/>
      <c r="G89" s="325">
        <f t="shared" si="8"/>
        <v>0</v>
      </c>
      <c r="H89" s="326">
        <f t="shared" si="9"/>
        <v>0</v>
      </c>
      <c r="I89" s="1416"/>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7"/>
      <c r="B90" s="322"/>
      <c r="C90" s="3369"/>
      <c r="D90" s="217"/>
      <c r="E90" s="323">
        <f t="shared" si="7"/>
        <v>0</v>
      </c>
      <c r="F90" s="324"/>
      <c r="G90" s="325">
        <f t="shared" si="8"/>
        <v>0</v>
      </c>
      <c r="H90" s="326">
        <f t="shared" si="9"/>
        <v>0</v>
      </c>
      <c r="I90" s="1416"/>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7"/>
      <c r="B91" s="322"/>
      <c r="C91" s="3369"/>
      <c r="D91" s="217"/>
      <c r="E91" s="323">
        <f t="shared" si="7"/>
        <v>0</v>
      </c>
      <c r="F91" s="324"/>
      <c r="G91" s="325">
        <f t="shared" si="8"/>
        <v>0</v>
      </c>
      <c r="H91" s="326">
        <f t="shared" si="9"/>
        <v>0</v>
      </c>
      <c r="I91" s="1416"/>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7"/>
      <c r="B92" s="322"/>
      <c r="C92" s="3369"/>
      <c r="D92" s="217"/>
      <c r="E92" s="323">
        <f t="shared" si="7"/>
        <v>0</v>
      </c>
      <c r="F92" s="324"/>
      <c r="G92" s="325">
        <f t="shared" si="8"/>
        <v>0</v>
      </c>
      <c r="H92" s="326">
        <f t="shared" si="9"/>
        <v>0</v>
      </c>
      <c r="I92" s="1416"/>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7"/>
      <c r="B93" s="322"/>
      <c r="C93" s="3369"/>
      <c r="D93" s="217"/>
      <c r="E93" s="323">
        <f t="shared" si="7"/>
        <v>0</v>
      </c>
      <c r="F93" s="324"/>
      <c r="G93" s="325">
        <f t="shared" si="8"/>
        <v>0</v>
      </c>
      <c r="H93" s="326">
        <f t="shared" si="9"/>
        <v>0</v>
      </c>
      <c r="I93" s="1416"/>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7"/>
      <c r="B94" s="322"/>
      <c r="C94" s="3369"/>
      <c r="D94" s="217"/>
      <c r="E94" s="323">
        <f t="shared" si="7"/>
        <v>0</v>
      </c>
      <c r="F94" s="324"/>
      <c r="G94" s="325">
        <f t="shared" si="8"/>
        <v>0</v>
      </c>
      <c r="H94" s="326">
        <f t="shared" si="9"/>
        <v>0</v>
      </c>
      <c r="I94" s="1416"/>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7"/>
      <c r="B95" s="322"/>
      <c r="C95" s="3369"/>
      <c r="D95" s="217"/>
      <c r="E95" s="323">
        <f t="shared" si="7"/>
        <v>0</v>
      </c>
      <c r="F95" s="324"/>
      <c r="G95" s="325">
        <f t="shared" si="8"/>
        <v>0</v>
      </c>
      <c r="H95" s="326">
        <f t="shared" si="9"/>
        <v>0</v>
      </c>
      <c r="I95" s="1416"/>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7"/>
      <c r="B96" s="322"/>
      <c r="C96" s="3369"/>
      <c r="D96" s="217"/>
      <c r="E96" s="323">
        <f t="shared" si="7"/>
        <v>0</v>
      </c>
      <c r="F96" s="324"/>
      <c r="G96" s="325">
        <f t="shared" si="8"/>
        <v>0</v>
      </c>
      <c r="H96" s="326">
        <f t="shared" si="9"/>
        <v>0</v>
      </c>
      <c r="I96" s="1416"/>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7"/>
      <c r="B97" s="322"/>
      <c r="C97" s="3369"/>
      <c r="D97" s="217"/>
      <c r="E97" s="323">
        <f t="shared" si="7"/>
        <v>0</v>
      </c>
      <c r="F97" s="324"/>
      <c r="G97" s="325">
        <f t="shared" si="8"/>
        <v>0</v>
      </c>
      <c r="H97" s="326">
        <f t="shared" si="9"/>
        <v>0</v>
      </c>
      <c r="I97" s="1416"/>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7"/>
      <c r="B98" s="322"/>
      <c r="C98" s="3369"/>
      <c r="D98" s="217"/>
      <c r="E98" s="323">
        <f t="shared" si="7"/>
        <v>0</v>
      </c>
      <c r="F98" s="324"/>
      <c r="G98" s="325">
        <f t="shared" si="8"/>
        <v>0</v>
      </c>
      <c r="H98" s="326">
        <f t="shared" si="9"/>
        <v>0</v>
      </c>
      <c r="I98" s="1416"/>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7"/>
      <c r="B99" s="322"/>
      <c r="C99" s="3369"/>
      <c r="D99" s="217"/>
      <c r="E99" s="323">
        <f t="shared" si="7"/>
        <v>0</v>
      </c>
      <c r="F99" s="324"/>
      <c r="G99" s="325">
        <f t="shared" si="8"/>
        <v>0</v>
      </c>
      <c r="H99" s="326">
        <f t="shared" si="9"/>
        <v>0</v>
      </c>
      <c r="I99" s="1416"/>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7"/>
      <c r="B100" s="322"/>
      <c r="C100" s="3369"/>
      <c r="D100" s="217"/>
      <c r="E100" s="323">
        <f t="shared" si="7"/>
        <v>0</v>
      </c>
      <c r="F100" s="324"/>
      <c r="G100" s="325">
        <f t="shared" si="8"/>
        <v>0</v>
      </c>
      <c r="H100" s="326">
        <f t="shared" si="9"/>
        <v>0</v>
      </c>
      <c r="I100" s="1416"/>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7"/>
      <c r="B101" s="322"/>
      <c r="C101" s="3369"/>
      <c r="D101" s="217"/>
      <c r="E101" s="323">
        <f t="shared" si="7"/>
        <v>0</v>
      </c>
      <c r="F101" s="324"/>
      <c r="G101" s="325">
        <f t="shared" si="8"/>
        <v>0</v>
      </c>
      <c r="H101" s="326">
        <f t="shared" si="9"/>
        <v>0</v>
      </c>
      <c r="I101" s="1416"/>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7"/>
      <c r="B102" s="322"/>
      <c r="C102" s="3369"/>
      <c r="D102" s="217"/>
      <c r="E102" s="323">
        <f t="shared" si="7"/>
        <v>0</v>
      </c>
      <c r="F102" s="324"/>
      <c r="G102" s="325">
        <f t="shared" si="8"/>
        <v>0</v>
      </c>
      <c r="H102" s="326">
        <f t="shared" si="9"/>
        <v>0</v>
      </c>
      <c r="I102" s="1416"/>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7"/>
      <c r="B103" s="322"/>
      <c r="C103" s="3369"/>
      <c r="D103" s="217"/>
      <c r="E103" s="323">
        <f t="shared" si="7"/>
        <v>0</v>
      </c>
      <c r="F103" s="324"/>
      <c r="G103" s="325">
        <f t="shared" si="8"/>
        <v>0</v>
      </c>
      <c r="H103" s="326">
        <f t="shared" si="9"/>
        <v>0</v>
      </c>
      <c r="I103" s="1416"/>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7"/>
      <c r="B104" s="322"/>
      <c r="C104" s="3369"/>
      <c r="D104" s="217"/>
      <c r="E104" s="323">
        <f t="shared" si="7"/>
        <v>0</v>
      </c>
      <c r="F104" s="324"/>
      <c r="G104" s="325">
        <f t="shared" si="8"/>
        <v>0</v>
      </c>
      <c r="H104" s="326">
        <f t="shared" si="9"/>
        <v>0</v>
      </c>
      <c r="I104" s="1416"/>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7"/>
      <c r="B105" s="322"/>
      <c r="C105" s="3369"/>
      <c r="D105" s="217"/>
      <c r="E105" s="323">
        <f t="shared" si="7"/>
        <v>0</v>
      </c>
      <c r="F105" s="324"/>
      <c r="G105" s="325">
        <f t="shared" si="8"/>
        <v>0</v>
      </c>
      <c r="H105" s="326">
        <f t="shared" si="9"/>
        <v>0</v>
      </c>
      <c r="I105" s="1416"/>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7"/>
      <c r="B106" s="322"/>
      <c r="C106" s="3369"/>
      <c r="D106" s="217"/>
      <c r="E106" s="323">
        <f t="shared" si="7"/>
        <v>0</v>
      </c>
      <c r="F106" s="324"/>
      <c r="G106" s="325">
        <f t="shared" si="8"/>
        <v>0</v>
      </c>
      <c r="H106" s="326">
        <f t="shared" si="9"/>
        <v>0</v>
      </c>
      <c r="I106" s="1416"/>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7"/>
      <c r="B107" s="322"/>
      <c r="C107" s="3369"/>
      <c r="D107" s="217"/>
      <c r="E107" s="323">
        <f t="shared" si="7"/>
        <v>0</v>
      </c>
      <c r="F107" s="324"/>
      <c r="G107" s="325">
        <f t="shared" si="8"/>
        <v>0</v>
      </c>
      <c r="H107" s="326">
        <f t="shared" si="9"/>
        <v>0</v>
      </c>
      <c r="I107" s="1416"/>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7"/>
      <c r="B108" s="322"/>
      <c r="C108" s="3369"/>
      <c r="D108" s="217"/>
      <c r="E108" s="323">
        <f t="shared" si="7"/>
        <v>0</v>
      </c>
      <c r="F108" s="324"/>
      <c r="G108" s="325">
        <f t="shared" si="8"/>
        <v>0</v>
      </c>
      <c r="H108" s="326">
        <f t="shared" si="9"/>
        <v>0</v>
      </c>
      <c r="I108" s="1416"/>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7"/>
      <c r="B109" s="322"/>
      <c r="C109" s="3369"/>
      <c r="D109" s="217"/>
      <c r="E109" s="323">
        <f t="shared" si="7"/>
        <v>0</v>
      </c>
      <c r="F109" s="324"/>
      <c r="G109" s="325">
        <f t="shared" si="8"/>
        <v>0</v>
      </c>
      <c r="H109" s="326">
        <f t="shared" si="9"/>
        <v>0</v>
      </c>
      <c r="I109" s="1416"/>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7"/>
      <c r="B110" s="297"/>
      <c r="C110" s="3369"/>
      <c r="D110" s="217"/>
      <c r="E110" s="323">
        <f t="shared" si="7"/>
        <v>0</v>
      </c>
      <c r="F110" s="332"/>
      <c r="G110" s="325">
        <f t="shared" ref="G110:G141" si="36">H110+AC110+AT110</f>
        <v>0</v>
      </c>
      <c r="H110" s="326">
        <f t="shared" ref="H110:H141" si="37">SUMIF(I$12:AB$12,"总值",I110:AB110)</f>
        <v>0</v>
      </c>
      <c r="I110" s="1416"/>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7"/>
      <c r="B111" s="297"/>
      <c r="C111" s="3369"/>
      <c r="D111" s="217"/>
      <c r="E111" s="323">
        <f t="shared" si="7"/>
        <v>0</v>
      </c>
      <c r="F111" s="332"/>
      <c r="G111" s="325">
        <f t="shared" si="36"/>
        <v>0</v>
      </c>
      <c r="H111" s="326">
        <f t="shared" si="37"/>
        <v>0</v>
      </c>
      <c r="I111" s="1416"/>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7"/>
      <c r="B112" s="297"/>
      <c r="C112" s="3369"/>
      <c r="D112" s="217"/>
      <c r="E112" s="323">
        <f t="shared" si="7"/>
        <v>0</v>
      </c>
      <c r="F112" s="332"/>
      <c r="G112" s="325">
        <f t="shared" si="36"/>
        <v>0</v>
      </c>
      <c r="H112" s="326">
        <f t="shared" si="37"/>
        <v>0</v>
      </c>
      <c r="I112" s="1416"/>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7"/>
      <c r="B113" s="322"/>
      <c r="C113" s="3369"/>
      <c r="D113" s="217"/>
      <c r="E113" s="323">
        <f t="shared" ref="E113:E144" si="61">IF($C$3="是",ROUND($A$3*G113/$B$3,2),ROUND($A$3*(G113-AT113)/$B$3,2))</f>
        <v>0</v>
      </c>
      <c r="F113" s="324"/>
      <c r="G113" s="325">
        <f t="shared" si="36"/>
        <v>0</v>
      </c>
      <c r="H113" s="326">
        <f t="shared" si="37"/>
        <v>0</v>
      </c>
      <c r="I113" s="1416"/>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7"/>
      <c r="B114" s="322"/>
      <c r="C114" s="3369"/>
      <c r="D114" s="217"/>
      <c r="E114" s="323">
        <f t="shared" si="61"/>
        <v>0</v>
      </c>
      <c r="F114" s="324"/>
      <c r="G114" s="325">
        <f t="shared" si="36"/>
        <v>0</v>
      </c>
      <c r="H114" s="326">
        <f t="shared" si="37"/>
        <v>0</v>
      </c>
      <c r="I114" s="1416"/>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7"/>
      <c r="B115" s="322"/>
      <c r="C115" s="3369"/>
      <c r="D115" s="217"/>
      <c r="E115" s="323">
        <f t="shared" si="61"/>
        <v>0</v>
      </c>
      <c r="F115" s="324"/>
      <c r="G115" s="325">
        <f t="shared" si="36"/>
        <v>0</v>
      </c>
      <c r="H115" s="326">
        <f t="shared" si="37"/>
        <v>0</v>
      </c>
      <c r="I115" s="1416"/>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7"/>
      <c r="B116" s="322"/>
      <c r="C116" s="3369"/>
      <c r="D116" s="217"/>
      <c r="E116" s="323">
        <f t="shared" si="61"/>
        <v>0</v>
      </c>
      <c r="F116" s="324"/>
      <c r="G116" s="325">
        <f t="shared" si="36"/>
        <v>0</v>
      </c>
      <c r="H116" s="326">
        <f t="shared" si="37"/>
        <v>0</v>
      </c>
      <c r="I116" s="1416"/>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7"/>
      <c r="B117" s="322"/>
      <c r="C117" s="3369"/>
      <c r="D117" s="217"/>
      <c r="E117" s="323">
        <f t="shared" si="61"/>
        <v>0</v>
      </c>
      <c r="F117" s="324"/>
      <c r="G117" s="325">
        <f t="shared" si="36"/>
        <v>0</v>
      </c>
      <c r="H117" s="326">
        <f t="shared" si="37"/>
        <v>0</v>
      </c>
      <c r="I117" s="1416"/>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7"/>
      <c r="B118" s="322"/>
      <c r="C118" s="3369"/>
      <c r="D118" s="217"/>
      <c r="E118" s="323">
        <f t="shared" si="61"/>
        <v>0</v>
      </c>
      <c r="F118" s="324"/>
      <c r="G118" s="325">
        <f t="shared" si="36"/>
        <v>0</v>
      </c>
      <c r="H118" s="326">
        <f t="shared" si="37"/>
        <v>0</v>
      </c>
      <c r="I118" s="1416"/>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7"/>
      <c r="B119" s="322"/>
      <c r="C119" s="3369"/>
      <c r="D119" s="217"/>
      <c r="E119" s="323">
        <f t="shared" si="61"/>
        <v>0</v>
      </c>
      <c r="F119" s="324"/>
      <c r="G119" s="325">
        <f t="shared" si="36"/>
        <v>0</v>
      </c>
      <c r="H119" s="326">
        <f t="shared" si="37"/>
        <v>0</v>
      </c>
      <c r="I119" s="1416"/>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7"/>
      <c r="B120" s="322"/>
      <c r="C120" s="3369"/>
      <c r="D120" s="217"/>
      <c r="E120" s="323">
        <f t="shared" si="61"/>
        <v>0</v>
      </c>
      <c r="F120" s="324"/>
      <c r="G120" s="325">
        <f t="shared" si="36"/>
        <v>0</v>
      </c>
      <c r="H120" s="326">
        <f t="shared" si="37"/>
        <v>0</v>
      </c>
      <c r="I120" s="1416"/>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7"/>
      <c r="B121" s="322"/>
      <c r="C121" s="3369"/>
      <c r="D121" s="217"/>
      <c r="E121" s="323">
        <f t="shared" si="61"/>
        <v>0</v>
      </c>
      <c r="F121" s="324"/>
      <c r="G121" s="325">
        <f t="shared" si="36"/>
        <v>0</v>
      </c>
      <c r="H121" s="326">
        <f t="shared" si="37"/>
        <v>0</v>
      </c>
      <c r="I121" s="1416"/>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7"/>
      <c r="B122" s="322"/>
      <c r="C122" s="3369"/>
      <c r="D122" s="217"/>
      <c r="E122" s="323">
        <f t="shared" si="61"/>
        <v>0</v>
      </c>
      <c r="F122" s="324"/>
      <c r="G122" s="325">
        <f t="shared" si="36"/>
        <v>0</v>
      </c>
      <c r="H122" s="326">
        <f t="shared" si="37"/>
        <v>0</v>
      </c>
      <c r="I122" s="1416"/>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7"/>
      <c r="B123" s="322"/>
      <c r="C123" s="3369"/>
      <c r="D123" s="217"/>
      <c r="E123" s="323">
        <f t="shared" si="61"/>
        <v>0</v>
      </c>
      <c r="F123" s="324"/>
      <c r="G123" s="325">
        <f t="shared" si="36"/>
        <v>0</v>
      </c>
      <c r="H123" s="326">
        <f t="shared" si="37"/>
        <v>0</v>
      </c>
      <c r="I123" s="1416"/>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7"/>
      <c r="B124" s="322"/>
      <c r="C124" s="3369"/>
      <c r="D124" s="217"/>
      <c r="E124" s="323">
        <f t="shared" si="61"/>
        <v>0</v>
      </c>
      <c r="F124" s="324"/>
      <c r="G124" s="325">
        <f t="shared" si="36"/>
        <v>0</v>
      </c>
      <c r="H124" s="326">
        <f t="shared" si="37"/>
        <v>0</v>
      </c>
      <c r="I124" s="1416"/>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7"/>
      <c r="B125" s="322"/>
      <c r="C125" s="3369"/>
      <c r="D125" s="217"/>
      <c r="E125" s="323">
        <f t="shared" si="61"/>
        <v>0</v>
      </c>
      <c r="F125" s="324"/>
      <c r="G125" s="325">
        <f t="shared" si="36"/>
        <v>0</v>
      </c>
      <c r="H125" s="326">
        <f t="shared" si="37"/>
        <v>0</v>
      </c>
      <c r="I125" s="1416"/>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7"/>
      <c r="B126" s="322"/>
      <c r="C126" s="3369"/>
      <c r="D126" s="217"/>
      <c r="E126" s="323">
        <f t="shared" si="61"/>
        <v>0</v>
      </c>
      <c r="F126" s="324"/>
      <c r="G126" s="325">
        <f t="shared" si="36"/>
        <v>0</v>
      </c>
      <c r="H126" s="326">
        <f t="shared" si="37"/>
        <v>0</v>
      </c>
      <c r="I126" s="1416"/>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7"/>
      <c r="B127" s="322"/>
      <c r="C127" s="3369"/>
      <c r="D127" s="217"/>
      <c r="E127" s="323">
        <f t="shared" si="61"/>
        <v>0</v>
      </c>
      <c r="F127" s="324"/>
      <c r="G127" s="325">
        <f t="shared" si="36"/>
        <v>0</v>
      </c>
      <c r="H127" s="326">
        <f t="shared" si="37"/>
        <v>0</v>
      </c>
      <c r="I127" s="1416"/>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7"/>
      <c r="B128" s="322"/>
      <c r="C128" s="3369"/>
      <c r="D128" s="217"/>
      <c r="E128" s="323">
        <f t="shared" si="61"/>
        <v>0</v>
      </c>
      <c r="F128" s="324"/>
      <c r="G128" s="325">
        <f t="shared" si="36"/>
        <v>0</v>
      </c>
      <c r="H128" s="326">
        <f t="shared" si="37"/>
        <v>0</v>
      </c>
      <c r="I128" s="1416"/>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7"/>
      <c r="B129" s="322"/>
      <c r="C129" s="3369"/>
      <c r="D129" s="217"/>
      <c r="E129" s="323">
        <f t="shared" si="61"/>
        <v>0</v>
      </c>
      <c r="F129" s="324"/>
      <c r="G129" s="325">
        <f t="shared" si="36"/>
        <v>0</v>
      </c>
      <c r="H129" s="326">
        <f t="shared" si="37"/>
        <v>0</v>
      </c>
      <c r="I129" s="1416"/>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7"/>
      <c r="B130" s="322"/>
      <c r="C130" s="3369"/>
      <c r="D130" s="217"/>
      <c r="E130" s="323">
        <f t="shared" si="61"/>
        <v>0</v>
      </c>
      <c r="F130" s="324"/>
      <c r="G130" s="325">
        <f t="shared" si="36"/>
        <v>0</v>
      </c>
      <c r="H130" s="326">
        <f t="shared" si="37"/>
        <v>0</v>
      </c>
      <c r="I130" s="1416"/>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7"/>
      <c r="B131" s="322"/>
      <c r="C131" s="3369"/>
      <c r="D131" s="217"/>
      <c r="E131" s="323">
        <f t="shared" si="61"/>
        <v>0</v>
      </c>
      <c r="F131" s="324"/>
      <c r="G131" s="325">
        <f t="shared" si="36"/>
        <v>0</v>
      </c>
      <c r="H131" s="326">
        <f t="shared" si="37"/>
        <v>0</v>
      </c>
      <c r="I131" s="1416"/>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7"/>
      <c r="B132" s="322"/>
      <c r="C132" s="3369"/>
      <c r="D132" s="217"/>
      <c r="E132" s="323">
        <f t="shared" si="61"/>
        <v>0</v>
      </c>
      <c r="F132" s="324"/>
      <c r="G132" s="325">
        <f t="shared" si="36"/>
        <v>0</v>
      </c>
      <c r="H132" s="326">
        <f t="shared" si="37"/>
        <v>0</v>
      </c>
      <c r="I132" s="1416"/>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7"/>
      <c r="B133" s="322"/>
      <c r="C133" s="3369"/>
      <c r="D133" s="217"/>
      <c r="E133" s="323">
        <f t="shared" si="61"/>
        <v>0</v>
      </c>
      <c r="F133" s="324"/>
      <c r="G133" s="325">
        <f t="shared" si="36"/>
        <v>0</v>
      </c>
      <c r="H133" s="326">
        <f t="shared" si="37"/>
        <v>0</v>
      </c>
      <c r="I133" s="1416"/>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7"/>
      <c r="B134" s="322"/>
      <c r="C134" s="3369"/>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7"/>
      <c r="B135" s="322"/>
      <c r="C135" s="3369"/>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7"/>
      <c r="B136" s="322"/>
      <c r="C136" s="3369"/>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7"/>
      <c r="B137" s="322"/>
      <c r="C137" s="3369"/>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7"/>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7"/>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7"/>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7"/>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7"/>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7"/>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7"/>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7"/>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7"/>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7"/>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7"/>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7"/>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7"/>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7"/>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7"/>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7"/>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7"/>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7"/>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7"/>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7"/>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7"/>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7"/>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7"/>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7"/>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7"/>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7"/>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7"/>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7"/>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7"/>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7"/>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7"/>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7"/>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7"/>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7"/>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7"/>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7"/>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7"/>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7"/>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7"/>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7"/>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7"/>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7"/>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7"/>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7"/>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7"/>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7"/>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7"/>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7"/>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7"/>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7"/>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7"/>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7"/>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7"/>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7"/>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7"/>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7"/>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7"/>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7"/>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7"/>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7"/>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7"/>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7"/>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7"/>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7"/>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7"/>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7"/>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7"/>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7"/>
      <c r="B205" s="297"/>
      <c r="C205" s="297"/>
      <c r="D205" s="2216"/>
      <c r="E205" s="323">
        <f t="shared" si="119"/>
        <v>0</v>
      </c>
      <c r="F205" s="332"/>
      <c r="G205" s="325">
        <f t="shared" si="94"/>
        <v>0</v>
      </c>
      <c r="H205" s="326">
        <f t="shared" si="95"/>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7"/>
      <c r="B206" s="297"/>
      <c r="C206" s="297"/>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7"/>
      <c r="B207" s="297"/>
      <c r="C207" s="297"/>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7"/>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7"/>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7"/>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7"/>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7"/>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7"/>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7"/>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7"/>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7"/>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7"/>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7"/>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7"/>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7"/>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7"/>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7"/>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7"/>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7"/>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7"/>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7"/>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7"/>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7"/>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7"/>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7"/>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7"/>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7"/>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7"/>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7"/>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7"/>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7"/>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7"/>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7"/>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7"/>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7"/>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7"/>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7"/>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7"/>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7"/>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7"/>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7"/>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7"/>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7"/>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7"/>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7"/>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7"/>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7"/>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7"/>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7"/>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7"/>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7"/>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7"/>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7"/>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7"/>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7"/>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7"/>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7"/>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7"/>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7"/>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7"/>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7"/>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7"/>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7"/>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7"/>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7"/>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7"/>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7"/>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7"/>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7"/>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7"/>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7"/>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7"/>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7"/>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7"/>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7"/>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7"/>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7"/>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7"/>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7"/>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7"/>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7"/>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7"/>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7"/>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7"/>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7"/>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7"/>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7"/>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7"/>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7"/>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7"/>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7"/>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7"/>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7"/>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7"/>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7"/>
      <c r="B300" s="297"/>
      <c r="C300" s="297"/>
      <c r="D300" s="2216"/>
      <c r="E300" s="323">
        <f t="shared" si="123"/>
        <v>0</v>
      </c>
      <c r="F300" s="332"/>
      <c r="G300" s="325">
        <f t="shared" ref="G300:G331" si="152">H300+AC300+AT300</f>
        <v>0</v>
      </c>
      <c r="H300" s="326">
        <f t="shared" ref="H300:H331" si="153">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7"/>
      <c r="B301" s="297"/>
      <c r="C301" s="297"/>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7"/>
      <c r="B302" s="297"/>
      <c r="C302" s="297"/>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7"/>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7"/>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7"/>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7"/>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7"/>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7"/>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7"/>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7"/>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7"/>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7"/>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7"/>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7"/>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7"/>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7"/>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7"/>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7"/>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7"/>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7"/>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7"/>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7"/>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7"/>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7"/>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7"/>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7"/>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7"/>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7"/>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7"/>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7"/>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7"/>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7"/>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7"/>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7"/>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7"/>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7"/>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7"/>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7"/>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7"/>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7"/>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7"/>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7"/>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7"/>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7"/>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7"/>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7"/>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7"/>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7"/>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7"/>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7"/>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7"/>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7"/>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7"/>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7"/>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7"/>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7"/>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7"/>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7"/>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7"/>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7"/>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7"/>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7"/>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7"/>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7"/>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7"/>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7"/>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7"/>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7"/>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7"/>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7"/>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7"/>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7"/>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7"/>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7"/>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7"/>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7"/>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7"/>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7"/>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7"/>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7"/>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7"/>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7"/>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7"/>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7"/>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7"/>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7"/>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7"/>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7"/>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7"/>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7"/>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7"/>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7"/>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7"/>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7"/>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7"/>
      <c r="B395" s="297"/>
      <c r="C395" s="297"/>
      <c r="D395" s="2216"/>
      <c r="E395" s="323">
        <f t="shared" si="235"/>
        <v>0</v>
      </c>
      <c r="F395" s="332"/>
      <c r="G395" s="325">
        <f t="shared" si="210"/>
        <v>0</v>
      </c>
      <c r="H395" s="326">
        <f t="shared" si="211"/>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7"/>
      <c r="B396" s="297"/>
      <c r="C396" s="297"/>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7"/>
      <c r="B397" s="297"/>
      <c r="C397" s="297"/>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7"/>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7"/>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7"/>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7"/>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7"/>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7"/>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7"/>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7"/>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7"/>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7"/>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7"/>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7"/>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7"/>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7"/>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7"/>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7"/>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7"/>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7"/>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7"/>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7"/>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7"/>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7"/>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7"/>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7"/>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7"/>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7"/>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7"/>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7"/>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7"/>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7"/>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7"/>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7"/>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7"/>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7"/>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7"/>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7"/>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7"/>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7"/>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7"/>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7"/>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7"/>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7"/>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7"/>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7"/>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7"/>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7"/>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7"/>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7"/>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7"/>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7"/>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7"/>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7"/>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7"/>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7"/>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7"/>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7"/>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7"/>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7"/>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7"/>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7"/>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7"/>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7"/>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7"/>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7"/>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7"/>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7"/>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7"/>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7"/>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7"/>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7"/>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7"/>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7"/>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7"/>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7"/>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7"/>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7"/>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7"/>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7"/>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7"/>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7"/>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7"/>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7"/>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7"/>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7"/>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7"/>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7"/>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7"/>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7"/>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7"/>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7"/>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7"/>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7"/>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7"/>
      <c r="B490" s="297"/>
      <c r="C490" s="297"/>
      <c r="D490" s="2216"/>
      <c r="E490" s="323">
        <f t="shared" si="239"/>
        <v>0</v>
      </c>
      <c r="F490" s="332"/>
      <c r="G490" s="325">
        <f t="shared" ref="G490:G521" si="268">H490+AC490+AT490</f>
        <v>0</v>
      </c>
      <c r="H490" s="326">
        <f t="shared" ref="H490:H521" si="269">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7"/>
      <c r="B491" s="297"/>
      <c r="C491" s="297"/>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7"/>
      <c r="B492" s="297"/>
      <c r="C492" s="297"/>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7"/>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7"/>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7"/>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7"/>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7"/>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7"/>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7"/>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7"/>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7"/>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7"/>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7"/>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7"/>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7"/>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7"/>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7"/>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7"/>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7"/>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7"/>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7"/>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7"/>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7"/>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7"/>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7"/>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7"/>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7"/>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7"/>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7"/>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7"/>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7"/>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7"/>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7"/>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7"/>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7"/>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7"/>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7"/>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7"/>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7"/>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7"/>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7"/>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7"/>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7"/>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7"/>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7"/>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7"/>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7"/>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7"/>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7"/>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7"/>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7"/>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7"/>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7"/>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7"/>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7"/>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7"/>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7"/>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7"/>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7"/>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7"/>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7"/>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7"/>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7"/>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7"/>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7"/>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7"/>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7"/>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7"/>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7"/>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7"/>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7"/>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7"/>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7"/>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7"/>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7"/>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7"/>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7"/>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7"/>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7"/>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7"/>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7"/>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7"/>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7"/>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7"/>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7"/>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7"/>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7"/>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7"/>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7"/>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7"/>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7"/>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7"/>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7"/>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7"/>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7"/>
      <c r="B585" s="297"/>
      <c r="C585" s="297"/>
      <c r="D585" s="3"/>
      <c r="E585" s="323">
        <f t="shared" si="326"/>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46" t="s">
        <v>2</v>
      </c>
      <c r="B1" s="3446" t="s">
        <v>37</v>
      </c>
      <c r="C1" s="3446" t="s">
        <v>38</v>
      </c>
      <c r="D1" s="3503" t="s">
        <v>199</v>
      </c>
      <c r="E1" s="3503" t="s">
        <v>200</v>
      </c>
      <c r="F1" s="3503"/>
      <c r="G1" s="3503"/>
      <c r="H1" s="3503"/>
      <c r="I1" s="3503"/>
      <c r="J1" s="3503"/>
      <c r="K1" s="3503"/>
      <c r="L1" s="3503"/>
      <c r="M1" s="3503"/>
    </row>
    <row r="2" spans="1:13" ht="27" customHeight="1">
      <c r="A2" s="3446"/>
      <c r="B2" s="3446"/>
      <c r="C2" s="3446"/>
      <c r="D2" s="3503"/>
      <c r="E2" s="3503" t="s">
        <v>183</v>
      </c>
      <c r="F2" s="3503" t="s">
        <v>184</v>
      </c>
      <c r="G2" s="3503"/>
      <c r="H2" s="3503"/>
      <c r="I2" s="3503"/>
      <c r="J2" s="3503" t="s">
        <v>185</v>
      </c>
      <c r="K2" s="3503"/>
      <c r="L2" s="3503"/>
      <c r="M2" s="3503"/>
    </row>
    <row r="3" spans="1:13" ht="28.5">
      <c r="A3" s="3446"/>
      <c r="B3" s="3446"/>
      <c r="C3" s="3446"/>
      <c r="D3" s="3503"/>
      <c r="E3" s="3503"/>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03" t="s">
        <v>201</v>
      </c>
      <c r="B9" s="3503"/>
      <c r="C9" s="350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I6" sqref="I6"/>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642</v>
      </c>
      <c r="B1" s="2225"/>
      <c r="C1" s="2225"/>
      <c r="D1" s="2225"/>
      <c r="E1" s="2225"/>
      <c r="F1" s="2225"/>
      <c r="G1" s="2225"/>
      <c r="H1" s="2225"/>
      <c r="I1" s="2225"/>
      <c r="J1" s="2225"/>
      <c r="K1" s="2225"/>
      <c r="L1" s="2225"/>
      <c r="M1" s="2225"/>
      <c r="N1" s="2225"/>
      <c r="O1" s="2225"/>
      <c r="P1" s="2225"/>
    </row>
    <row r="2" spans="1:16">
      <c r="A2" s="3513" t="s">
        <v>643</v>
      </c>
      <c r="B2" s="3513"/>
      <c r="C2" s="3513"/>
      <c r="D2" s="2209" t="s">
        <v>644</v>
      </c>
      <c r="E2" s="19" t="s">
        <v>645</v>
      </c>
      <c r="F2" s="2225"/>
      <c r="G2" s="1178"/>
      <c r="H2" s="1179"/>
      <c r="I2" s="2217" t="s">
        <v>646</v>
      </c>
      <c r="J2" s="2225"/>
      <c r="K2" s="2225"/>
      <c r="L2" s="2225"/>
      <c r="M2" s="2225"/>
      <c r="N2" s="2234"/>
      <c r="O2" s="2225"/>
      <c r="P2" s="2225"/>
    </row>
    <row r="3" spans="1:16" ht="15.75" thickBot="1">
      <c r="A3" s="3514" t="s">
        <v>647</v>
      </c>
      <c r="B3" s="3514"/>
      <c r="C3" s="3514"/>
      <c r="D3" s="334">
        <f>'数据-基础表'!AY6</f>
        <v>92783.56</v>
      </c>
      <c r="E3" s="334">
        <f>'数据-基础表'!AZ5</f>
        <v>28973.439999999999</v>
      </c>
      <c r="F3" s="2225"/>
      <c r="G3" s="441"/>
      <c r="H3" s="439" t="s">
        <v>648</v>
      </c>
      <c r="I3" s="343">
        <f>ROUND('数据-基础表'!B3/'数据-基础表'!A3,2)</f>
        <v>0.31</v>
      </c>
      <c r="J3" s="2225"/>
      <c r="K3" s="2225"/>
      <c r="L3" s="2225"/>
      <c r="M3" s="2225"/>
      <c r="N3" s="2234"/>
      <c r="O3" s="2225"/>
      <c r="P3" s="2225"/>
    </row>
    <row r="4" spans="1:16" ht="14.25">
      <c r="A4" s="3515"/>
      <c r="B4" s="3516"/>
      <c r="C4" s="3517"/>
      <c r="D4" s="20" t="s">
        <v>644</v>
      </c>
      <c r="E4" s="21" t="s">
        <v>645</v>
      </c>
      <c r="F4" s="2225"/>
      <c r="G4" s="1180" t="s">
        <v>1792</v>
      </c>
      <c r="H4" s="439" t="s">
        <v>649</v>
      </c>
      <c r="I4" s="343">
        <f>ROUND(SUMIF('数据-基础表'!I9:AS9,"地上",'数据-基础表'!I5:AS5)/'数据-基础表'!A3,2)</f>
        <v>0.31</v>
      </c>
      <c r="J4" s="2225"/>
      <c r="K4" s="2225"/>
      <c r="L4" s="2225"/>
      <c r="M4" s="2225"/>
      <c r="N4" s="2234"/>
      <c r="O4" s="2225"/>
      <c r="P4" s="2225"/>
    </row>
    <row r="5" spans="1:16" ht="14.25">
      <c r="A5" s="22" t="s">
        <v>650</v>
      </c>
      <c r="B5" s="3518" t="s">
        <v>651</v>
      </c>
      <c r="C5" s="3518"/>
      <c r="D5" s="336">
        <f>ROUND($D$3*E5/$E$3,2)</f>
        <v>0</v>
      </c>
      <c r="E5" s="337">
        <f>SUMIF('数据-基础表'!$11:$11,"住宅",'数据-基础表'!$5:$5)</f>
        <v>0</v>
      </c>
      <c r="F5" s="2225"/>
      <c r="G5" s="441"/>
      <c r="H5" s="439" t="s">
        <v>648</v>
      </c>
      <c r="I5" s="343">
        <f>ROUND(E31/D31,2)</f>
        <v>0.31</v>
      </c>
      <c r="J5" s="2225"/>
      <c r="K5" s="2225"/>
      <c r="L5" s="2225"/>
      <c r="M5" s="2225"/>
      <c r="N5" s="2225"/>
      <c r="O5" s="2225"/>
      <c r="P5" s="2225"/>
    </row>
    <row r="6" spans="1:16" ht="15" thickBot="1">
      <c r="A6" s="24"/>
      <c r="B6" s="3518" t="s">
        <v>652</v>
      </c>
      <c r="C6" s="3518"/>
      <c r="D6" s="336">
        <f>ROUND($D$3*E6/$E$3,2)</f>
        <v>92783.56</v>
      </c>
      <c r="E6" s="337">
        <f>E3-E5</f>
        <v>28973.439999999999</v>
      </c>
      <c r="F6" s="2225"/>
      <c r="G6" s="1759" t="s">
        <v>1793</v>
      </c>
      <c r="H6" s="441" t="s">
        <v>649</v>
      </c>
      <c r="I6" s="1760">
        <f>ROUND(F31/D31,2)</f>
        <v>0.31</v>
      </c>
      <c r="J6" s="2225"/>
      <c r="K6" s="2225"/>
      <c r="L6" s="2225"/>
      <c r="M6" s="2225"/>
      <c r="N6" s="2225"/>
      <c r="O6" s="2225"/>
      <c r="P6" s="2225"/>
    </row>
    <row r="7" spans="1:16" ht="14.25">
      <c r="A7" s="3510"/>
      <c r="B7" s="3511"/>
      <c r="C7" s="3512"/>
      <c r="D7" s="20" t="s">
        <v>644</v>
      </c>
      <c r="E7" s="25" t="s">
        <v>645</v>
      </c>
      <c r="F7" s="2225"/>
      <c r="G7" s="1178" t="s">
        <v>1872</v>
      </c>
      <c r="H7" s="38"/>
      <c r="I7" s="762"/>
      <c r="J7" s="2225"/>
      <c r="K7" s="2225"/>
      <c r="L7" s="2225"/>
      <c r="M7" s="2225"/>
      <c r="N7" s="2225"/>
      <c r="O7" s="2225"/>
      <c r="P7" s="2225"/>
    </row>
    <row r="8" spans="1:16" ht="14.25">
      <c r="A8" s="22" t="s">
        <v>653</v>
      </c>
      <c r="B8" s="26" t="s">
        <v>654</v>
      </c>
      <c r="C8" s="23" t="s">
        <v>655</v>
      </c>
      <c r="D8" s="336">
        <f t="shared" ref="D8:D15" si="0">ROUND($D$3*E8/$E$3,2)</f>
        <v>92783.56</v>
      </c>
      <c r="E8" s="339">
        <f>SUMIF('数据-基础表'!BB10:BK10,"地上",'数据-基础表'!BB5:BK5)</f>
        <v>28973.439999999999</v>
      </c>
      <c r="F8" s="2225"/>
      <c r="G8" s="2226"/>
      <c r="H8" s="2226"/>
      <c r="I8" s="2225"/>
      <c r="J8" s="2225"/>
      <c r="K8" s="2225"/>
      <c r="L8" s="2225"/>
      <c r="M8" s="2225"/>
      <c r="N8" s="2225"/>
      <c r="O8" s="2225"/>
      <c r="P8" s="2225"/>
    </row>
    <row r="9" spans="1:16" ht="14.25">
      <c r="A9" s="27"/>
      <c r="B9" s="28"/>
      <c r="C9" s="23" t="s">
        <v>656</v>
      </c>
      <c r="D9" s="336">
        <f t="shared" si="0"/>
        <v>0</v>
      </c>
      <c r="E9" s="340">
        <v>0</v>
      </c>
      <c r="F9" s="2225"/>
      <c r="G9" s="2226"/>
      <c r="H9" s="2226"/>
      <c r="I9" s="2225"/>
      <c r="J9" s="2225"/>
      <c r="K9" s="2225"/>
      <c r="L9" s="2225"/>
      <c r="M9" s="2225"/>
      <c r="N9" s="2225"/>
      <c r="O9" s="2225"/>
      <c r="P9" s="2225"/>
    </row>
    <row r="10" spans="1:16" ht="14.25">
      <c r="A10" s="27"/>
      <c r="B10" s="28"/>
      <c r="C10" s="23" t="s">
        <v>657</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658</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659</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660</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661</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662</v>
      </c>
      <c r="D16" s="338">
        <f>SUM(D8:D15)</f>
        <v>92783.56</v>
      </c>
      <c r="E16" s="341">
        <f>SUM(E8:E15)</f>
        <v>28973.439999999999</v>
      </c>
      <c r="F16" s="2225"/>
      <c r="G16" s="2226"/>
      <c r="H16" s="1177" t="s">
        <v>533</v>
      </c>
      <c r="I16" s="1181"/>
      <c r="J16" s="2225"/>
      <c r="K16" s="3507" t="s">
        <v>533</v>
      </c>
      <c r="L16" s="3508"/>
      <c r="M16" s="3508"/>
      <c r="N16" s="3508"/>
      <c r="O16" s="3508"/>
      <c r="P16" s="3509"/>
    </row>
    <row r="17" spans="1:19" ht="14.25">
      <c r="A17" s="29" t="s">
        <v>663</v>
      </c>
      <c r="B17" s="30" t="s">
        <v>664</v>
      </c>
      <c r="C17" s="34" t="s">
        <v>2387</v>
      </c>
      <c r="D17" s="2075" t="s">
        <v>644</v>
      </c>
      <c r="E17" s="2073" t="s">
        <v>645</v>
      </c>
      <c r="F17" s="36"/>
      <c r="G17" s="37"/>
      <c r="H17" s="1182" t="s">
        <v>665</v>
      </c>
      <c r="I17" s="1183" t="s">
        <v>206</v>
      </c>
      <c r="J17" s="2225"/>
      <c r="K17" s="3504" t="s">
        <v>671</v>
      </c>
      <c r="L17" s="3505"/>
      <c r="M17" s="3506"/>
      <c r="N17" s="3504" t="s">
        <v>2689</v>
      </c>
      <c r="O17" s="3505"/>
      <c r="P17" s="3506"/>
      <c r="R17" s="2485" t="s">
        <v>2388</v>
      </c>
      <c r="S17" s="353"/>
    </row>
    <row r="18" spans="1:19">
      <c r="A18" s="27"/>
      <c r="B18" s="31"/>
      <c r="C18" s="35"/>
      <c r="D18" s="2076"/>
      <c r="E18" s="2074" t="s">
        <v>666</v>
      </c>
      <c r="F18" s="15" t="s">
        <v>667</v>
      </c>
      <c r="G18" s="16" t="s">
        <v>668</v>
      </c>
      <c r="H18" s="1184" t="s">
        <v>669</v>
      </c>
      <c r="I18" s="1185" t="s">
        <v>670</v>
      </c>
      <c r="J18" s="2225"/>
      <c r="K18" s="1184" t="s">
        <v>2682</v>
      </c>
      <c r="L18" s="6" t="s">
        <v>2690</v>
      </c>
      <c r="M18" s="2803" t="s">
        <v>2688</v>
      </c>
      <c r="N18" s="1184" t="s">
        <v>2682</v>
      </c>
      <c r="O18" s="6" t="s">
        <v>2690</v>
      </c>
      <c r="P18" s="2803" t="s">
        <v>2688</v>
      </c>
      <c r="R18" s="2486" t="s">
        <v>2389</v>
      </c>
      <c r="S18" s="2486" t="s">
        <v>2390</v>
      </c>
    </row>
    <row r="19" spans="1:19" ht="14.25">
      <c r="A19" s="32"/>
      <c r="B19" s="26" t="s">
        <v>119</v>
      </c>
      <c r="C19" s="1419" t="s">
        <v>3165</v>
      </c>
      <c r="D19" s="336">
        <f>ROUND($D$3*E19/$E$3,2)</f>
        <v>92783.56</v>
      </c>
      <c r="E19" s="344">
        <f t="shared" ref="E19:E26" si="1">SUM(F19:G19)</f>
        <v>28973.439999999999</v>
      </c>
      <c r="F19" s="3370">
        <f>'数据-基础表'!H5</f>
        <v>28973.439999999999</v>
      </c>
      <c r="G19" s="346"/>
      <c r="H19" s="1131">
        <f>ROUND($D$3*I19/$E$3,2)</f>
        <v>0</v>
      </c>
      <c r="I19" s="339">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92783.56</v>
      </c>
      <c r="S19" s="2488">
        <f t="shared" si="5"/>
        <v>28973.439999999999</v>
      </c>
    </row>
    <row r="20" spans="1:19" ht="14.25">
      <c r="A20" s="33"/>
      <c r="B20" s="26" t="s">
        <v>637</v>
      </c>
      <c r="C20" s="1419"/>
      <c r="D20" s="336">
        <f t="shared" ref="D20:D26" si="6">ROUND($D$3*E20/$E$3,2)</f>
        <v>0</v>
      </c>
      <c r="E20" s="344">
        <f t="shared" si="1"/>
        <v>0</v>
      </c>
      <c r="F20" s="345"/>
      <c r="G20" s="346"/>
      <c r="H20" s="1131">
        <f t="shared" ref="H20:H26" si="7">ROUND($D$3*I20/$E$3,2)</f>
        <v>0</v>
      </c>
      <c r="I20" s="339">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637</v>
      </c>
      <c r="C21" s="1419"/>
      <c r="D21" s="336">
        <f t="shared" si="6"/>
        <v>0</v>
      </c>
      <c r="E21" s="344">
        <f t="shared" si="1"/>
        <v>0</v>
      </c>
      <c r="F21" s="345"/>
      <c r="G21" s="346"/>
      <c r="H21" s="1131">
        <f t="shared" si="7"/>
        <v>0</v>
      </c>
      <c r="I21" s="339">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637</v>
      </c>
      <c r="C22" s="348"/>
      <c r="D22" s="336">
        <f t="shared" si="6"/>
        <v>0</v>
      </c>
      <c r="E22" s="344">
        <f t="shared" si="1"/>
        <v>0</v>
      </c>
      <c r="F22" s="349"/>
      <c r="G22" s="350"/>
      <c r="H22" s="1131">
        <f t="shared" si="7"/>
        <v>0</v>
      </c>
      <c r="I22" s="339">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637</v>
      </c>
      <c r="C23" s="348"/>
      <c r="D23" s="336">
        <f>ROUND($D$3*E23/$E$3,2)</f>
        <v>0</v>
      </c>
      <c r="E23" s="344">
        <f>SUM(F23:G23)</f>
        <v>0</v>
      </c>
      <c r="F23" s="349"/>
      <c r="G23" s="350"/>
      <c r="H23" s="1131">
        <f>ROUND($D$3*I23/$E$3,2)</f>
        <v>0</v>
      </c>
      <c r="I23" s="339">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637</v>
      </c>
      <c r="C24" s="348"/>
      <c r="D24" s="336">
        <f>ROUND($D$3*E24/$E$3,2)</f>
        <v>0</v>
      </c>
      <c r="E24" s="344">
        <f>SUM(F24:G24)</f>
        <v>0</v>
      </c>
      <c r="F24" s="349"/>
      <c r="G24" s="350"/>
      <c r="H24" s="1131">
        <f>ROUND($D$3*I24/$E$3,2)</f>
        <v>0</v>
      </c>
      <c r="I24" s="339">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637</v>
      </c>
      <c r="C25" s="348"/>
      <c r="D25" s="336">
        <f t="shared" si="6"/>
        <v>0</v>
      </c>
      <c r="E25" s="344">
        <f t="shared" si="1"/>
        <v>0</v>
      </c>
      <c r="F25" s="349"/>
      <c r="G25" s="350"/>
      <c r="H25" s="335">
        <f t="shared" si="7"/>
        <v>0</v>
      </c>
      <c r="I25" s="339">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637</v>
      </c>
      <c r="C26" s="352"/>
      <c r="D26" s="336">
        <f t="shared" si="6"/>
        <v>0</v>
      </c>
      <c r="E26" s="344">
        <f t="shared" si="1"/>
        <v>0</v>
      </c>
      <c r="F26" s="349"/>
      <c r="G26" s="350"/>
      <c r="H26" s="335">
        <f t="shared" si="7"/>
        <v>0</v>
      </c>
      <c r="I26" s="339">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15.75" thickBot="1">
      <c r="A27" s="33"/>
      <c r="B27" s="23"/>
      <c r="C27" s="2778" t="s">
        <v>638</v>
      </c>
      <c r="D27" s="2807">
        <f>SUM(D19:D26)</f>
        <v>92783.56</v>
      </c>
      <c r="E27" s="2808">
        <f>IF(SUM(E19:E26)='数据-基础表'!BA5,SUM(E19:E26),IF(F27="地上面积有误","面积有误","地下面积有误"))</f>
        <v>28973.439999999999</v>
      </c>
      <c r="F27" s="2807">
        <f>IF(SUM(F19:F26)=E8,SUM(F19:F26),"地上面积有误")</f>
        <v>28973.439999999999</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92783.56</v>
      </c>
      <c r="S27" s="2487">
        <f>IF(SUM(S19:S26)=$E$3,SUM(S19:S26),SUM(S19:S26)&amp;"误差"&amp;ROUND(SUM(S19:S26)-E3,2))</f>
        <v>28973.439999999999</v>
      </c>
    </row>
    <row r="28" spans="1:19" ht="14.25">
      <c r="A28" s="33"/>
      <c r="B28" s="26" t="s">
        <v>639</v>
      </c>
      <c r="C28" s="5" t="s">
        <v>640</v>
      </c>
      <c r="D28" s="336">
        <f>ROUND($D$3*E28/$E$3,2)</f>
        <v>0</v>
      </c>
      <c r="E28" s="344">
        <f>SUM(F28:G28)</f>
        <v>0</v>
      </c>
      <c r="F28" s="353">
        <f>'数据-基础表'!BQ5+'数据-基础表'!BS5</f>
        <v>0</v>
      </c>
      <c r="G28" s="354">
        <f>'数据-基础表'!BR5+'数据-基础表'!BT5</f>
        <v>0</v>
      </c>
      <c r="H28" s="2225"/>
      <c r="I28" s="2225"/>
      <c r="J28" s="2225"/>
      <c r="K28" s="2225"/>
      <c r="L28" s="2225"/>
      <c r="M28" s="2225"/>
      <c r="N28" s="2806"/>
      <c r="O28" s="2806"/>
      <c r="P28" s="2225"/>
    </row>
    <row r="29" spans="1:19" ht="14.25">
      <c r="A29" s="33"/>
      <c r="B29" s="26" t="s">
        <v>639</v>
      </c>
      <c r="C29" s="13" t="s">
        <v>2391</v>
      </c>
      <c r="D29" s="336">
        <f>ROUND($D$3*E29/$E$3,2)</f>
        <v>0</v>
      </c>
      <c r="E29" s="344">
        <f>SUM(F29:G29)</f>
        <v>0</v>
      </c>
      <c r="F29" s="355">
        <f>'数据-基础表'!BM5+'数据-基础表'!BO5</f>
        <v>0</v>
      </c>
      <c r="G29" s="356">
        <f>'数据-基础表'!BN5+'数据-基础表'!BP5</f>
        <v>0</v>
      </c>
      <c r="H29" s="2225"/>
      <c r="I29" s="2225"/>
      <c r="J29" s="2225"/>
      <c r="K29" s="2225"/>
      <c r="L29" s="2225"/>
      <c r="M29" s="2225"/>
      <c r="N29" s="2806"/>
      <c r="O29" s="2806"/>
      <c r="P29" s="2225"/>
    </row>
    <row r="30" spans="1:19" ht="15">
      <c r="A30" s="33"/>
      <c r="B30" s="26"/>
      <c r="C30" s="2812" t="s">
        <v>638</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6"/>
      <c r="B31" s="2526"/>
      <c r="C31" s="2527" t="s">
        <v>641</v>
      </c>
      <c r="D31" s="1187">
        <f>D27+D30</f>
        <v>92783.56</v>
      </c>
      <c r="E31" s="1187">
        <f>E27+E30</f>
        <v>28973.439999999999</v>
      </c>
      <c r="F31" s="1188">
        <f>F27+F30</f>
        <v>28973.439999999999</v>
      </c>
      <c r="G31" s="1189">
        <f>G27+G30</f>
        <v>0</v>
      </c>
      <c r="H31" s="2225"/>
      <c r="I31" s="2225"/>
      <c r="J31" s="2225"/>
      <c r="K31" s="2225"/>
      <c r="L31" s="2225"/>
      <c r="M31" s="2225"/>
      <c r="N31" s="2225"/>
      <c r="O31" s="2225"/>
      <c r="P31" s="2225"/>
    </row>
    <row r="32" spans="1:19" ht="14.25">
      <c r="A32" s="1180"/>
      <c r="B32" s="1180" t="s">
        <v>2703</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SheetLayoutView="90" workbookViewId="0">
      <pane xSplit="3" ySplit="5" topLeftCell="J6" activePane="bottomRight" state="frozen"/>
      <selection activeCell="C50" sqref="C50"/>
      <selection pane="topRight" activeCell="C50" sqref="C50"/>
      <selection pane="bottomLeft" activeCell="C50" sqref="C50"/>
      <selection pane="bottomRight" activeCell="N20" sqref="N20:N2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672</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673</v>
      </c>
      <c r="B2" s="2516">
        <f>项目基本情况!D3</f>
        <v>42986</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674</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2393</v>
      </c>
      <c r="B5" s="48" t="s">
        <v>678</v>
      </c>
      <c r="C5" s="49" t="s">
        <v>679</v>
      </c>
      <c r="D5" s="50" t="s">
        <v>680</v>
      </c>
      <c r="E5" s="51" t="s">
        <v>681</v>
      </c>
      <c r="F5" s="52" t="s">
        <v>682</v>
      </c>
      <c r="G5" s="51" t="s">
        <v>683</v>
      </c>
      <c r="H5" s="51" t="s">
        <v>684</v>
      </c>
      <c r="I5" s="51" t="s">
        <v>685</v>
      </c>
      <c r="J5" s="53" t="s">
        <v>686</v>
      </c>
      <c r="K5" s="54" t="s">
        <v>687</v>
      </c>
      <c r="L5" s="55" t="s">
        <v>688</v>
      </c>
      <c r="M5" s="56" t="s">
        <v>689</v>
      </c>
      <c r="N5" s="1200" t="s">
        <v>80</v>
      </c>
      <c r="O5" s="55" t="s">
        <v>690</v>
      </c>
      <c r="P5" s="57" t="s">
        <v>691</v>
      </c>
      <c r="Q5" s="58" t="s">
        <v>692</v>
      </c>
      <c r="R5" s="273" t="s">
        <v>693</v>
      </c>
      <c r="S5" s="59" t="s">
        <v>2683</v>
      </c>
      <c r="T5" s="274" t="s">
        <v>694</v>
      </c>
      <c r="U5" s="2517" t="s">
        <v>2399</v>
      </c>
      <c r="V5" s="51" t="s">
        <v>695</v>
      </c>
      <c r="W5" s="2518" t="s">
        <v>2400</v>
      </c>
      <c r="X5" s="62"/>
      <c r="Y5" s="60" t="s">
        <v>696</v>
      </c>
      <c r="Z5" s="61" t="s">
        <v>697</v>
      </c>
      <c r="AA5" s="51" t="s">
        <v>695</v>
      </c>
      <c r="AB5" s="2518" t="s">
        <v>2400</v>
      </c>
      <c r="AC5" s="62"/>
      <c r="AD5" s="62" t="s">
        <v>696</v>
      </c>
      <c r="AE5" s="14" t="s">
        <v>538</v>
      </c>
      <c r="AF5" s="51" t="s">
        <v>698</v>
      </c>
      <c r="AG5" s="60" t="s">
        <v>699</v>
      </c>
      <c r="AH5" s="14" t="s">
        <v>2404</v>
      </c>
      <c r="AI5" s="61" t="s">
        <v>2321</v>
      </c>
      <c r="AJ5" s="61" t="s">
        <v>700</v>
      </c>
      <c r="AK5" s="2518" t="s">
        <v>2401</v>
      </c>
      <c r="AL5" s="2518" t="s">
        <v>2402</v>
      </c>
      <c r="AM5" s="359" t="s">
        <v>2403</v>
      </c>
      <c r="AN5" s="2575" t="s">
        <v>2443</v>
      </c>
      <c r="AO5" s="2012" t="s">
        <v>2674</v>
      </c>
      <c r="AP5" s="2891" t="s">
        <v>2684</v>
      </c>
      <c r="AQ5" s="2892" t="s">
        <v>2794</v>
      </c>
      <c r="AR5" s="2892" t="s">
        <v>2795</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影视基地</v>
      </c>
      <c r="B6" s="2493" t="str">
        <f>IF(A6=0,"","经营性")</f>
        <v>经营性</v>
      </c>
      <c r="C6" s="39" t="s">
        <v>3161</v>
      </c>
      <c r="D6" s="2056">
        <f>SUMIF(项目基本情况!D$12:I$12,C6,项目基本情况!D$14:I$14)</f>
        <v>50</v>
      </c>
      <c r="E6" s="2050">
        <f>IF(B6="","",SUMIF(项目基本情况!D$12:I$12,C6,项目基本情况!D$13:I$13))</f>
        <v>55511</v>
      </c>
      <c r="F6" s="361">
        <f>SUMIF(项目基本情况!D$12:I$12,C6,项目基本情况!D$15:I$15)</f>
        <v>34.31</v>
      </c>
      <c r="G6" s="362">
        <f>IF(ISERROR(ROUND(POWER(1+H6,D6-F6)*(POWER(1+H6,F6)-1)/(POWER(1+H6,D6)-1),3)),0,ROUND(POWER(1+H6,D6-F6)*(POWER(1+H6,F6)-1)/(POWER(1+H6,D6)-1),3))</f>
        <v>0.876</v>
      </c>
      <c r="H6" s="1474">
        <v>4.4999999999999998E-2</v>
      </c>
      <c r="I6" s="1474">
        <v>0.05</v>
      </c>
      <c r="J6" s="363">
        <v>8.5000000000000006E-2</v>
      </c>
      <c r="K6" s="2496">
        <f>SUMIF('数据-汇总表'!C$19:C$33,A6,'数据-汇总表'!E$19:E$33)</f>
        <v>28973.439999999999</v>
      </c>
      <c r="L6" s="1475">
        <v>2500</v>
      </c>
      <c r="M6" s="364">
        <f t="shared" ref="M6:M14" si="0">ROUND(K6*L6/10000,0)</f>
        <v>7243</v>
      </c>
      <c r="N6" s="1473">
        <f>N26</f>
        <v>0.71</v>
      </c>
      <c r="O6" s="364" t="str">
        <f>IF($N$5="成新度","——",ROUND(M6*N6,0))</f>
        <v>——</v>
      </c>
      <c r="P6" s="365" t="str">
        <f>IF($N$5="成新度","——",M6-O6)</f>
        <v>——</v>
      </c>
      <c r="Q6" s="1476">
        <v>0.2</v>
      </c>
      <c r="R6" s="366">
        <f ca="1">SUMIF('数据-汇总表'!C$19:C$33,A6,'数据-汇总表'!R$19:R$27)</f>
        <v>92783.56</v>
      </c>
      <c r="S6" s="342">
        <f>IF('数据-汇总表'!$I$17="按面积比例",SUMIF('数据-汇总表'!C$19:C$33,A6,'数据-汇总表'!K$19:K$33),SUMIF('数据-汇总表'!C$19:C$33,A6,'数据-汇总表'!N$19:N$33))</f>
        <v>0</v>
      </c>
      <c r="T6" s="2890">
        <f>ROUND($L$14*S6/10000,0)</f>
        <v>0</v>
      </c>
      <c r="U6" s="3382">
        <v>5.2</v>
      </c>
      <c r="V6" s="368">
        <v>0.03</v>
      </c>
      <c r="W6" s="368">
        <v>0.35</v>
      </c>
      <c r="X6" s="2506"/>
      <c r="Y6" s="369">
        <f>N6</f>
        <v>0.71</v>
      </c>
      <c r="Z6" s="370"/>
      <c r="AA6" s="363"/>
      <c r="AB6" s="363"/>
      <c r="AC6" s="2506"/>
      <c r="AD6" s="371"/>
      <c r="AE6" s="2507">
        <f ca="1">IF(AN6="",0,SUMIF(INDIRECT("'"&amp;AN6&amp;"'"&amp;"!E:E"),$AE$5,INDIRECT("'"&amp;AN6&amp;"'"&amp;"!F:F")))</f>
        <v>34.31</v>
      </c>
      <c r="AF6" s="351"/>
      <c r="AG6" s="477">
        <f>IF(AF6="",0,AE6-AF6)</f>
        <v>0</v>
      </c>
      <c r="AH6" s="372"/>
      <c r="AI6" s="374">
        <v>365</v>
      </c>
      <c r="AJ6" s="376">
        <v>1.2E-2</v>
      </c>
      <c r="AK6" s="376">
        <v>1.4999999999999999E-2</v>
      </c>
      <c r="AL6" s="377">
        <v>2E-3</v>
      </c>
      <c r="AM6" s="378">
        <v>0.02</v>
      </c>
      <c r="AN6" s="2576" t="s">
        <v>3160</v>
      </c>
      <c r="AO6" s="343">
        <f ca="1">SUMIF(INDIRECT("'"&amp;AN6&amp;"'"&amp;"!A:A"),"总价",INDIRECT("'"&amp;AN6&amp;"'"&amp;"!B:B"))</f>
        <v>73280</v>
      </c>
      <c r="AP6" s="2893">
        <f>IF(C6="住宅",K6*L6,0)</f>
        <v>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4"/>
      <c r="I7" s="1474"/>
      <c r="J7" s="363"/>
      <c r="K7" s="2496">
        <f>SUMIF('数据-汇总表'!C$19:C$33,A7,'数据-汇总表'!E$19:E$33)</f>
        <v>0</v>
      </c>
      <c r="L7" s="1475"/>
      <c r="M7" s="364">
        <f t="shared" si="0"/>
        <v>0</v>
      </c>
      <c r="N7" s="1473"/>
      <c r="O7" s="364" t="str">
        <f t="shared" ref="O7:O14" si="3">IF($N$5="成新度","——",ROUND(M7*N7,0))</f>
        <v>——</v>
      </c>
      <c r="P7" s="365" t="str">
        <f t="shared" ref="P7:P14" si="4">IF($N$5="成新度","——",M7-O7)</f>
        <v>——</v>
      </c>
      <c r="Q7" s="1476"/>
      <c r="R7" s="366">
        <f ca="1">SUMIF('数据-汇总表'!C$19:C$33,A7,'数据-汇总表'!R$19:R$27)</f>
        <v>0</v>
      </c>
      <c r="S7" s="342">
        <f>IF('数据-汇总表'!$I$17="按面积比例",SUMIF('数据-汇总表'!C$19:C$33,A7,'数据-汇总表'!K$19:K$33),SUMIF('数据-汇总表'!C$19:C$33,A7,'数据-汇总表'!N$19:N$33))</f>
        <v>0</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1">
        <f>SUMIF(项目基本情况!D$12:I$12,C8,项目基本情况!D$15:I$15)</f>
        <v>0</v>
      </c>
      <c r="G8" s="362">
        <f t="shared" si="2"/>
        <v>0</v>
      </c>
      <c r="H8" s="1474"/>
      <c r="I8" s="1474"/>
      <c r="J8" s="363"/>
      <c r="K8" s="2496">
        <f>SUMIF('数据-汇总表'!C$19:C$33,A8,'数据-汇总表'!E$19:E$33)</f>
        <v>0</v>
      </c>
      <c r="L8" s="1475"/>
      <c r="M8" s="364">
        <f>ROUND(K8*L8/10000,0)</f>
        <v>0</v>
      </c>
      <c r="N8" s="1473"/>
      <c r="O8" s="364" t="str">
        <f t="shared" si="3"/>
        <v>——</v>
      </c>
      <c r="P8" s="365" t="str">
        <f t="shared" si="4"/>
        <v>——</v>
      </c>
      <c r="Q8" s="1476"/>
      <c r="R8" s="366">
        <f ca="1">SUMIF('数据-汇总表'!C$19:C$33,A8,'数据-汇总表'!R$19:R$27)</f>
        <v>0</v>
      </c>
      <c r="S8" s="342">
        <f>IF('数据-汇总表'!$I$17="按面积比例",SUMIF('数据-汇总表'!C$19:C$33,A8,'数据-汇总表'!K$19:K$33),SUMIF('数据-汇总表'!C$19:C$33,A8,'数据-汇总表'!N$19:N$33))</f>
        <v>0</v>
      </c>
      <c r="T8" s="2890">
        <f t="shared" si="5"/>
        <v>0</v>
      </c>
      <c r="U8" s="1477"/>
      <c r="V8" s="1478"/>
      <c r="W8" s="1478"/>
      <c r="X8" s="2506"/>
      <c r="Y8" s="1479"/>
      <c r="Z8" s="370"/>
      <c r="AA8" s="363"/>
      <c r="AB8" s="363"/>
      <c r="AC8" s="2506"/>
      <c r="AD8" s="371"/>
      <c r="AE8" s="2507">
        <f t="shared" ca="1" si="6"/>
        <v>0</v>
      </c>
      <c r="AF8" s="351"/>
      <c r="AG8" s="477">
        <f t="shared" si="7"/>
        <v>0</v>
      </c>
      <c r="AH8" s="1480"/>
      <c r="AI8" s="374"/>
      <c r="AJ8" s="375"/>
      <c r="AK8" s="1481"/>
      <c r="AL8" s="1482"/>
      <c r="AM8" s="1483"/>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5"/>
      <c r="M9" s="364">
        <f t="shared" si="0"/>
        <v>0</v>
      </c>
      <c r="N9" s="1473"/>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5"/>
      <c r="M10" s="364">
        <f t="shared" si="0"/>
        <v>0</v>
      </c>
      <c r="N10" s="1473"/>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535</v>
      </c>
      <c r="B14" s="2493" t="s">
        <v>534</v>
      </c>
      <c r="C14" s="2494" t="s">
        <v>535</v>
      </c>
      <c r="D14" s="2056"/>
      <c r="E14" s="2050"/>
      <c r="F14" s="361"/>
      <c r="G14" s="362"/>
      <c r="H14" s="2495"/>
      <c r="I14" s="2495"/>
      <c r="J14" s="2495"/>
      <c r="K14" s="2496">
        <f>SUMIF('数据-汇总表'!C$19:C$33,A14,'数据-汇总表'!E$19:E$33)</f>
        <v>0</v>
      </c>
      <c r="L14" s="380"/>
      <c r="M14" s="364">
        <f t="shared" si="0"/>
        <v>0</v>
      </c>
      <c r="N14" s="381"/>
      <c r="O14" s="364" t="str">
        <f t="shared" si="3"/>
        <v>——</v>
      </c>
      <c r="P14" s="365" t="str">
        <f t="shared" si="4"/>
        <v>——</v>
      </c>
      <c r="Q14" s="2499"/>
      <c r="R14" s="366"/>
      <c r="S14" s="342"/>
      <c r="T14" s="2890"/>
      <c r="U14" s="1131"/>
      <c r="V14" s="2501"/>
      <c r="W14" s="2501"/>
      <c r="X14" s="2502"/>
      <c r="Y14" s="2503"/>
      <c r="Z14" s="2504"/>
      <c r="AA14" s="2505"/>
      <c r="AB14" s="2505"/>
      <c r="AC14" s="2506"/>
      <c r="AD14" s="2502"/>
      <c r="AE14" s="2507"/>
      <c r="AF14" s="343"/>
      <c r="AG14" s="477"/>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2392</v>
      </c>
      <c r="B15" s="2493" t="s">
        <v>534</v>
      </c>
      <c r="C15" s="2494" t="s">
        <v>2096</v>
      </c>
      <c r="D15" s="2056"/>
      <c r="E15" s="2050"/>
      <c r="F15" s="361"/>
      <c r="G15" s="362"/>
      <c r="H15" s="2495"/>
      <c r="I15" s="2495"/>
      <c r="J15" s="2495"/>
      <c r="K15" s="2496">
        <f>SUMIF('数据-汇总表'!C$19:C$33,A15,'数据-汇总表'!E$19:E$33)</f>
        <v>0</v>
      </c>
      <c r="L15" s="2497"/>
      <c r="M15" s="364"/>
      <c r="N15" s="2498"/>
      <c r="O15" s="364"/>
      <c r="P15" s="365"/>
      <c r="Q15" s="2499"/>
      <c r="R15" s="366"/>
      <c r="S15" s="342"/>
      <c r="T15" s="2890"/>
      <c r="U15" s="1131"/>
      <c r="V15" s="2501"/>
      <c r="W15" s="2501"/>
      <c r="X15" s="2502"/>
      <c r="Y15" s="2503"/>
      <c r="Z15" s="2504"/>
      <c r="AA15" s="2505"/>
      <c r="AB15" s="2505"/>
      <c r="AC15" s="2506"/>
      <c r="AD15" s="2502"/>
      <c r="AE15" s="2507"/>
      <c r="AF15" s="343"/>
      <c r="AG15" s="477"/>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6"/>
      <c r="G16" s="387">
        <f>ROUND(SUMPRODUCT(G6:G13,K6:K13)/SUMPRODUCT((G6:G13&gt;0)*(K6:K13)),3)</f>
        <v>0.876</v>
      </c>
      <c r="H16" s="388">
        <f>ROUND(SUMPRODUCT(H6:H13,K6:K13)/SUMPRODUCT((H6:H13&gt;0)*(K6:K13)),3)</f>
        <v>4.4999999999999998E-2</v>
      </c>
      <c r="I16" s="389"/>
      <c r="J16" s="389"/>
      <c r="K16" s="390">
        <f>SUM(K6:K15)</f>
        <v>28973.439999999999</v>
      </c>
      <c r="L16" s="391">
        <f>ROUND(M16*10000/SUM(K6:K14),0)</f>
        <v>2500</v>
      </c>
      <c r="M16" s="391">
        <f>SUM(M6:M14)</f>
        <v>7243</v>
      </c>
      <c r="N16" s="392">
        <f>ROUND(SUMPRODUCT(M6:M14,N6:N14)/M16,3)</f>
        <v>0.71</v>
      </c>
      <c r="O16" s="391">
        <f>SUM(O6:O14)</f>
        <v>0</v>
      </c>
      <c r="P16" s="391">
        <f>SUM(P6:P14)</f>
        <v>0</v>
      </c>
      <c r="Q16" s="393">
        <f>ROUND(SUMPRODUCT(Q6:Q13,K6:K13)/SUMPRODUCT((Q6:Q13&gt;0)*(K6:K13)),2)</f>
        <v>0.2</v>
      </c>
      <c r="R16" s="2500">
        <f ca="1">SUM(R6:R13)</f>
        <v>92783.56</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5" thickBot="1">
      <c r="A19" s="68" t="s">
        <v>0</v>
      </c>
      <c r="B19" s="401">
        <v>0</v>
      </c>
      <c r="C19" s="2232" t="s">
        <v>2408</v>
      </c>
      <c r="D19" s="2233"/>
      <c r="E19" s="2232"/>
      <c r="F19" s="2232"/>
      <c r="G19" s="2232"/>
      <c r="H19" s="2232"/>
      <c r="I19" s="2232"/>
      <c r="J19" s="2232"/>
      <c r="K19" s="2231"/>
      <c r="L19" s="2231" t="s">
        <v>3321</v>
      </c>
      <c r="M19" s="2229" t="s">
        <v>3322</v>
      </c>
      <c r="N19" s="2229" t="s">
        <v>3323</v>
      </c>
      <c r="O19" s="2229" t="s">
        <v>3324</v>
      </c>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5" thickBot="1">
      <c r="A20" s="69" t="s">
        <v>701</v>
      </c>
      <c r="B20" s="402">
        <v>2</v>
      </c>
      <c r="C20" s="2232" t="s">
        <v>2409</v>
      </c>
      <c r="D20" s="2233"/>
      <c r="E20" s="2232"/>
      <c r="F20" s="2232"/>
      <c r="G20" s="2232"/>
      <c r="H20" s="2232"/>
      <c r="I20" s="2232"/>
      <c r="J20" s="2232"/>
      <c r="K20" s="3425">
        <v>1</v>
      </c>
      <c r="L20" s="3427">
        <v>10269.85</v>
      </c>
      <c r="M20" s="2229">
        <f t="shared" ref="M20:M25" si="12">ROUND(L20/$K$6,2)</f>
        <v>0.35</v>
      </c>
      <c r="N20" s="3429">
        <f>ROUND(1-(1-2%)*21/50,2)</f>
        <v>0.59</v>
      </c>
      <c r="P20" s="3427">
        <v>1996</v>
      </c>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5" thickBot="1">
      <c r="A21" s="70" t="s">
        <v>702</v>
      </c>
      <c r="B21" s="402">
        <v>2</v>
      </c>
      <c r="C21" s="2232"/>
      <c r="D21" s="2233"/>
      <c r="E21" s="2232"/>
      <c r="F21" s="2232"/>
      <c r="G21" s="2232"/>
      <c r="H21" s="2232"/>
      <c r="I21" s="2232"/>
      <c r="J21" s="2232"/>
      <c r="K21" s="3426">
        <v>3</v>
      </c>
      <c r="L21" s="3428">
        <v>722.85</v>
      </c>
      <c r="M21" s="2229">
        <f t="shared" si="12"/>
        <v>0.02</v>
      </c>
      <c r="N21" s="3429">
        <f t="shared" ref="N21:N22" si="13">ROUND(1-(1-2%)*21/50,2)</f>
        <v>0.59</v>
      </c>
      <c r="P21" s="3428">
        <v>1996</v>
      </c>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5" thickBot="1">
      <c r="A22" s="69" t="s">
        <v>703</v>
      </c>
      <c r="B22" s="403">
        <f>B19+B20</f>
        <v>2</v>
      </c>
      <c r="C22" s="2232"/>
      <c r="D22" s="2233"/>
      <c r="E22" s="2232"/>
      <c r="F22" s="2232"/>
      <c r="G22" s="2232"/>
      <c r="H22" s="2232"/>
      <c r="I22" s="2232"/>
      <c r="J22" s="2232"/>
      <c r="K22" s="3426">
        <v>4</v>
      </c>
      <c r="L22" s="3426">
        <v>2818.07</v>
      </c>
      <c r="M22" s="2229">
        <f t="shared" si="12"/>
        <v>0.1</v>
      </c>
      <c r="N22" s="3429">
        <f t="shared" si="13"/>
        <v>0.59</v>
      </c>
      <c r="O22" s="2229"/>
      <c r="P22" s="3428">
        <v>1996</v>
      </c>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5" thickBot="1">
      <c r="A23" s="70" t="s">
        <v>704</v>
      </c>
      <c r="B23" s="403">
        <f>B19+B21</f>
        <v>2</v>
      </c>
      <c r="C23" s="2232"/>
      <c r="D23" s="2233"/>
      <c r="E23" s="2232"/>
      <c r="F23" s="2232"/>
      <c r="G23" s="2232"/>
      <c r="H23" s="2232"/>
      <c r="I23" s="2232"/>
      <c r="J23" s="2232"/>
      <c r="K23" s="3426">
        <v>5</v>
      </c>
      <c r="L23" s="3426">
        <v>1344.29</v>
      </c>
      <c r="M23" s="2229">
        <f t="shared" si="12"/>
        <v>0.05</v>
      </c>
      <c r="N23" s="3429">
        <f>ROUND(1-(1-2%)*20/50,2)</f>
        <v>0.61</v>
      </c>
      <c r="P23" s="3428">
        <v>1997</v>
      </c>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705</v>
      </c>
      <c r="B24" s="404">
        <f>B20-B21</f>
        <v>0</v>
      </c>
      <c r="C24" s="2232"/>
      <c r="D24" s="2233"/>
      <c r="E24" s="2232"/>
      <c r="F24" s="2232"/>
      <c r="G24" s="2232"/>
      <c r="H24" s="2232"/>
      <c r="I24" s="2232"/>
      <c r="J24" s="2232"/>
      <c r="K24" s="3426">
        <v>7</v>
      </c>
      <c r="L24" s="3426">
        <v>3228.38</v>
      </c>
      <c r="M24" s="2229">
        <f t="shared" si="12"/>
        <v>0.11</v>
      </c>
      <c r="N24" s="3429">
        <f>ROUND(1-(1-2%)*15/50,2)</f>
        <v>0.71</v>
      </c>
      <c r="P24" s="3428">
        <v>2002</v>
      </c>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t="s">
        <v>3320</v>
      </c>
      <c r="L25" s="2231">
        <f>'数据-基础表'!I14</f>
        <v>10590</v>
      </c>
      <c r="M25" s="2229">
        <f t="shared" si="12"/>
        <v>0.37</v>
      </c>
      <c r="N25" s="3429">
        <f>ROUND(1-(1-0%)*7/60,2)</f>
        <v>0.88</v>
      </c>
      <c r="O25" s="2229">
        <v>3000</v>
      </c>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706</v>
      </c>
      <c r="B26" s="72" t="s">
        <v>707</v>
      </c>
      <c r="C26" s="2235" t="s">
        <v>708</v>
      </c>
      <c r="D26" s="2233"/>
      <c r="E26" s="2232"/>
      <c r="F26" s="2232"/>
      <c r="G26" s="2232"/>
      <c r="H26" s="2232"/>
      <c r="I26" s="2232"/>
      <c r="J26" s="2232"/>
      <c r="K26" s="2231"/>
      <c r="L26" s="2231"/>
      <c r="M26" s="2229"/>
      <c r="N26" s="3429">
        <f>ROUND(N20*M20+N25*M25+M21*N21+M22*N22+M23*N23+M24*N24,2)</f>
        <v>0.71</v>
      </c>
      <c r="O26" s="2229" t="e">
        <f>ROUND(#REF!*#REF!+O25*M25,2)</f>
        <v>#REF!</v>
      </c>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709</v>
      </c>
      <c r="B27" s="405"/>
      <c r="C27" s="2528" t="s">
        <v>710</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711</v>
      </c>
      <c r="B28" s="408">
        <v>160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2686</v>
      </c>
      <c r="B29" s="410">
        <f ca="1">成本法!C10</f>
        <v>464</v>
      </c>
      <c r="C29" s="2528" t="s">
        <v>2687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712</v>
      </c>
      <c r="B30" s="1132">
        <v>150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713</v>
      </c>
      <c r="B31" s="409">
        <f>B30-B32</f>
        <v>150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714</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715</v>
      </c>
      <c r="B33" s="1134">
        <v>0.03</v>
      </c>
      <c r="C33" s="3288" t="s">
        <v>2998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716</v>
      </c>
      <c r="B34" s="411">
        <v>0</v>
      </c>
      <c r="C34" s="3288" t="s">
        <v>2999</v>
      </c>
      <c r="D34" s="2233" t="s">
        <v>717</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718</v>
      </c>
      <c r="B35" s="408">
        <v>150</v>
      </c>
      <c r="C35" s="3288" t="s">
        <v>3000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719</v>
      </c>
      <c r="B36" s="412">
        <v>1.4999999999999999E-2</v>
      </c>
      <c r="C36" s="3288" t="s">
        <v>3001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720</v>
      </c>
      <c r="B37" s="413">
        <v>0.02</v>
      </c>
      <c r="C37" s="3288" t="s">
        <v>3002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721</v>
      </c>
      <c r="B38" s="411">
        <v>0.02</v>
      </c>
      <c r="C38" s="3288" t="s">
        <v>3002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2536</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2612</v>
      </c>
      <c r="B40" s="2636">
        <f ca="1">存贷款利率!G1</f>
        <v>4.7500000000000001E-2</v>
      </c>
      <c r="C40" s="2530" t="s">
        <v>539</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722</v>
      </c>
      <c r="B41" s="414">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723</v>
      </c>
      <c r="B42" s="415">
        <v>0.05</v>
      </c>
      <c r="C42" s="3313">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724</v>
      </c>
      <c r="B43" s="416">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725</v>
      </c>
      <c r="B44" s="417">
        <v>0.05</v>
      </c>
      <c r="C44" s="3288" t="s">
        <v>3004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726</v>
      </c>
      <c r="B45" s="415">
        <v>0.03</v>
      </c>
      <c r="C45" s="3289" t="s">
        <v>3003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727</v>
      </c>
      <c r="B46" s="415">
        <v>0.02</v>
      </c>
      <c r="C46" s="3289" t="s">
        <v>3031</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728</v>
      </c>
      <c r="B47" s="418"/>
      <c r="C47" s="2528" t="s">
        <v>729</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730</v>
      </c>
      <c r="B48" s="419">
        <v>0.03</v>
      </c>
      <c r="C48" s="3311" t="s">
        <v>3032</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731</v>
      </c>
      <c r="B49" s="415">
        <v>5.0000000000000001E-4</v>
      </c>
      <c r="C49" s="3311" t="s">
        <v>3033</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732</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733</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734</v>
      </c>
      <c r="B52" s="422">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735</v>
      </c>
      <c r="B53" s="41" t="s">
        <v>202</v>
      </c>
      <c r="C53" s="2234" t="s">
        <v>3005</v>
      </c>
      <c r="D53" s="2237" t="s">
        <v>3009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3"/>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3"/>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3"/>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3"/>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3"/>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3">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1177</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3006</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3007</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3008</v>
      </c>
      <c r="B63" s="423"/>
      <c r="C63" s="2232"/>
      <c r="D63" s="2233"/>
      <c r="E63" s="2232"/>
      <c r="F63" s="2232"/>
      <c r="G63" s="2232"/>
      <c r="H63" s="2232"/>
      <c r="I63" s="2232"/>
      <c r="J63" s="2232"/>
      <c r="K63" s="2244"/>
      <c r="L63" s="2244"/>
      <c r="M63" s="2242"/>
      <c r="N63" s="2242"/>
      <c r="O63" s="2242"/>
      <c r="P63" s="2242"/>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6" s="2242" customFormat="1">
      <c r="A129" s="1451"/>
      <c r="D129" s="2243"/>
      <c r="K129" s="2244"/>
      <c r="L129" s="2244"/>
    </row>
    <row r="130" spans="1:16" s="2242" customFormat="1">
      <c r="A130" s="1451"/>
      <c r="D130" s="2243"/>
      <c r="K130" s="2244"/>
      <c r="L130" s="2244"/>
    </row>
    <row r="131" spans="1:16" s="2242" customFormat="1">
      <c r="A131" s="1451"/>
      <c r="D131" s="2243"/>
      <c r="K131" s="2244"/>
      <c r="L131" s="2244"/>
    </row>
    <row r="132" spans="1:16" s="2242" customFormat="1">
      <c r="A132" s="1451"/>
      <c r="D132" s="2243"/>
      <c r="K132" s="2244"/>
      <c r="L132" s="2244"/>
    </row>
    <row r="133" spans="1:16" s="2242" customFormat="1">
      <c r="A133" s="1451"/>
      <c r="D133" s="2243"/>
      <c r="K133" s="2247"/>
      <c r="L133" s="2247"/>
      <c r="M133" s="2238"/>
      <c r="N133" s="2238"/>
      <c r="O133" s="2238"/>
      <c r="P133" s="2238"/>
    </row>
    <row r="134" spans="1:16" s="2238" customFormat="1">
      <c r="A134" s="2245"/>
      <c r="D134" s="2246"/>
      <c r="K134" s="2247"/>
      <c r="L134" s="2247"/>
    </row>
    <row r="135" spans="1:16" s="2238" customFormat="1">
      <c r="A135" s="2245"/>
      <c r="D135" s="2246"/>
      <c r="K135" s="2247"/>
      <c r="L135" s="2247"/>
    </row>
    <row r="136" spans="1:16" s="2238" customFormat="1">
      <c r="A136" s="2245"/>
      <c r="D136" s="2246"/>
      <c r="K136" s="2247"/>
      <c r="L136" s="2247"/>
    </row>
    <row r="137" spans="1:16" s="2238" customFormat="1">
      <c r="A137" s="2245"/>
      <c r="D137" s="2246"/>
      <c r="K137" s="2247"/>
      <c r="L137" s="2247"/>
    </row>
    <row r="138" spans="1:16" s="2238" customFormat="1">
      <c r="A138" s="2245"/>
      <c r="D138" s="2246"/>
      <c r="K138" s="2247"/>
      <c r="L138" s="2247"/>
    </row>
    <row r="139" spans="1:16" s="2238" customFormat="1">
      <c r="A139" s="2245"/>
      <c r="D139" s="2246"/>
      <c r="K139" s="2247"/>
      <c r="L139" s="2247"/>
    </row>
    <row r="140" spans="1:16" s="2238" customFormat="1">
      <c r="A140" s="2245"/>
      <c r="D140" s="2246"/>
      <c r="K140" s="2247"/>
      <c r="L140" s="2247"/>
    </row>
    <row r="141" spans="1:16" s="2238" customFormat="1">
      <c r="A141" s="2245"/>
      <c r="D141" s="2246"/>
      <c r="K141" s="2247"/>
      <c r="L141" s="2247"/>
    </row>
    <row r="142" spans="1:16" s="2238" customFormat="1">
      <c r="A142" s="2245"/>
      <c r="D142" s="2246"/>
      <c r="K142" s="2247"/>
      <c r="L142" s="2247"/>
    </row>
    <row r="143" spans="1:16" s="2238" customFormat="1">
      <c r="A143" s="2245"/>
      <c r="D143" s="2246"/>
      <c r="K143" s="2247"/>
      <c r="L143" s="2247"/>
    </row>
    <row r="144" spans="1:16"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6" s="2238" customFormat="1">
      <c r="A161" s="2245"/>
      <c r="D161" s="2246"/>
      <c r="K161" s="2247"/>
      <c r="L161" s="2247"/>
    </row>
    <row r="162" spans="1:16" s="2238" customFormat="1">
      <c r="A162" s="2245"/>
      <c r="D162" s="2246"/>
      <c r="K162" s="2247"/>
      <c r="L162" s="2247"/>
    </row>
    <row r="163" spans="1:16" s="2238" customFormat="1">
      <c r="A163" s="2245"/>
      <c r="D163" s="2246"/>
      <c r="K163" s="2247"/>
      <c r="L163" s="2247"/>
    </row>
    <row r="164" spans="1:16" s="2238" customFormat="1">
      <c r="A164" s="2245"/>
      <c r="D164" s="2246"/>
      <c r="K164" s="2247"/>
      <c r="L164" s="2247"/>
    </row>
    <row r="165" spans="1:16" s="2238" customFormat="1">
      <c r="A165" s="2245"/>
      <c r="D165" s="2246"/>
      <c r="K165" s="2247"/>
      <c r="L165" s="2247"/>
    </row>
    <row r="166" spans="1:16" s="2238" customFormat="1">
      <c r="A166" s="2245"/>
      <c r="D166" s="2246"/>
      <c r="K166" s="2247"/>
      <c r="L166" s="2247"/>
    </row>
    <row r="167" spans="1:16" s="2238" customFormat="1">
      <c r="A167" s="2245"/>
      <c r="D167" s="2246"/>
      <c r="K167" s="2247"/>
      <c r="L167" s="2247"/>
    </row>
    <row r="168" spans="1:16" s="2238" customFormat="1">
      <c r="A168" s="2245"/>
      <c r="D168" s="2246"/>
      <c r="K168" s="2247"/>
      <c r="L168" s="2247"/>
    </row>
    <row r="169" spans="1:16" s="2238" customFormat="1">
      <c r="A169" s="2245"/>
      <c r="D169" s="2246"/>
      <c r="K169" s="2247"/>
      <c r="L169" s="2247"/>
    </row>
    <row r="170" spans="1:16" s="2238" customFormat="1">
      <c r="A170" s="2245"/>
      <c r="D170" s="2246"/>
      <c r="K170" s="2247"/>
      <c r="L170" s="2247"/>
    </row>
    <row r="171" spans="1:16" s="2238" customFormat="1">
      <c r="A171" s="2245"/>
      <c r="D171" s="2246"/>
      <c r="K171" s="2247"/>
      <c r="L171" s="2247"/>
    </row>
    <row r="172" spans="1:16" s="2238" customFormat="1">
      <c r="A172" s="2245"/>
      <c r="D172" s="2246"/>
      <c r="K172" s="2247"/>
      <c r="L172" s="2247"/>
    </row>
    <row r="173" spans="1:16" s="2238" customFormat="1">
      <c r="A173" s="2245"/>
      <c r="D173" s="2246"/>
      <c r="K173" s="2247"/>
      <c r="L173" s="2247"/>
    </row>
    <row r="174" spans="1:16" s="2238" customFormat="1">
      <c r="A174" s="2245"/>
      <c r="D174" s="2246"/>
      <c r="K174" s="1170"/>
      <c r="L174" s="1170"/>
      <c r="M174" s="1192"/>
      <c r="N174" s="1192"/>
      <c r="O174" s="1192"/>
      <c r="P174" s="119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519" t="s">
        <v>750</v>
      </c>
      <c r="B1" s="3520"/>
      <c r="C1" s="3520"/>
      <c r="D1" s="3520"/>
      <c r="E1" s="3520"/>
      <c r="F1" s="3520"/>
      <c r="G1" s="352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751</v>
      </c>
      <c r="D2" s="1210"/>
      <c r="E2" s="1211"/>
      <c r="F2" s="1198"/>
      <c r="G2" s="1209" t="s">
        <v>752</v>
      </c>
      <c r="H2" s="2255"/>
      <c r="I2" s="2255"/>
      <c r="J2" s="2255"/>
      <c r="K2" s="2255"/>
      <c r="L2" s="2255"/>
      <c r="M2" s="2255"/>
      <c r="N2" s="2255"/>
      <c r="O2" s="2255"/>
      <c r="P2" s="2255"/>
      <c r="Q2" s="2255"/>
      <c r="R2" s="2255"/>
    </row>
    <row r="3" spans="1:29" ht="40.5">
      <c r="A3" s="1019" t="s">
        <v>753</v>
      </c>
      <c r="B3" s="51" t="s">
        <v>52</v>
      </c>
      <c r="C3" s="3290"/>
      <c r="D3" s="2256"/>
      <c r="E3" s="1028" t="s">
        <v>753</v>
      </c>
      <c r="F3" s="1212" t="s">
        <v>99</v>
      </c>
      <c r="G3" s="3294" t="s">
        <v>3011</v>
      </c>
      <c r="H3" s="2255"/>
      <c r="I3" s="2255"/>
      <c r="J3" s="2255"/>
      <c r="K3" s="2255"/>
      <c r="L3" s="2255"/>
      <c r="M3" s="2255"/>
      <c r="N3" s="2255"/>
      <c r="O3" s="2255"/>
      <c r="P3" s="2255"/>
      <c r="Q3" s="2255"/>
      <c r="R3" s="2255"/>
    </row>
    <row r="4" spans="1:29" ht="40.5">
      <c r="A4" s="1028"/>
      <c r="B4" s="2211" t="s">
        <v>754</v>
      </c>
      <c r="C4" s="3291"/>
      <c r="D4" s="2256"/>
      <c r="E4" s="1213"/>
      <c r="F4" s="2215" t="s">
        <v>755</v>
      </c>
      <c r="G4" s="3292" t="s">
        <v>756</v>
      </c>
      <c r="H4" s="2255"/>
      <c r="I4" s="2255"/>
      <c r="J4" s="2255"/>
      <c r="K4" s="2255"/>
      <c r="L4" s="2255"/>
      <c r="M4" s="2255"/>
      <c r="N4" s="2255"/>
      <c r="O4" s="2255"/>
      <c r="P4" s="2255"/>
      <c r="Q4" s="2255"/>
      <c r="R4" s="2255"/>
    </row>
    <row r="5" spans="1:29" ht="81">
      <c r="A5" s="1028"/>
      <c r="B5" s="2211" t="s">
        <v>757</v>
      </c>
      <c r="C5" s="3291" t="s">
        <v>3166</v>
      </c>
      <c r="D5" s="2256"/>
      <c r="E5" s="1213"/>
      <c r="F5" s="2744" t="s">
        <v>2629</v>
      </c>
      <c r="G5" s="3292" t="s">
        <v>2631</v>
      </c>
      <c r="H5" s="2255"/>
      <c r="I5" s="2255"/>
      <c r="J5" s="2255"/>
      <c r="K5" s="2255"/>
      <c r="L5" s="2255"/>
      <c r="M5" s="2255"/>
      <c r="N5" s="2255"/>
      <c r="O5" s="2255"/>
      <c r="P5" s="2255"/>
      <c r="Q5" s="2255"/>
      <c r="R5" s="2255"/>
    </row>
    <row r="6" spans="1:29" ht="94.5">
      <c r="A6" s="1028"/>
      <c r="B6" s="2211" t="s">
        <v>72</v>
      </c>
      <c r="C6" s="3292" t="s">
        <v>3167</v>
      </c>
      <c r="D6" s="2256"/>
      <c r="E6" s="1213"/>
      <c r="F6" s="2744" t="s">
        <v>2628</v>
      </c>
      <c r="G6" s="3292" t="s">
        <v>2630</v>
      </c>
      <c r="H6" s="2255"/>
      <c r="I6" s="2255"/>
      <c r="J6" s="2255"/>
      <c r="K6" s="2255"/>
      <c r="L6" s="2255"/>
      <c r="M6" s="2255"/>
      <c r="N6" s="2255"/>
      <c r="O6" s="2255"/>
      <c r="P6" s="2255"/>
      <c r="Q6" s="2255"/>
      <c r="R6" s="2255"/>
    </row>
    <row r="7" spans="1:29" ht="122.25" thickBot="1">
      <c r="A7" s="1028"/>
      <c r="B7" s="2211" t="s">
        <v>2629</v>
      </c>
      <c r="C7" s="3292" t="s">
        <v>3168</v>
      </c>
      <c r="D7" s="2257"/>
      <c r="E7" s="1214"/>
      <c r="F7" s="1215" t="s">
        <v>736</v>
      </c>
      <c r="G7" s="3295" t="s">
        <v>3012</v>
      </c>
      <c r="H7" s="2255"/>
      <c r="I7" s="2255"/>
      <c r="J7" s="2255"/>
      <c r="K7" s="2255"/>
      <c r="L7" s="2255"/>
      <c r="M7" s="2255"/>
      <c r="N7" s="2255"/>
      <c r="O7" s="2255"/>
      <c r="P7" s="2255"/>
      <c r="Q7" s="2255"/>
      <c r="R7" s="2255"/>
    </row>
    <row r="8" spans="1:29" ht="27">
      <c r="A8" s="1028"/>
      <c r="B8" s="2744" t="s">
        <v>2628</v>
      </c>
      <c r="C8" s="3292" t="s">
        <v>3169</v>
      </c>
      <c r="D8" s="2257"/>
      <c r="E8" s="2257"/>
      <c r="F8" s="2258"/>
      <c r="G8" s="2258"/>
      <c r="H8" s="2255"/>
      <c r="I8" s="2255"/>
      <c r="J8" s="2255"/>
      <c r="K8" s="2255"/>
      <c r="L8" s="2255"/>
      <c r="M8" s="2255"/>
      <c r="N8" s="2255"/>
      <c r="O8" s="2255"/>
      <c r="P8" s="2255"/>
      <c r="Q8" s="2255"/>
      <c r="R8" s="2255"/>
    </row>
    <row r="9" spans="1:29" ht="94.5">
      <c r="A9" s="1028"/>
      <c r="B9" s="2211" t="s">
        <v>73</v>
      </c>
      <c r="C9" s="3291" t="s">
        <v>3170</v>
      </c>
      <c r="D9" s="2256"/>
      <c r="E9" s="2257"/>
      <c r="F9" s="2258"/>
      <c r="G9" s="2258"/>
      <c r="H9" s="2255"/>
      <c r="I9" s="2255"/>
      <c r="J9" s="2255"/>
      <c r="K9" s="2255"/>
      <c r="L9" s="2255"/>
      <c r="M9" s="2255"/>
      <c r="N9" s="2255"/>
      <c r="O9" s="2255"/>
      <c r="P9" s="2255"/>
      <c r="Q9" s="2255"/>
      <c r="R9" s="2255"/>
    </row>
    <row r="10" spans="1:29" s="40" customFormat="1" ht="14.25" thickBot="1">
      <c r="A10" s="1217"/>
      <c r="B10" s="1218" t="s">
        <v>737</v>
      </c>
      <c r="C10" s="3293" t="s">
        <v>3177</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738</v>
      </c>
      <c r="B13" s="2742"/>
      <c r="C13" s="2742"/>
      <c r="D13" s="2254"/>
      <c r="E13" s="2742"/>
      <c r="F13" s="2742"/>
      <c r="G13" s="2742"/>
    </row>
    <row r="14" spans="1:29" ht="14.25" thickBot="1">
      <c r="A14" s="1219"/>
      <c r="B14" s="1220"/>
      <c r="C14" s="1221" t="s">
        <v>739</v>
      </c>
      <c r="D14" s="2256"/>
      <c r="E14" s="1222"/>
      <c r="F14" s="1222"/>
      <c r="G14" s="1209" t="s">
        <v>740</v>
      </c>
    </row>
    <row r="15" spans="1:29" ht="40.5">
      <c r="A15" s="46" t="s">
        <v>741</v>
      </c>
      <c r="B15" s="14" t="s">
        <v>52</v>
      </c>
      <c r="C15" s="1223">
        <f>C3</f>
        <v>0</v>
      </c>
      <c r="D15" s="2256"/>
      <c r="E15" s="2757" t="s">
        <v>742</v>
      </c>
      <c r="F15" s="14" t="s">
        <v>743</v>
      </c>
      <c r="G15" s="1021" t="str">
        <f>G3</f>
        <v>估价对象位于XX开发区，园区建设成熟度XX，产业集聚程度XX</v>
      </c>
    </row>
    <row r="16" spans="1:29" ht="40.5">
      <c r="A16" s="2760"/>
      <c r="B16" s="1224" t="s">
        <v>744</v>
      </c>
      <c r="C16" s="1225">
        <f>C4</f>
        <v>0</v>
      </c>
      <c r="D16" s="2256"/>
      <c r="E16" s="2758"/>
      <c r="F16" s="1226" t="s">
        <v>745</v>
      </c>
      <c r="G16" s="1023" t="str">
        <f>G4</f>
        <v>估价对象周边道路状况、公共交通通达情况、停车便捷程度，综合评价交通便捷度较好</v>
      </c>
    </row>
    <row r="17" spans="1:18" ht="81">
      <c r="A17" s="2760"/>
      <c r="B17" s="1224" t="s">
        <v>746</v>
      </c>
      <c r="C17" s="1225" t="str">
        <f>C5</f>
        <v>估价对象位于怀柔区杨宋镇，目前投用项目有中影基地、星美影视城、百汇演艺学校等类似用房以及相关行业酒店等配套设施，产业聚集度较好</v>
      </c>
      <c r="D17" s="2257"/>
      <c r="E17" s="2758"/>
      <c r="F17" s="1226" t="s">
        <v>747</v>
      </c>
      <c r="G17" s="271"/>
    </row>
    <row r="18" spans="1:18" ht="94.5">
      <c r="A18" s="2760"/>
      <c r="B18" s="1226" t="s">
        <v>72</v>
      </c>
      <c r="C18" s="1023" t="str">
        <f>C6</f>
        <v>估价对象紧邻城市次干道——怀耿路，半径1公里内有866、H07、H09、H44路等公交线路，周边有怀耿路、杨雁路两条城市次干道，西北距离怀柔火车站4公里，交通便捷度较差</v>
      </c>
      <c r="D18" s="2257"/>
      <c r="E18" s="2758"/>
      <c r="F18" s="1226" t="s">
        <v>736</v>
      </c>
      <c r="G18" s="1023" t="str">
        <f>G7</f>
        <v>该园区内是否有污染型企业，绿化情况，卫生条件，整体环境状况判断</v>
      </c>
    </row>
    <row r="19" spans="1:18" ht="27">
      <c r="A19" s="2760"/>
      <c r="B19" s="1226" t="s">
        <v>91</v>
      </c>
      <c r="C19" s="271" t="s">
        <v>3172</v>
      </c>
      <c r="D19" s="2256"/>
      <c r="E19" s="2758"/>
      <c r="F19" s="2744" t="s">
        <v>2629</v>
      </c>
      <c r="G19" s="1023" t="str">
        <f>G5</f>
        <v>估价对象所在区域公共配套设施齐备情况</v>
      </c>
    </row>
    <row r="20" spans="1:18" ht="94.5">
      <c r="A20" s="2760"/>
      <c r="B20" s="1226" t="s">
        <v>90</v>
      </c>
      <c r="C20" s="1225" t="str">
        <f>C9</f>
        <v>周边约1公里范围内有北京影视研修学院、北京怀柔中视腾飞影视培训学校等演艺教育学校，人文环境一般；周边有约1公里有栖河，自然环境一般。综合评价自然与人文环境一般</v>
      </c>
      <c r="D20" s="2257"/>
      <c r="E20" s="2758"/>
      <c r="F20" s="2744" t="s">
        <v>2628</v>
      </c>
      <c r="G20" s="1023" t="str">
        <f>G6</f>
        <v>估价对象所在区域基础设施水平</v>
      </c>
    </row>
    <row r="21" spans="1:18" ht="121.5">
      <c r="A21" s="2760"/>
      <c r="B21" s="2744" t="s">
        <v>2629</v>
      </c>
      <c r="C21" s="1023" t="str">
        <f>C7</f>
        <v>周边2公里内的公共服务配套设施情况一般，无大型购物场所、医院（怀柔区杨宋镇卫生院）、银行（中国邮政储蓄银行）、学校（北京影视研修学院、北京怀柔中视腾飞影视培训学校）、餐饮等公共服务配套设施。</v>
      </c>
      <c r="D21" s="2256"/>
      <c r="E21" s="2758"/>
      <c r="F21" s="1226" t="s">
        <v>89</v>
      </c>
      <c r="G21" s="283"/>
    </row>
    <row r="22" spans="1:18" ht="13.5" customHeight="1">
      <c r="A22" s="2760"/>
      <c r="B22" s="2744" t="s">
        <v>2628</v>
      </c>
      <c r="C22" s="1023" t="str">
        <f>C8</f>
        <v>估价对象所在区域基础设施水平达到七通</v>
      </c>
      <c r="D22" s="2256"/>
      <c r="E22" s="2758"/>
      <c r="F22" s="1226" t="s">
        <v>748</v>
      </c>
      <c r="G22" s="271"/>
    </row>
    <row r="23" spans="1:18" s="2255" customFormat="1" ht="14.25" thickBot="1">
      <c r="A23" s="2760"/>
      <c r="B23" s="1226" t="s">
        <v>89</v>
      </c>
      <c r="C23" s="283" t="s">
        <v>3173</v>
      </c>
      <c r="D23" s="2268"/>
      <c r="E23" s="2759"/>
      <c r="F23" s="1227" t="s">
        <v>749</v>
      </c>
      <c r="G23" s="284"/>
      <c r="H23" s="2268"/>
      <c r="I23" s="2269"/>
      <c r="J23" s="2268"/>
      <c r="K23" s="2268"/>
      <c r="L23" s="2269"/>
      <c r="M23" s="2268"/>
      <c r="N23" s="2268"/>
      <c r="O23" s="2269"/>
      <c r="P23" s="2268"/>
      <c r="Q23" s="2268"/>
      <c r="R23" s="2270"/>
    </row>
    <row r="24" spans="1:18" s="2255" customFormat="1" ht="14.25" thickBot="1">
      <c r="A24" s="2761"/>
      <c r="B24" s="1227" t="s">
        <v>88</v>
      </c>
      <c r="C24" s="1228" t="str">
        <f>C10</f>
        <v>城市主干道-怀耿路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D12" sqref="D12"/>
    </sheetView>
  </sheetViews>
  <sheetFormatPr defaultRowHeight="13.5"/>
  <cols>
    <col min="1" max="1" width="23.375" style="3249" customWidth="1"/>
    <col min="2" max="9" width="15.75" style="3249" customWidth="1"/>
    <col min="10" max="16384" width="9" style="3249"/>
  </cols>
  <sheetData>
    <row r="1" spans="1:10" ht="16.5">
      <c r="A1" s="3254" t="s">
        <v>2981</v>
      </c>
      <c r="B1" s="3254">
        <f>SUM(B14:B23)</f>
        <v>60093.000000000015</v>
      </c>
      <c r="C1" s="3253"/>
      <c r="D1" s="3253"/>
      <c r="E1" s="3253"/>
      <c r="F1" s="3253"/>
      <c r="G1" s="3251"/>
    </row>
    <row r="2" spans="1:10" ht="16.5">
      <c r="A2" s="3254" t="s">
        <v>2969</v>
      </c>
      <c r="B2" s="3254">
        <f>SUM(C14:C23)</f>
        <v>175106.84</v>
      </c>
      <c r="C2" s="3253"/>
      <c r="D2" s="3253"/>
      <c r="E2" s="3253"/>
      <c r="F2" s="3253"/>
      <c r="G2" s="3251"/>
    </row>
    <row r="3" spans="1:10" ht="16.5">
      <c r="A3" s="3254" t="s">
        <v>2978</v>
      </c>
      <c r="B3" s="3255">
        <f>项目基本情况!D3</f>
        <v>42986</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102549</v>
      </c>
      <c r="C5" s="3254">
        <f ca="1">ROUND(B5*10000/$B$1,0)</f>
        <v>17065</v>
      </c>
      <c r="D5" s="3254">
        <f ca="1">ROUND(B5*10000/$B$2,0)</f>
        <v>5856</v>
      </c>
      <c r="E5" s="3253"/>
      <c r="F5" s="3251"/>
      <c r="G5" s="3251"/>
    </row>
    <row r="6" spans="1:10" ht="16.5">
      <c r="A6" s="3254" t="s">
        <v>2972</v>
      </c>
      <c r="B6" s="3254">
        <f ca="1">SUM(G14:G23)</f>
        <v>102549</v>
      </c>
      <c r="C6" s="3254">
        <f ca="1">ROUND(B6*10000/$B$1,0)</f>
        <v>17065</v>
      </c>
      <c r="D6" s="3254">
        <f ca="1">ROUND(B6*10000/$B$2,0)</f>
        <v>5856</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28973.439999999999</v>
      </c>
      <c r="C14" s="3252">
        <f>'数据-汇总表'!D3</f>
        <v>92783.56</v>
      </c>
      <c r="D14" s="3252">
        <f ca="1">结果表!H118</f>
        <v>71292</v>
      </c>
      <c r="E14" s="3252">
        <f ca="1">ROUND(D14*10000/B14,0)</f>
        <v>24606</v>
      </c>
      <c r="F14" s="3252">
        <f ca="1">ROUND(D14*10000/C14,0)</f>
        <v>7684</v>
      </c>
      <c r="G14" s="3252">
        <f ca="1">结果表!D122</f>
        <v>71292</v>
      </c>
      <c r="H14" s="3252" t="str">
        <f>结果表!D124</f>
        <v>——</v>
      </c>
      <c r="I14" s="3252" t="str">
        <f>结果表!D126</f>
        <v>——</v>
      </c>
      <c r="J14" s="3251"/>
    </row>
    <row r="15" spans="1:10" ht="16.5">
      <c r="A15" s="3250" t="s">
        <v>2965</v>
      </c>
      <c r="B15" s="3257">
        <f>'[1]数据-基础表'!$B$3</f>
        <v>12736.12000000001</v>
      </c>
      <c r="C15" s="3257">
        <f>'[1]数据-基础表'!$A$3</f>
        <v>82323.28</v>
      </c>
      <c r="D15" s="3257">
        <f ca="1">[1]结果表!$G$19</f>
        <v>31257</v>
      </c>
      <c r="E15" s="3252">
        <f t="shared" ref="E15:E23" ca="1" si="0">ROUND(D15*10000/B15,0)</f>
        <v>24542</v>
      </c>
      <c r="F15" s="3252">
        <f t="shared" ref="F15:F23" ca="1" si="1">ROUND(D15*10000/C15,0)</f>
        <v>3797</v>
      </c>
      <c r="G15" s="3258">
        <f ca="1">[1]结果表!$H$107</f>
        <v>31257</v>
      </c>
      <c r="H15" s="3258"/>
      <c r="I15" s="3257"/>
      <c r="J15" s="3251"/>
    </row>
    <row r="16" spans="1:10" ht="16.5">
      <c r="A16" s="3250" t="s">
        <v>2964</v>
      </c>
      <c r="B16" s="3257">
        <f>B14-'数据-基础表'!I14</f>
        <v>18383.439999999999</v>
      </c>
      <c r="C16" s="3257"/>
      <c r="D16" s="3257"/>
      <c r="E16" s="3252">
        <f t="shared" si="0"/>
        <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88" zoomScaleSheetLayoutView="100" zoomScalePageLayoutView="80" workbookViewId="0">
      <selection activeCell="I118" sqref="I11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3163</v>
      </c>
      <c r="D1" s="1241"/>
      <c r="E1" s="1241"/>
      <c r="F1" s="2081" t="s">
        <v>2105</v>
      </c>
      <c r="G1" s="2054" t="s">
        <v>3130</v>
      </c>
      <c r="H1" s="2110" t="str">
        <f>IF(G1="现房","——","估价对象范围")</f>
        <v>——</v>
      </c>
      <c r="I1" s="2087" t="s">
        <v>3182</v>
      </c>
    </row>
    <row r="2" spans="1:12" ht="21.75" customHeight="1" thickBot="1">
      <c r="A2" s="3556" t="str">
        <f>项目基本情况!S2</f>
        <v>北京市怀柔区杨宋镇凤翔二园1号1-7幢房地产</v>
      </c>
      <c r="B2" s="3557"/>
      <c r="C2" s="3557"/>
      <c r="D2" s="3557"/>
      <c r="E2" s="3557"/>
      <c r="F2" s="3557"/>
      <c r="G2" s="3557"/>
      <c r="H2" s="3557"/>
      <c r="I2" s="3558"/>
    </row>
    <row r="3" spans="1:12" ht="12">
      <c r="A3" s="3560" t="s">
        <v>10</v>
      </c>
      <c r="B3" s="3561"/>
      <c r="C3" s="3561"/>
      <c r="D3" s="3561"/>
      <c r="E3" s="3561"/>
      <c r="F3" s="3561"/>
      <c r="G3" s="3561"/>
      <c r="H3" s="3561"/>
      <c r="I3" s="3561"/>
    </row>
    <row r="4" spans="1:12" ht="13.5">
      <c r="A4" s="428" t="s">
        <v>11</v>
      </c>
      <c r="B4" s="429" t="s">
        <v>12</v>
      </c>
      <c r="C4" s="430" t="s">
        <v>3183</v>
      </c>
      <c r="D4" s="430" t="s">
        <v>3160</v>
      </c>
      <c r="E4" s="3562" t="s">
        <v>759</v>
      </c>
      <c r="F4" s="3563"/>
      <c r="G4" s="3563"/>
      <c r="H4" s="3563"/>
      <c r="I4" s="3564"/>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35" t="s">
        <v>13</v>
      </c>
      <c r="B5" s="3522">
        <v>25</v>
      </c>
      <c r="C5" s="3538"/>
      <c r="D5" s="3559"/>
      <c r="E5" s="470" t="s">
        <v>803</v>
      </c>
      <c r="F5" s="431"/>
      <c r="G5" s="431"/>
      <c r="H5" s="431"/>
      <c r="I5" s="432"/>
    </row>
    <row r="6" spans="1:12" ht="12.75">
      <c r="A6" s="3535"/>
      <c r="B6" s="3522"/>
      <c r="C6" s="3539"/>
      <c r="D6" s="3559"/>
      <c r="E6" s="470" t="s">
        <v>804</v>
      </c>
      <c r="F6" s="431"/>
      <c r="G6" s="431"/>
      <c r="H6" s="431"/>
      <c r="I6" s="432"/>
    </row>
    <row r="7" spans="1:12" ht="12.75">
      <c r="A7" s="3535"/>
      <c r="B7" s="3522"/>
      <c r="C7" s="3540"/>
      <c r="D7" s="3559"/>
      <c r="E7" s="470" t="s">
        <v>805</v>
      </c>
      <c r="F7" s="431"/>
      <c r="G7" s="431"/>
      <c r="H7" s="431"/>
      <c r="I7" s="432"/>
    </row>
    <row r="8" spans="1:12" ht="12.75">
      <c r="A8" s="3535" t="s">
        <v>14</v>
      </c>
      <c r="B8" s="3522">
        <v>15</v>
      </c>
      <c r="C8" s="3538"/>
      <c r="D8" s="3559"/>
      <c r="E8" s="470" t="s">
        <v>806</v>
      </c>
      <c r="F8" s="431"/>
      <c r="G8" s="431"/>
      <c r="H8" s="431"/>
      <c r="I8" s="432"/>
    </row>
    <row r="9" spans="1:12" ht="12.75">
      <c r="A9" s="3535"/>
      <c r="B9" s="3522"/>
      <c r="C9" s="3540"/>
      <c r="D9" s="3559"/>
      <c r="E9" s="470" t="s">
        <v>807</v>
      </c>
      <c r="F9" s="431"/>
      <c r="G9" s="431"/>
      <c r="H9" s="431"/>
      <c r="I9" s="432"/>
    </row>
    <row r="10" spans="1:12" ht="12.75">
      <c r="A10" s="3535" t="s">
        <v>15</v>
      </c>
      <c r="B10" s="3522">
        <v>15</v>
      </c>
      <c r="C10" s="3538"/>
      <c r="D10" s="3559"/>
      <c r="E10" s="470" t="s">
        <v>808</v>
      </c>
      <c r="F10" s="431"/>
      <c r="G10" s="431"/>
      <c r="H10" s="431"/>
      <c r="I10" s="432"/>
    </row>
    <row r="11" spans="1:12" ht="12.75">
      <c r="A11" s="3535"/>
      <c r="B11" s="3522"/>
      <c r="C11" s="3540"/>
      <c r="D11" s="3559"/>
      <c r="E11" s="470" t="s">
        <v>809</v>
      </c>
      <c r="F11" s="431"/>
      <c r="G11" s="431"/>
      <c r="H11" s="431"/>
      <c r="I11" s="432"/>
    </row>
    <row r="12" spans="1:12" ht="12.75">
      <c r="A12" s="3535" t="s">
        <v>16</v>
      </c>
      <c r="B12" s="3522">
        <v>15</v>
      </c>
      <c r="C12" s="3538"/>
      <c r="D12" s="3559"/>
      <c r="E12" s="470" t="s">
        <v>810</v>
      </c>
      <c r="F12" s="431"/>
      <c r="G12" s="431"/>
      <c r="H12" s="431"/>
      <c r="I12" s="432"/>
    </row>
    <row r="13" spans="1:12" ht="12.75">
      <c r="A13" s="3535"/>
      <c r="B13" s="3522"/>
      <c r="C13" s="3540"/>
      <c r="D13" s="3559"/>
      <c r="E13" s="470" t="s">
        <v>811</v>
      </c>
      <c r="F13" s="431"/>
      <c r="G13" s="431"/>
      <c r="H13" s="431"/>
      <c r="I13" s="432"/>
    </row>
    <row r="14" spans="1:12" ht="12.75">
      <c r="A14" s="3535" t="s">
        <v>17</v>
      </c>
      <c r="B14" s="3522">
        <v>30</v>
      </c>
      <c r="C14" s="3538">
        <v>4</v>
      </c>
      <c r="D14" s="3559">
        <v>6</v>
      </c>
      <c r="E14" s="470" t="s">
        <v>812</v>
      </c>
      <c r="F14" s="431"/>
      <c r="G14" s="431"/>
      <c r="H14" s="431"/>
      <c r="I14" s="432"/>
    </row>
    <row r="15" spans="1:12" ht="12.75">
      <c r="A15" s="3535"/>
      <c r="B15" s="3522"/>
      <c r="C15" s="3539"/>
      <c r="D15" s="3559"/>
      <c r="E15" s="470" t="s">
        <v>813</v>
      </c>
      <c r="F15" s="431"/>
      <c r="G15" s="431"/>
      <c r="H15" s="431"/>
      <c r="I15" s="432"/>
    </row>
    <row r="16" spans="1:12" ht="12.75">
      <c r="A16" s="3535"/>
      <c r="B16" s="3522"/>
      <c r="C16" s="3540"/>
      <c r="D16" s="3559"/>
      <c r="E16" s="470" t="s">
        <v>814</v>
      </c>
      <c r="F16" s="431"/>
      <c r="G16" s="431"/>
      <c r="H16" s="431"/>
      <c r="I16" s="432"/>
    </row>
    <row r="17" spans="1:35" ht="14.25">
      <c r="A17" s="433" t="s">
        <v>18</v>
      </c>
      <c r="B17" s="38"/>
      <c r="C17" s="471">
        <f>SUM(C5:C16)</f>
        <v>4</v>
      </c>
      <c r="D17" s="471">
        <f>SUM(D5:D16)</f>
        <v>6</v>
      </c>
      <c r="E17" s="2276"/>
      <c r="F17" s="2276"/>
      <c r="G17" s="2276"/>
      <c r="H17" s="2276"/>
      <c r="I17" s="2276"/>
      <c r="K17" s="2183"/>
      <c r="L17" s="2184" t="s">
        <v>2313</v>
      </c>
      <c r="M17" s="2184" t="s">
        <v>2314</v>
      </c>
    </row>
    <row r="18" spans="1:35" ht="15" thickBot="1">
      <c r="A18" s="434" t="s">
        <v>19</v>
      </c>
      <c r="B18" s="18"/>
      <c r="C18" s="472">
        <f>ROUND(C17/SUM(C17:D17),2)</f>
        <v>0.4</v>
      </c>
      <c r="D18" s="472">
        <f>1-C18</f>
        <v>0.6</v>
      </c>
      <c r="E18" s="2276"/>
      <c r="F18" s="2276"/>
      <c r="G18" s="2276"/>
      <c r="H18" s="2276"/>
      <c r="I18" s="2276"/>
      <c r="K18" s="2183" t="s">
        <v>2127</v>
      </c>
      <c r="L18" s="2183">
        <f>IF(C1="",'数据-汇总表'!E3,SUMIF(项目类型,C1,'数据-汇总表'!E17:E26)+SUMIF(项目类型,C1,'数据-汇总表'!I17:I26))</f>
        <v>28973.439999999999</v>
      </c>
      <c r="M18" s="2183">
        <f>IF(C1="",'数据-汇总表'!E3,SUMIF(项目类型,C1,'数据-汇总表'!E17:E26))</f>
        <v>28973.439999999999</v>
      </c>
    </row>
    <row r="19" spans="1:35" ht="14.25">
      <c r="A19" s="435" t="s">
        <v>179</v>
      </c>
      <c r="B19" s="436" t="s">
        <v>20</v>
      </c>
      <c r="C19" s="473">
        <f ca="1">SUMIF(INDIRECT("'"&amp;C4&amp;"'"&amp;"!A:A"),结果表!B19,INDIRECT("'"&amp;C4&amp;"'"&amp;"!B:B"))</f>
        <v>68309</v>
      </c>
      <c r="D19" s="474">
        <f ca="1">SUMIF(INDIRECT("'"&amp;D4&amp;"'"&amp;"!A:A"),结果表!B19,INDIRECT("'"&amp;D4&amp;"'"&amp;"!B:B"))</f>
        <v>73280</v>
      </c>
      <c r="E19" s="435" t="s">
        <v>178</v>
      </c>
      <c r="F19" s="436" t="s">
        <v>20</v>
      </c>
      <c r="G19" s="475">
        <f ca="1">ROUND(C19*$C$18+D19*$D$18,0)</f>
        <v>71292</v>
      </c>
      <c r="H19" s="437" t="s">
        <v>227</v>
      </c>
      <c r="I19" s="2276"/>
      <c r="J19" s="1444">
        <f ca="1">G19+[1]结果表!$G$19</f>
        <v>102549</v>
      </c>
      <c r="K19" s="2183" t="s">
        <v>2128</v>
      </c>
      <c r="L19" s="2183">
        <f>IF(C1="",'数据-汇总表'!D3,SUMIF(项目类型,C1,'数据-汇总表'!D17:D26)+SUMIF(项目类型,C1,'数据-汇总表'!H17:H27))</f>
        <v>92783.56</v>
      </c>
      <c r="M19" s="2183">
        <f>IF(C1="",'数据-汇总表'!D3,SUMIF(项目类型,C1,'数据-汇总表'!D17:D26))</f>
        <v>92783.56</v>
      </c>
    </row>
    <row r="20" spans="1:35" ht="14.25">
      <c r="A20" s="438"/>
      <c r="B20" s="439" t="s">
        <v>21</v>
      </c>
      <c r="C20" s="476">
        <f ca="1">SUMIF(INDIRECT("'"&amp;C4&amp;"'"&amp;"!A:A"),结果表!B20,INDIRECT("'"&amp;C4&amp;"'"&amp;"!B:B"))</f>
        <v>23576</v>
      </c>
      <c r="D20" s="477">
        <f ca="1">SUMIF(INDIRECT("'"&amp;D4&amp;"'"&amp;"!A:A"),结果表!B20,INDIRECT("'"&amp;D4&amp;"'"&amp;"!B:B"))</f>
        <v>25292</v>
      </c>
      <c r="E20" s="438"/>
      <c r="F20" s="439" t="s">
        <v>21</v>
      </c>
      <c r="G20" s="478">
        <f ca="1">ROUND(C20*$C$18+D20*$D$18,0)</f>
        <v>24606</v>
      </c>
      <c r="H20" s="440" t="s">
        <v>226</v>
      </c>
      <c r="I20" s="2276"/>
    </row>
    <row r="21" spans="1:35" ht="15" customHeight="1" thickBot="1">
      <c r="A21" s="442"/>
      <c r="B21" s="443" t="s">
        <v>22</v>
      </c>
      <c r="C21" s="1420">
        <f ca="1">ROUND(C19*10000/L19,0)</f>
        <v>7362</v>
      </c>
      <c r="D21" s="1421">
        <f ca="1">ROUND(D19*10000/L19,0)</f>
        <v>7898</v>
      </c>
      <c r="E21" s="442"/>
      <c r="F21" s="443" t="s">
        <v>22</v>
      </c>
      <c r="G21" s="479">
        <f ca="1">ROUND(G19*10000/L19,0)</f>
        <v>7684</v>
      </c>
      <c r="H21" s="444" t="s">
        <v>226</v>
      </c>
      <c r="I21" s="2276"/>
    </row>
    <row r="22" spans="1:35" ht="15" thickBot="1">
      <c r="A22" s="275" t="s">
        <v>180</v>
      </c>
      <c r="B22" s="1422"/>
      <c r="C22" s="1423"/>
      <c r="D22" s="1424">
        <f ca="1">IF(C19&lt;D19,D19/C19-1,C19/D19-1)</f>
        <v>7.277225548609989E-2</v>
      </c>
      <c r="E22" s="2276"/>
      <c r="F22" s="2276"/>
      <c r="G22" s="2276"/>
      <c r="H22" s="2276"/>
      <c r="I22" s="2276"/>
    </row>
    <row r="23" spans="1:35" ht="12.75" thickBot="1">
      <c r="A23" s="1241"/>
      <c r="B23" s="1241"/>
      <c r="C23" s="1241"/>
      <c r="D23" s="1241"/>
      <c r="E23" s="2276"/>
      <c r="F23" s="2276"/>
      <c r="G23" s="2276"/>
      <c r="H23" s="2276"/>
      <c r="I23" s="2276"/>
    </row>
    <row r="24" spans="1:35" ht="14.25">
      <c r="A24" s="3529" t="s">
        <v>176</v>
      </c>
      <c r="B24" s="436" t="s">
        <v>20</v>
      </c>
      <c r="C24" s="475">
        <f>IF(B30=0,0,D30)</f>
        <v>0</v>
      </c>
      <c r="D24" s="445"/>
      <c r="E24" s="2276"/>
      <c r="F24" s="2276"/>
      <c r="G24" s="2276"/>
      <c r="H24" s="2276"/>
      <c r="I24" s="2276"/>
    </row>
    <row r="25" spans="1:35" ht="14.25">
      <c r="A25" s="3530"/>
      <c r="B25" s="439" t="s">
        <v>21</v>
      </c>
      <c r="C25" s="480">
        <f>IF(B30=0,0,C30)</f>
        <v>0</v>
      </c>
      <c r="D25" s="446"/>
      <c r="E25" s="2276"/>
      <c r="F25" s="2276"/>
      <c r="G25" s="2276"/>
      <c r="H25" s="2276"/>
      <c r="I25" s="2276"/>
      <c r="K25" s="1444">
        <f ca="1">G19+[1]结果表!$G$19</f>
        <v>102549</v>
      </c>
    </row>
    <row r="26" spans="1:35" ht="13.5" customHeight="1">
      <c r="A26" s="447" t="s">
        <v>177</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175</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71292</v>
      </c>
      <c r="D32" s="2091" t="s">
        <v>209</v>
      </c>
      <c r="E32" s="2276"/>
      <c r="F32" s="2276"/>
      <c r="G32" s="2276"/>
      <c r="H32" s="2276"/>
      <c r="I32" s="2276"/>
    </row>
    <row r="33" spans="1:15" ht="13.5">
      <c r="A33" s="456" t="s">
        <v>760</v>
      </c>
      <c r="B33" s="2090"/>
      <c r="C33" s="2873" t="s">
        <v>3187</v>
      </c>
      <c r="D33" s="2876" t="s">
        <v>3183</v>
      </c>
      <c r="E33" s="2088" t="s">
        <v>2107</v>
      </c>
      <c r="F33" s="2089" t="str">
        <f>IF(D32="楼面单价","取值（单价）","取值（总价）")</f>
        <v>取值（总价）</v>
      </c>
      <c r="G33" s="2276"/>
      <c r="H33" s="2276"/>
      <c r="I33" s="2276"/>
    </row>
    <row r="34" spans="1:15" ht="15">
      <c r="A34" s="457"/>
      <c r="B34" s="458" t="s">
        <v>763</v>
      </c>
      <c r="C34" s="488">
        <f ca="1">IF(C33="自定义",F34,C32-C35)</f>
        <v>63093</v>
      </c>
      <c r="D34" s="2092">
        <f ca="1">IF(C33="自定义",ROUND(C34/C32,3),IF(C33="收益比率",SUMIF(INDIRECT("'"&amp;D33&amp;"'"&amp;"!b:b"),"土地收益比率",INDIRECT("'"&amp;D33&amp;"'"&amp;"!c:c")),SUMIF(INDIRECT("'"&amp;D33&amp;"'"&amp;"!b:b"),"土地成本比率",INDIRECT("'"&amp;D33&amp;"'"&amp;"!c:c"))))</f>
        <v>0.88500000000000001</v>
      </c>
      <c r="E34" s="2874" t="s">
        <v>2108</v>
      </c>
      <c r="F34" s="3247"/>
      <c r="G34" s="2276"/>
      <c r="H34" s="2276"/>
      <c r="I34" s="2276"/>
    </row>
    <row r="35" spans="1:15" ht="15.75" thickBot="1">
      <c r="A35" s="460"/>
      <c r="B35" s="2877" t="s">
        <v>765</v>
      </c>
      <c r="C35" s="2878">
        <f ca="1">IF(C33="自定义",F35,ROUND(C32*D35,0))</f>
        <v>8199</v>
      </c>
      <c r="D35" s="2879">
        <f ca="1">IF(C33="自定义",ROUND(C35/C32,3),IF(C33="收益比率",SUMIF(INDIRECT("'"&amp;D33&amp;"'"&amp;"!b:b"),"建筑物收益比率",INDIRECT("'"&amp;D33&amp;"'"&amp;"!c:c")),SUMIF(INDIRECT("'"&amp;D33&amp;"'"&amp;"!b:b"),"建筑物成本比率",INDIRECT("'"&amp;D33&amp;"'"&amp;"!c:c"))))</f>
        <v>0.115</v>
      </c>
      <c r="E35" s="2875" t="s">
        <v>2109</v>
      </c>
      <c r="F35" s="494"/>
      <c r="G35" s="2276"/>
      <c r="H35" s="2276"/>
      <c r="I35" s="2276"/>
    </row>
    <row r="36" spans="1:15" ht="15.75" thickBot="1">
      <c r="A36" s="3548" t="s">
        <v>761</v>
      </c>
      <c r="B36" s="454" t="s">
        <v>762</v>
      </c>
      <c r="C36" s="485"/>
      <c r="D36" s="455"/>
      <c r="E36" s="1244"/>
      <c r="F36" s="2277"/>
      <c r="G36" s="2276"/>
      <c r="H36" s="2276"/>
      <c r="I36" s="2276"/>
    </row>
    <row r="37" spans="1:15" ht="15.75" thickBot="1">
      <c r="A37" s="3549"/>
      <c r="B37" s="13" t="s">
        <v>764</v>
      </c>
      <c r="C37" s="487"/>
      <c r="D37" s="2225"/>
      <c r="E37" s="2225"/>
      <c r="F37" s="2277"/>
      <c r="G37" s="2276"/>
      <c r="H37" s="2276"/>
      <c r="I37" s="2276"/>
    </row>
    <row r="38" spans="1:15" ht="15.75" thickBot="1">
      <c r="A38" s="3550"/>
      <c r="B38" s="459" t="s">
        <v>766</v>
      </c>
      <c r="C38" s="1135"/>
      <c r="D38" s="1245" t="s">
        <v>767</v>
      </c>
      <c r="E38" s="2225"/>
      <c r="F38" s="2277"/>
      <c r="G38" s="2276"/>
      <c r="H38" s="2276"/>
      <c r="I38" s="2276"/>
    </row>
    <row r="39" spans="1:15" ht="13.5">
      <c r="A39" s="438" t="s">
        <v>768</v>
      </c>
      <c r="B39" s="461" t="s">
        <v>769</v>
      </c>
      <c r="C39" s="462" t="s">
        <v>770</v>
      </c>
      <c r="D39" s="462" t="s">
        <v>771</v>
      </c>
      <c r="E39" s="463" t="s">
        <v>772</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4" t="s">
        <v>213</v>
      </c>
      <c r="K44" s="3265"/>
      <c r="L44" s="3265"/>
      <c r="M44" s="3265"/>
      <c r="N44" s="3265"/>
      <c r="O44" s="3265"/>
    </row>
    <row r="45" spans="1:15" ht="14.25" customHeight="1" thickBot="1">
      <c r="A45" s="3526" t="s">
        <v>795</v>
      </c>
      <c r="B45" s="3527"/>
      <c r="C45" s="3528"/>
      <c r="D45" s="495">
        <f ca="1">ROUND(H101*F45,0)</f>
        <v>71292</v>
      </c>
      <c r="E45" s="496" t="s">
        <v>796</v>
      </c>
      <c r="F45" s="497">
        <v>1</v>
      </c>
      <c r="G45" s="498" t="s">
        <v>797</v>
      </c>
      <c r="H45" s="2276"/>
      <c r="I45" s="2276"/>
      <c r="J45" s="3590" t="s">
        <v>214</v>
      </c>
      <c r="K45" s="3590"/>
      <c r="L45" s="3590"/>
      <c r="M45" s="3590"/>
      <c r="N45" s="3590"/>
      <c r="O45" s="3590"/>
    </row>
    <row r="46" spans="1:15" ht="14.25" customHeight="1">
      <c r="A46" s="3523" t="s">
        <v>286</v>
      </c>
      <c r="B46" s="3524"/>
      <c r="C46" s="3524"/>
      <c r="D46" s="3524"/>
      <c r="E46" s="3524"/>
      <c r="F46" s="3524"/>
      <c r="G46" s="3525"/>
      <c r="H46" s="2278"/>
      <c r="I46" s="2231"/>
      <c r="J46" s="1499">
        <v>1</v>
      </c>
      <c r="K46" s="3590" t="s">
        <v>215</v>
      </c>
      <c r="L46" s="3590"/>
      <c r="M46" s="3614"/>
      <c r="N46" s="3614"/>
      <c r="O46" s="3614"/>
    </row>
    <row r="47" spans="1:15" ht="12" customHeight="1">
      <c r="A47" s="500" t="s">
        <v>287</v>
      </c>
      <c r="B47" s="501"/>
      <c r="C47" s="502"/>
      <c r="D47" s="503" t="s">
        <v>288</v>
      </c>
      <c r="E47" s="312" t="s">
        <v>289</v>
      </c>
      <c r="F47" s="504" t="s">
        <v>798</v>
      </c>
      <c r="G47" s="505" t="s">
        <v>799</v>
      </c>
      <c r="H47" s="2278"/>
      <c r="I47" s="2231"/>
      <c r="J47" s="1499">
        <v>2</v>
      </c>
      <c r="K47" s="3590" t="s">
        <v>216</v>
      </c>
      <c r="L47" s="3590"/>
      <c r="M47" s="3615">
        <f>'数据-取费表'!B2</f>
        <v>42986</v>
      </c>
      <c r="N47" s="3615"/>
      <c r="O47" s="3615"/>
    </row>
    <row r="48" spans="1:15" ht="25.5">
      <c r="A48" s="3555" t="s">
        <v>290</v>
      </c>
      <c r="B48" s="3537"/>
      <c r="C48" s="3537"/>
      <c r="D48" s="470">
        <f>IF(H48="情况1",0,IF(H48="情况2",D52,IF(H48="情况3",D53,IF(H48="情况4",D54))))</f>
        <v>0</v>
      </c>
      <c r="E48" s="1922" t="str">
        <f>IF(H48="情况4","(销售额-原购置价)×税（费）率","销售额×税（费）率")</f>
        <v>销售额×税（费）率</v>
      </c>
      <c r="F48" s="506" t="str">
        <f>IF(H48="情况1","免征",'数据-取费表'!B41)</f>
        <v>免征</v>
      </c>
      <c r="G48" s="464" t="s">
        <v>776</v>
      </c>
      <c r="H48" s="1430" t="s">
        <v>2410</v>
      </c>
      <c r="I48" s="2278"/>
      <c r="J48" s="1499">
        <v>3</v>
      </c>
      <c r="K48" s="3590" t="s">
        <v>777</v>
      </c>
      <c r="L48" s="3590"/>
      <c r="M48" s="3616">
        <f ca="1">H101</f>
        <v>71292</v>
      </c>
      <c r="N48" s="3616"/>
      <c r="O48" s="3616"/>
    </row>
    <row r="49" spans="1:35" ht="25.5" customHeight="1">
      <c r="A49" s="507" t="s">
        <v>800</v>
      </c>
      <c r="B49" s="3521" t="s">
        <v>801</v>
      </c>
      <c r="C49" s="3521"/>
      <c r="D49" s="508">
        <v>0</v>
      </c>
      <c r="E49" s="311" t="s">
        <v>802</v>
      </c>
      <c r="F49" s="316" t="s">
        <v>170</v>
      </c>
      <c r="G49" s="3596"/>
      <c r="H49" s="2276"/>
      <c r="I49" s="2279"/>
      <c r="J49" s="1499">
        <v>4</v>
      </c>
      <c r="K49" s="3590" t="str">
        <f>IF(项目基本情况!E8="房地产抵押价值","房地产抵押价值","抵押担保权已注销时的房地产抵押价值")</f>
        <v>抵押担保权已注销时的房地产抵押价值</v>
      </c>
      <c r="L49" s="3590"/>
      <c r="M49" s="3616" t="str">
        <f>IF(项目基本情况!E8="房地产抵押价值",H107,H109)</f>
        <v>——</v>
      </c>
      <c r="N49" s="3616"/>
      <c r="O49" s="3616"/>
    </row>
    <row r="50" spans="1:35" ht="25.5" customHeight="1">
      <c r="A50" s="509"/>
      <c r="B50" s="3521" t="s">
        <v>293</v>
      </c>
      <c r="C50" s="3521"/>
      <c r="D50" s="510"/>
      <c r="E50" s="319"/>
      <c r="F50" s="511"/>
      <c r="G50" s="3597"/>
      <c r="H50" s="2276"/>
      <c r="I50" s="2279"/>
      <c r="J50" s="3590" t="s">
        <v>217</v>
      </c>
      <c r="K50" s="3590"/>
      <c r="L50" s="3590"/>
      <c r="M50" s="3590"/>
      <c r="N50" s="3590"/>
      <c r="O50" s="3590"/>
    </row>
    <row r="51" spans="1:35" ht="12" customHeight="1">
      <c r="A51" s="512"/>
      <c r="B51" s="3521" t="s">
        <v>294</v>
      </c>
      <c r="C51" s="3521"/>
      <c r="D51" s="513"/>
      <c r="E51" s="318"/>
      <c r="F51" s="511"/>
      <c r="G51" s="3598"/>
      <c r="H51" s="2276"/>
      <c r="I51" s="2279"/>
      <c r="J51" s="3266" t="s">
        <v>218</v>
      </c>
      <c r="K51" s="3590" t="s">
        <v>219</v>
      </c>
      <c r="L51" s="3590"/>
      <c r="M51" s="3266" t="s">
        <v>2994</v>
      </c>
      <c r="N51" s="3266" t="s">
        <v>220</v>
      </c>
      <c r="O51" s="3266" t="s">
        <v>221</v>
      </c>
    </row>
    <row r="52" spans="1:35" ht="24" customHeight="1">
      <c r="A52" s="514" t="s">
        <v>295</v>
      </c>
      <c r="B52" s="3521" t="s">
        <v>296</v>
      </c>
      <c r="C52" s="3521"/>
      <c r="D52" s="513">
        <f ca="1">ROUND(D45*'数据-取费表'!B41/(1+'数据-取费表'!C42),0)</f>
        <v>3734</v>
      </c>
      <c r="E52" s="299" t="s">
        <v>297</v>
      </c>
      <c r="F52" s="515">
        <f>'数据-取费表'!B41</f>
        <v>5.5000000000000007E-2</v>
      </c>
      <c r="G52" s="465"/>
      <c r="H52" s="2276"/>
      <c r="I52" s="2279"/>
      <c r="J52" s="1499">
        <v>1</v>
      </c>
      <c r="K52" s="3591" t="s">
        <v>778</v>
      </c>
      <c r="L52" s="3591"/>
      <c r="M52" s="3267">
        <f>D48</f>
        <v>0</v>
      </c>
      <c r="N52" s="1498" t="str">
        <f>E48</f>
        <v>销售额×税（费）率</v>
      </c>
      <c r="O52" s="3268" t="str">
        <f>F48</f>
        <v>免征</v>
      </c>
    </row>
    <row r="53" spans="1:35" ht="12" customHeight="1">
      <c r="A53" s="514" t="s">
        <v>298</v>
      </c>
      <c r="B53" s="3546" t="s">
        <v>299</v>
      </c>
      <c r="C53" s="3547"/>
      <c r="D53" s="513">
        <f ca="1">ROUND(D45*'数据-取费表'!B41/(1+'数据-取费表'!C42),0)</f>
        <v>3734</v>
      </c>
      <c r="E53" s="299" t="s">
        <v>297</v>
      </c>
      <c r="F53" s="515">
        <f>'数据-取费表'!B41</f>
        <v>5.5000000000000007E-2</v>
      </c>
      <c r="G53" s="465"/>
      <c r="H53" s="2276"/>
      <c r="I53" s="2279"/>
      <c r="J53" s="1499">
        <v>2</v>
      </c>
      <c r="K53" s="3591" t="s">
        <v>779</v>
      </c>
      <c r="L53" s="3591"/>
      <c r="M53" s="3267">
        <f t="shared" ref="M53:O54" ca="1" si="0">D55</f>
        <v>36</v>
      </c>
      <c r="N53" s="1498" t="str">
        <f t="shared" si="0"/>
        <v>销售额×税（费）率</v>
      </c>
      <c r="O53" s="3268">
        <f t="shared" si="0"/>
        <v>5.0000000000000001E-4</v>
      </c>
    </row>
    <row r="54" spans="1:35" ht="12" customHeight="1">
      <c r="A54" s="514" t="s">
        <v>300</v>
      </c>
      <c r="B54" s="3546" t="s">
        <v>301</v>
      </c>
      <c r="C54" s="3547"/>
      <c r="D54" s="513">
        <f ca="1">C68</f>
        <v>3734</v>
      </c>
      <c r="E54" s="318" t="s">
        <v>302</v>
      </c>
      <c r="F54" s="515">
        <f>'数据-取费表'!B41</f>
        <v>5.5000000000000007E-2</v>
      </c>
      <c r="G54" s="465"/>
      <c r="H54" s="2280"/>
      <c r="I54" s="2279"/>
      <c r="J54" s="1499">
        <v>3</v>
      </c>
      <c r="K54" s="3591" t="s">
        <v>780</v>
      </c>
      <c r="L54" s="3591"/>
      <c r="M54" s="3267">
        <f t="shared" ca="1" si="0"/>
        <v>40416</v>
      </c>
      <c r="N54" s="1498" t="str">
        <f t="shared" si="0"/>
        <v>增值额×税（费）率</v>
      </c>
      <c r="O54" s="3269" t="str">
        <f t="shared" si="0"/>
        <v>——</v>
      </c>
    </row>
    <row r="55" spans="1:35" ht="24" customHeight="1">
      <c r="A55" s="3536" t="s">
        <v>303</v>
      </c>
      <c r="B55" s="3537"/>
      <c r="C55" s="3537"/>
      <c r="D55" s="516">
        <f ca="1">IF(H55="个人住宅",0,ROUND(D45*I55,0))</f>
        <v>36</v>
      </c>
      <c r="E55" s="299" t="s">
        <v>304</v>
      </c>
      <c r="F55" s="515">
        <f>IF(H55="正常",I55,"免征")</f>
        <v>5.0000000000000001E-4</v>
      </c>
      <c r="G55" s="465"/>
      <c r="H55" s="1430" t="s">
        <v>155</v>
      </c>
      <c r="I55" s="517">
        <f>'数据-取费表'!B49</f>
        <v>5.0000000000000001E-4</v>
      </c>
      <c r="J55" s="1499" t="str">
        <f>IF(H59="非个人房产","",4)</f>
        <v/>
      </c>
      <c r="K55" s="3591" t="str">
        <f>IF(H59="非个人房产","——","个人所得税")</f>
        <v>——</v>
      </c>
      <c r="L55" s="3591"/>
      <c r="M55" s="3270" t="str">
        <f>D59</f>
        <v>——</v>
      </c>
      <c r="N55" s="3271" t="str">
        <f>E59</f>
        <v>——</v>
      </c>
      <c r="O55" s="3272" t="str">
        <f>F59</f>
        <v>——</v>
      </c>
    </row>
    <row r="56" spans="1:35" ht="24.75">
      <c r="A56" s="3536" t="s">
        <v>305</v>
      </c>
      <c r="B56" s="3537"/>
      <c r="C56" s="3537"/>
      <c r="D56" s="516">
        <f ca="1">IF(H56="个人住宅",D57,D58)</f>
        <v>40416</v>
      </c>
      <c r="E56" s="299" t="s">
        <v>306</v>
      </c>
      <c r="F56" s="515" t="str">
        <f>IF(H56="正常",F58,"免征")</f>
        <v>——</v>
      </c>
      <c r="G56" s="1254" t="s">
        <v>781</v>
      </c>
      <c r="H56" s="1429" t="s">
        <v>155</v>
      </c>
      <c r="I56" s="2281"/>
      <c r="J56" s="1499" t="str">
        <f>IF(项目基本情况!K6="上海银行",IF(J55="",4,J55+1),"")</f>
        <v/>
      </c>
      <c r="K56" s="3618" t="str">
        <f>IF(项目基本情况!K6="上海银行","其他处置费用","")</f>
        <v/>
      </c>
      <c r="L56" s="3619"/>
      <c r="M56" s="3267" t="str">
        <f>IF(项目基本情况!K6="上海银行",M69,"")</f>
        <v/>
      </c>
      <c r="N56" s="3621" t="str">
        <f>IF(项目基本情况!K6="上海银行","包含处置中涉及的律师、诉讼、拍卖、评估等费用","")</f>
        <v/>
      </c>
      <c r="O56" s="3622"/>
    </row>
    <row r="57" spans="1:35" ht="12.75">
      <c r="A57" s="514" t="s">
        <v>291</v>
      </c>
      <c r="B57" s="3553" t="s">
        <v>307</v>
      </c>
      <c r="C57" s="3576"/>
      <c r="D57" s="518">
        <v>0</v>
      </c>
      <c r="E57" s="311" t="s">
        <v>292</v>
      </c>
      <c r="F57" s="486"/>
      <c r="G57" s="465"/>
      <c r="H57" s="2281"/>
      <c r="I57" s="2281"/>
      <c r="J57" s="3601">
        <f>IF(AND(J55="",J56=""),4,IF(项目基本情况!K6="上海银行",结果表!J56+1,结果表!J55+1))</f>
        <v>4</v>
      </c>
      <c r="K57" s="3591" t="s">
        <v>782</v>
      </c>
      <c r="L57" s="3273" t="s">
        <v>222</v>
      </c>
      <c r="M57" s="3274"/>
      <c r="N57" s="3275">
        <f ca="1">SUMIF(M52:M56,"&lt;9e307")</f>
        <v>40452</v>
      </c>
      <c r="O57" s="3276"/>
      <c r="P57" s="3263" t="e">
        <f ca="1">N57/M49</f>
        <v>#VALUE!</v>
      </c>
    </row>
    <row r="58" spans="1:35" ht="24.75">
      <c r="A58" s="514" t="s">
        <v>295</v>
      </c>
      <c r="B58" s="3553" t="s">
        <v>308</v>
      </c>
      <c r="C58" s="3554"/>
      <c r="D58" s="516">
        <f ca="1">IF(H58="转让取得",C81,C97)</f>
        <v>40416</v>
      </c>
      <c r="E58" s="299" t="s">
        <v>306</v>
      </c>
      <c r="F58" s="312" t="s">
        <v>170</v>
      </c>
      <c r="G58" s="465"/>
      <c r="H58" s="1429" t="s">
        <v>1133</v>
      </c>
      <c r="I58" s="2281"/>
      <c r="J58" s="3601"/>
      <c r="K58" s="3591"/>
      <c r="L58" s="3273" t="s">
        <v>223</v>
      </c>
      <c r="M58" s="3277"/>
      <c r="N58" s="3278" t="str">
        <f ca="1">NUMBERSTRING(INT(N57*10000),2)&amp;"元整"</f>
        <v>肆亿零肆佰伍拾贰万元整</v>
      </c>
      <c r="O58" s="3279"/>
    </row>
    <row r="59" spans="1:35" ht="24.75" thickBot="1">
      <c r="A59" s="3594" t="s">
        <v>309</v>
      </c>
      <c r="B59" s="3595"/>
      <c r="C59" s="3595"/>
      <c r="D59" s="519" t="str">
        <f>IF(H59="非个人房产","——",IF(H59="个人住宅",0,ROUND(D45*I59,0)))</f>
        <v>——</v>
      </c>
      <c r="E59" s="520" t="str">
        <f>IF(H59="非个人房产","——","销售额×税（费）率")</f>
        <v>——</v>
      </c>
      <c r="F59" s="521" t="str">
        <f>IF(H59="非个人房产","——",IF(H59="个人住宅","免征",I59))</f>
        <v>——</v>
      </c>
      <c r="G59" s="1255" t="s">
        <v>169</v>
      </c>
      <c r="H59" s="1429" t="s">
        <v>1132</v>
      </c>
      <c r="I59" s="522">
        <v>0.01</v>
      </c>
      <c r="J59" s="3592">
        <f>J57+1</f>
        <v>5</v>
      </c>
      <c r="K59" s="3591" t="s">
        <v>171</v>
      </c>
      <c r="L59" s="1498" t="s">
        <v>222</v>
      </c>
      <c r="M59" s="3280"/>
      <c r="N59" s="3281" t="e">
        <f ca="1">M49-N57</f>
        <v>#VALUE!</v>
      </c>
      <c r="O59" s="3282"/>
    </row>
    <row r="60" spans="1:35" ht="12" customHeight="1">
      <c r="A60" s="1256"/>
      <c r="B60" s="1241"/>
      <c r="C60" s="1241"/>
      <c r="D60" s="1241"/>
      <c r="E60" s="229"/>
      <c r="F60" s="2281"/>
      <c r="G60" s="2281"/>
      <c r="H60" s="2282"/>
      <c r="I60" s="2276"/>
      <c r="J60" s="3593"/>
      <c r="K60" s="3591"/>
      <c r="L60" s="3273" t="s">
        <v>223</v>
      </c>
      <c r="M60" s="3277"/>
      <c r="N60" s="3278" t="e">
        <f ca="1">NUMBERSTRING(INT(N59*10000),2)&amp;"元整"</f>
        <v>#VALUE!</v>
      </c>
      <c r="O60" s="3279"/>
    </row>
    <row r="61" spans="1:35" ht="13.5" thickBot="1">
      <c r="A61" s="3534" t="s">
        <v>310</v>
      </c>
      <c r="B61" s="3534"/>
      <c r="C61" s="3534"/>
      <c r="D61" s="3534"/>
      <c r="E61" s="3534"/>
      <c r="F61" s="2281"/>
      <c r="G61" s="2281"/>
      <c r="H61" s="2282"/>
      <c r="I61" s="2276"/>
      <c r="J61" s="1499">
        <f>J59+1</f>
        <v>6</v>
      </c>
      <c r="K61" s="3591" t="s">
        <v>224</v>
      </c>
      <c r="L61" s="3591"/>
      <c r="M61" s="3283"/>
      <c r="N61" s="3284" t="e">
        <f ca="1">ROUND(N59*10000/'数据-汇总表'!E3,0)</f>
        <v>#VALUE!</v>
      </c>
      <c r="O61" s="3285"/>
    </row>
    <row r="62" spans="1:35" ht="12.75">
      <c r="A62" s="3551" t="s">
        <v>311</v>
      </c>
      <c r="B62" s="3552"/>
      <c r="C62" s="1916"/>
      <c r="D62" s="1916" t="s">
        <v>319</v>
      </c>
      <c r="E62" s="523" t="s">
        <v>320</v>
      </c>
      <c r="F62" s="2281"/>
      <c r="G62" s="2281"/>
      <c r="H62" s="2282"/>
      <c r="I62" s="2276"/>
    </row>
    <row r="63" spans="1:35" ht="12.75">
      <c r="A63" s="534" t="s">
        <v>1895</v>
      </c>
      <c r="B63" s="524" t="s">
        <v>312</v>
      </c>
      <c r="C63" s="525">
        <f ca="1">ROUND((C64+C65)/(1+'数据-取费表'!C42),0)</f>
        <v>67897</v>
      </c>
      <c r="D63" s="526"/>
      <c r="E63" s="527"/>
      <c r="F63" s="2281"/>
      <c r="G63" s="2281"/>
      <c r="H63" s="2282"/>
      <c r="I63" s="2276"/>
      <c r="J63" s="3620" t="s">
        <v>2987</v>
      </c>
      <c r="K63" s="3262" t="s">
        <v>2988</v>
      </c>
      <c r="L63" s="3260" t="e">
        <f>IF(M49&gt;10000,M49*0.5%,IF(AND(M49&gt;1000,M49&lt;=10000),M49*1%,IF(AND(M49&gt;100,M49&lt;=1000),M49*3%,IF(AND(M49&gt;10,M49&lt;=100),M49*5%,M49*8%))))</f>
        <v>#VALUE!</v>
      </c>
      <c r="M63" s="312" t="e">
        <f>ROUND(L63,1)</f>
        <v>#VALUE!</v>
      </c>
      <c r="Z63" s="1432"/>
      <c r="AI63" s="1242"/>
    </row>
    <row r="64" spans="1:35" ht="14.25" customHeight="1">
      <c r="A64" s="528" t="s">
        <v>1890</v>
      </c>
      <c r="B64" s="529" t="s">
        <v>313</v>
      </c>
      <c r="C64" s="530">
        <f ca="1">D45</f>
        <v>71292</v>
      </c>
      <c r="D64" s="531" t="s">
        <v>166</v>
      </c>
      <c r="E64" s="532"/>
      <c r="F64" s="2281"/>
      <c r="G64" s="2281"/>
      <c r="H64" s="2282"/>
      <c r="I64" s="2276"/>
      <c r="J64" s="3620"/>
      <c r="K64" s="3262" t="s">
        <v>2989</v>
      </c>
      <c r="L64" s="3260" t="e">
        <f>IF(M49&gt;2000,M49*0.5%,IF(AND(M49&gt;1000,M49&lt;=2000),M49*0.6%,IF(AND(M49&gt;500,M49&lt;=1000),M49*0.7%,IF(AND(M49&gt;200,M49&lt;=500),M49*0.8%,IF(AND(M49&gt;100,M49&lt;=200),M49*0.9%,IF(AND(M49&gt;50,M49&lt;=100),M49*1%,IF(AND(M49&gt;20,M49&lt;=50),M49*1.5%,IF(AND(M49&gt;10,M49&lt;=20),M49*2%,IF(AND(M49&gt;1,M49&lt;=10),M49*2.5%)))))))))</f>
        <v>#VALUE!</v>
      </c>
      <c r="M64" s="312" t="e">
        <f t="shared" ref="M64:M65" si="1">ROUND(L64,1)</f>
        <v>#VALUE!</v>
      </c>
      <c r="N64" s="468" t="s">
        <v>2995</v>
      </c>
      <c r="Z64" s="1432"/>
      <c r="AI64" s="1242"/>
    </row>
    <row r="65" spans="1:35" ht="14.25" customHeight="1">
      <c r="A65" s="528" t="s">
        <v>1891</v>
      </c>
      <c r="B65" s="529" t="s">
        <v>314</v>
      </c>
      <c r="C65" s="533"/>
      <c r="D65" s="531"/>
      <c r="E65" s="532"/>
      <c r="F65" s="2281"/>
      <c r="G65" s="2281"/>
      <c r="H65" s="2282"/>
      <c r="I65" s="2276"/>
      <c r="J65" s="3620"/>
      <c r="K65" s="3262" t="s">
        <v>2990</v>
      </c>
      <c r="L65" s="3260" t="e">
        <f>IF(M49&gt;1000,M49*0.1%,IF(AND(M49&gt;500,M49&lt;=1000),M49*0.5%,IF(AND(M49&gt;50,M49&lt;=500),M49*1%,IF(AND(M49&gt;1,M49&lt;=50),M49*1.5%))))</f>
        <v>#VALUE!</v>
      </c>
      <c r="M65" s="312" t="e">
        <f t="shared" si="1"/>
        <v>#VALUE!</v>
      </c>
      <c r="N65" s="468" t="s">
        <v>2996</v>
      </c>
      <c r="Z65" s="1432"/>
      <c r="AI65" s="1242"/>
    </row>
    <row r="66" spans="1:35" ht="14.25" customHeight="1">
      <c r="A66" s="534" t="s">
        <v>1892</v>
      </c>
      <c r="B66" s="535" t="s">
        <v>315</v>
      </c>
      <c r="C66" s="536"/>
      <c r="D66" s="537" t="s">
        <v>166</v>
      </c>
      <c r="E66" s="3314" t="s">
        <v>3034</v>
      </c>
      <c r="F66" s="2281"/>
      <c r="G66" s="2281"/>
      <c r="H66" s="2282"/>
      <c r="I66" s="2276"/>
      <c r="J66" s="3620"/>
      <c r="K66" s="3262" t="s">
        <v>2991</v>
      </c>
      <c r="L66" s="3260" t="e">
        <f>M49*0.5%</f>
        <v>#VALUE!</v>
      </c>
      <c r="M66" s="312" t="e">
        <f>IF(L66&gt;0.5,0.5,ROUND(L66,0))</f>
        <v>#VALUE!</v>
      </c>
      <c r="N66" s="468" t="s">
        <v>2997</v>
      </c>
      <c r="Z66" s="1432"/>
      <c r="AI66" s="1242"/>
    </row>
    <row r="67" spans="1:35" ht="14.25" customHeight="1">
      <c r="A67" s="534" t="s">
        <v>1893</v>
      </c>
      <c r="B67" s="535" t="s">
        <v>316</v>
      </c>
      <c r="C67" s="538">
        <f ca="1">C63-C66</f>
        <v>67897</v>
      </c>
      <c r="D67" s="531" t="s">
        <v>166</v>
      </c>
      <c r="E67" s="532"/>
      <c r="F67" s="2281"/>
      <c r="G67" s="2281"/>
      <c r="H67" s="2282"/>
      <c r="I67" s="2276"/>
      <c r="J67" s="3620"/>
      <c r="K67" s="3262" t="s">
        <v>2992</v>
      </c>
      <c r="L67" s="3260" t="e">
        <f>IF(M49&gt;=10000,(8.25+(M49-10000)*0.01%),IF(AND(M49&gt;=8000,M49&lt;10000),(7.85+(M49-8000)*0.02%),IF(AND(M49&gt;=5000,M49&lt;8000),(6.65+(M49-5000)*0.04%),IF(AND(M49&gt;=2000,M49&lt;5000),(4.25+(PM49-2000)*0.08%),IF(AND(M49&gt;=1000,M49&lt;2000),(2.75+(M49-1000)*0.15%),IF(AND(M49&gt;=100,M49&lt;1000),(0.5+(M49-100)*0.25%),IF(AND(M49&gt;0,M49&lt;100),M49*0.5%)))))))</f>
        <v>#VALUE!</v>
      </c>
      <c r="M67" s="312" t="e">
        <f>ROUND(L67*0.9,1)</f>
        <v>#VALUE!</v>
      </c>
      <c r="Z67" s="1432"/>
      <c r="AI67" s="1242"/>
    </row>
    <row r="68" spans="1:35" ht="14.25" customHeight="1" thickBot="1">
      <c r="A68" s="539" t="s">
        <v>1894</v>
      </c>
      <c r="B68" s="540" t="s">
        <v>317</v>
      </c>
      <c r="C68" s="541">
        <f ca="1">IF(C67&lt;=0,0,ROUND(C67*D68,0))</f>
        <v>3734</v>
      </c>
      <c r="D68" s="542">
        <f>'数据-取费表'!B41</f>
        <v>5.5000000000000007E-2</v>
      </c>
      <c r="E68" s="543"/>
      <c r="F68" s="2281"/>
      <c r="G68" s="2281"/>
      <c r="H68" s="2282"/>
      <c r="I68" s="2276"/>
      <c r="J68" s="3620"/>
      <c r="K68" s="3262" t="s">
        <v>2993</v>
      </c>
      <c r="L68" s="3260" t="e">
        <f>IF(M49&gt;10000,M49*0.5%,IF(AND(M49&gt;5000,M49&lt;=10000),M49*1%,IF(AND(M49&gt;1000,M49&lt;=5000),M49*2%,IF(AND(M49&gt;200,M49&lt;=1000),M49*3%,M49*5%))))</f>
        <v>#VALUE!</v>
      </c>
      <c r="M68" s="312" t="e">
        <f>ROUND(L68,1)</f>
        <v>#VALUE!</v>
      </c>
      <c r="Z68" s="1432"/>
      <c r="AI68" s="1242"/>
    </row>
    <row r="69" spans="1:35" s="1243" customFormat="1" ht="16.5" customHeight="1">
      <c r="A69" s="1257"/>
      <c r="B69" s="1258"/>
      <c r="C69" s="1259"/>
      <c r="D69" s="1260"/>
      <c r="E69" s="1261"/>
      <c r="F69" s="229"/>
      <c r="G69" s="229"/>
      <c r="H69" s="241"/>
      <c r="I69" s="1241"/>
      <c r="J69" s="3620"/>
      <c r="K69" s="3262" t="s">
        <v>186</v>
      </c>
      <c r="L69" s="3261"/>
      <c r="M69" s="312" t="e">
        <f>ROUND(SUM(M63:M68),0)</f>
        <v>#VALUE!</v>
      </c>
      <c r="N69" s="3263"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74" t="s">
        <v>318</v>
      </c>
      <c r="B70" s="3575"/>
      <c r="C70" s="3575"/>
      <c r="D70" s="3575"/>
      <c r="E70" s="3575"/>
      <c r="F70" s="3575"/>
      <c r="G70" s="3575"/>
      <c r="H70" s="3575"/>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51" t="s">
        <v>311</v>
      </c>
      <c r="B71" s="3552"/>
      <c r="C71" s="1916"/>
      <c r="D71" s="1916" t="s">
        <v>319</v>
      </c>
      <c r="E71" s="544" t="s">
        <v>320</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1895</v>
      </c>
      <c r="B72" s="535" t="s">
        <v>321</v>
      </c>
      <c r="C72" s="538">
        <f ca="1">ROUND(D45/(1+'数据-取费表'!C42),0)</f>
        <v>67897</v>
      </c>
      <c r="D72" s="531" t="s">
        <v>166</v>
      </c>
      <c r="E72" s="1919"/>
      <c r="F72" s="1920"/>
      <c r="G72" s="1920"/>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1892</v>
      </c>
      <c r="B73" s="504" t="s">
        <v>322</v>
      </c>
      <c r="C73" s="538">
        <f ca="1">C74+C78</f>
        <v>339</v>
      </c>
      <c r="D73" s="531" t="s">
        <v>166</v>
      </c>
      <c r="E73" s="1919"/>
      <c r="F73" s="1920"/>
      <c r="G73" s="1920"/>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1896</v>
      </c>
      <c r="B74" s="529" t="s">
        <v>323</v>
      </c>
      <c r="C74" s="531">
        <f>ROUND(IF(G77="2016年5月1日后购买",C75/(1+'数据-取费表'!C42)+C76+C77,C75+C76+C77),0)</f>
        <v>0</v>
      </c>
      <c r="D74" s="531" t="s">
        <v>166</v>
      </c>
      <c r="E74" s="1919"/>
      <c r="F74" s="1920"/>
      <c r="G74" s="1920"/>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1897</v>
      </c>
      <c r="B75" s="529" t="s">
        <v>324</v>
      </c>
      <c r="C75" s="549"/>
      <c r="D75" s="531" t="s">
        <v>166</v>
      </c>
      <c r="E75" s="550" t="s">
        <v>325</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1899</v>
      </c>
      <c r="B76" s="552" t="s">
        <v>326</v>
      </c>
      <c r="C76" s="531">
        <f>IF(F75="购房发票",ROUND(C75*H75*D76,0),0)</f>
        <v>0</v>
      </c>
      <c r="D76" s="553">
        <v>0.05</v>
      </c>
      <c r="E76" s="3546" t="s">
        <v>327</v>
      </c>
      <c r="F76" s="3521"/>
      <c r="G76" s="3521"/>
      <c r="H76" s="3573"/>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1900</v>
      </c>
      <c r="B77" s="529" t="s">
        <v>328</v>
      </c>
      <c r="C77" s="531">
        <f>ROUND(IF(G77="个人住宅",0,IF(G77="2016年5月1日前购买",C75*D77,C75*D77/(1+'数据-取费表'!C42))),0)</f>
        <v>0</v>
      </c>
      <c r="D77" s="554">
        <f>'数据-取费表'!B48+'数据-取费表'!B49</f>
        <v>3.0499999999999999E-2</v>
      </c>
      <c r="E77" s="302" t="s">
        <v>793</v>
      </c>
      <c r="F77" s="555"/>
      <c r="G77" s="1426" t="s">
        <v>2501</v>
      </c>
      <c r="H77" s="1921" t="str">
        <f>IF(G77="个人买卖住房","免征印花税"," ")</f>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1898</v>
      </c>
      <c r="B78" s="529" t="s">
        <v>329</v>
      </c>
      <c r="C78" s="556">
        <f ca="1">ROUND(D45*D78/(1+'数据-取费表'!C42),0)</f>
        <v>339</v>
      </c>
      <c r="D78" s="557">
        <f>'数据-取费表'!B43</f>
        <v>5.000000000000001E-3</v>
      </c>
      <c r="E78" s="3541" t="s">
        <v>2502</v>
      </c>
      <c r="F78" s="3532"/>
      <c r="G78" s="3532"/>
      <c r="H78" s="3542"/>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8" t="s">
        <v>1901</v>
      </c>
      <c r="B79" s="535" t="s">
        <v>330</v>
      </c>
      <c r="C79" s="538">
        <f ca="1">C72-C73</f>
        <v>67558</v>
      </c>
      <c r="D79" s="531" t="s">
        <v>166</v>
      </c>
      <c r="E79" s="1919"/>
      <c r="F79" s="1920"/>
      <c r="G79" s="1920"/>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8" t="s">
        <v>1902</v>
      </c>
      <c r="B80" s="535" t="s">
        <v>331</v>
      </c>
      <c r="C80" s="558">
        <f ca="1">IF(C79&lt;=0,0,C79/C73)</f>
        <v>199.28613569321533</v>
      </c>
      <c r="D80" s="531"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799" t="s">
        <v>1903</v>
      </c>
      <c r="B81" s="540" t="s">
        <v>332</v>
      </c>
      <c r="C81" s="559">
        <f ca="1">ROUND(IF(C79&lt;=0,0,IF(C80&gt;=200%,C79*60%-C73*35%,IF(C80&gt;=100%,C79*50%-C73*15%,IF(C80&gt;=50%,C79*40%-C73*5%,IF(C80&lt;50%,C79*30%,0))))),0)</f>
        <v>40416</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74" t="s">
        <v>333</v>
      </c>
      <c r="B83" s="3575"/>
      <c r="C83" s="3575"/>
      <c r="D83" s="3575"/>
      <c r="E83" s="3575"/>
      <c r="F83" s="3575"/>
      <c r="G83" s="3575"/>
      <c r="H83" s="3575"/>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51" t="s">
        <v>311</v>
      </c>
      <c r="B84" s="3552"/>
      <c r="C84" s="1916"/>
      <c r="D84" s="1916" t="s">
        <v>319</v>
      </c>
      <c r="E84" s="544" t="s">
        <v>320</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1895</v>
      </c>
      <c r="B85" s="535" t="s">
        <v>321</v>
      </c>
      <c r="C85" s="538">
        <f ca="1">ROUND(D45/(1+'数据-取费表'!C42),0)</f>
        <v>67897</v>
      </c>
      <c r="D85" s="531" t="s">
        <v>166</v>
      </c>
      <c r="E85" s="1919"/>
      <c r="F85" s="1920"/>
      <c r="G85" s="1920"/>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1892</v>
      </c>
      <c r="B86" s="504" t="s">
        <v>322</v>
      </c>
      <c r="C86" s="538">
        <f ca="1">IF(H88="仅含出让金",C87+C90+C91+C92+C93+C94,C87+C91+C92+C93+C94)</f>
        <v>339</v>
      </c>
      <c r="D86" s="566"/>
      <c r="E86" s="1919"/>
      <c r="F86" s="1920"/>
      <c r="G86" s="1920"/>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1896</v>
      </c>
      <c r="B87" s="529" t="s">
        <v>334</v>
      </c>
      <c r="C87" s="556">
        <f>C88+C89</f>
        <v>0</v>
      </c>
      <c r="D87" s="557"/>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1897</v>
      </c>
      <c r="B88" s="529" t="s">
        <v>335</v>
      </c>
      <c r="C88" s="567"/>
      <c r="D88" s="557"/>
      <c r="E88" s="568" t="s">
        <v>336</v>
      </c>
      <c r="F88" s="1915"/>
      <c r="G88" s="569" t="s">
        <v>337</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1899</v>
      </c>
      <c r="B89" s="529" t="s">
        <v>328</v>
      </c>
      <c r="C89" s="556">
        <f>ROUND(C88*D89,0)</f>
        <v>0</v>
      </c>
      <c r="D89" s="557">
        <f>'数据-取费表'!B48+'数据-取费表'!B49</f>
        <v>3.0499999999999999E-2</v>
      </c>
      <c r="E89" s="568" t="s">
        <v>338</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1898</v>
      </c>
      <c r="B90" s="529" t="s">
        <v>339</v>
      </c>
      <c r="C90" s="567"/>
      <c r="D90" s="557"/>
      <c r="E90" s="568" t="str">
        <f>IF(H88="-","土地取得成本中已包含该笔费用"," ")</f>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0" t="s">
        <v>1904</v>
      </c>
      <c r="B91" s="529" t="s">
        <v>340</v>
      </c>
      <c r="C91" s="556">
        <f>IF(H91="——",成本法!C33,I91)</f>
        <v>0</v>
      </c>
      <c r="D91" s="557"/>
      <c r="E91" s="3531" t="s">
        <v>794</v>
      </c>
      <c r="F91" s="3532"/>
      <c r="G91" s="3532"/>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0" t="s">
        <v>1905</v>
      </c>
      <c r="B92" s="529" t="s">
        <v>341</v>
      </c>
      <c r="C92" s="556">
        <f>ROUND((C87+C90+C91)*D92,0)</f>
        <v>0</v>
      </c>
      <c r="D92" s="557">
        <v>0.1</v>
      </c>
      <c r="E92" s="3531" t="s">
        <v>342</v>
      </c>
      <c r="F92" s="3532"/>
      <c r="G92" s="3532"/>
      <c r="H92" s="3542"/>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0" t="s">
        <v>1906</v>
      </c>
      <c r="B93" s="529" t="s">
        <v>329</v>
      </c>
      <c r="C93" s="556">
        <f ca="1">ROUND(D45*D93/(1+'数据-取费表'!C42),0)</f>
        <v>339</v>
      </c>
      <c r="D93" s="557">
        <f>'数据-取费表'!B43</f>
        <v>5.000000000000001E-3</v>
      </c>
      <c r="E93" s="3541" t="s">
        <v>2502</v>
      </c>
      <c r="F93" s="3532"/>
      <c r="G93" s="3532"/>
      <c r="H93" s="3542"/>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0" t="s">
        <v>1907</v>
      </c>
      <c r="B94" s="529" t="s">
        <v>343</v>
      </c>
      <c r="C94" s="567">
        <f>ROUND((C87+C90+C91)*D94,0)</f>
        <v>0</v>
      </c>
      <c r="D94" s="557">
        <v>0.2</v>
      </c>
      <c r="E94" s="3543" t="s">
        <v>3049</v>
      </c>
      <c r="F94" s="3544"/>
      <c r="G94" s="3544"/>
      <c r="H94" s="3545"/>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8" t="s">
        <v>1901</v>
      </c>
      <c r="B95" s="535" t="s">
        <v>330</v>
      </c>
      <c r="C95" s="538">
        <f ca="1">ROUND(C85-C86,0)</f>
        <v>67558</v>
      </c>
      <c r="D95" s="531" t="s">
        <v>166</v>
      </c>
      <c r="E95" s="1919"/>
      <c r="F95" s="1920"/>
      <c r="G95" s="1920"/>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8" t="s">
        <v>1902</v>
      </c>
      <c r="B96" s="535" t="s">
        <v>331</v>
      </c>
      <c r="C96" s="558">
        <f ca="1">IF(C95&lt;=0,0,C95/C86)</f>
        <v>199.28613569321533</v>
      </c>
      <c r="D96" s="531"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799" t="s">
        <v>1903</v>
      </c>
      <c r="B97" s="540" t="s">
        <v>332</v>
      </c>
      <c r="C97" s="559">
        <f ca="1">ROUND(IF(C95&lt;=0,0,IF(C96&gt;=200%,C95*60%-C86*35%,IF(C96&gt;=100%,C95*50%-C86*15%,IF(C96&gt;=50%,C95*40%-C86*5%,IF(C96&lt;50%,C95*30%,0))))),0)</f>
        <v>40416</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228</v>
      </c>
      <c r="B99" s="1241"/>
      <c r="C99" s="1241"/>
      <c r="D99" s="1241"/>
      <c r="E99" s="229"/>
      <c r="F99" s="229"/>
      <c r="G99" s="229"/>
      <c r="H99" s="241"/>
      <c r="I99" s="2276"/>
    </row>
    <row r="100" spans="1:35" ht="18.75" customHeight="1">
      <c r="A100" s="3515" t="s">
        <v>229</v>
      </c>
      <c r="B100" s="3516"/>
      <c r="C100" s="3516"/>
      <c r="D100" s="3533"/>
      <c r="E100" s="3516" t="s">
        <v>2900</v>
      </c>
      <c r="F100" s="3516"/>
      <c r="G100" s="3516"/>
      <c r="H100" s="3533"/>
      <c r="I100" s="2276"/>
    </row>
    <row r="101" spans="1:35" ht="18.75" customHeight="1">
      <c r="A101" s="3599" t="s">
        <v>207</v>
      </c>
      <c r="B101" s="3600"/>
      <c r="C101" s="1264" t="str">
        <f>C4</f>
        <v>成本法</v>
      </c>
      <c r="D101" s="1265" t="str">
        <f>D4</f>
        <v>收益法</v>
      </c>
      <c r="E101" s="3617" t="s">
        <v>1909</v>
      </c>
      <c r="F101" s="3566"/>
      <c r="G101" s="1266" t="s">
        <v>209</v>
      </c>
      <c r="H101" s="1984">
        <f ca="1">H118</f>
        <v>71292</v>
      </c>
      <c r="I101" s="2276"/>
    </row>
    <row r="102" spans="1:35" ht="18.75" customHeight="1">
      <c r="A102" s="3568" t="s">
        <v>208</v>
      </c>
      <c r="B102" s="1266" t="s">
        <v>209</v>
      </c>
      <c r="C102" s="1233">
        <f ca="1">C19</f>
        <v>68309</v>
      </c>
      <c r="D102" s="1234">
        <f ca="1">D19</f>
        <v>73280</v>
      </c>
      <c r="E102" s="3617"/>
      <c r="F102" s="3566"/>
      <c r="G102" s="1266" t="s">
        <v>210</v>
      </c>
      <c r="H102" s="710">
        <f ca="1">I118</f>
        <v>24606</v>
      </c>
      <c r="I102" s="2276"/>
    </row>
    <row r="103" spans="1:35" ht="42.75" customHeight="1">
      <c r="A103" s="3568"/>
      <c r="B103" s="1266" t="s">
        <v>210</v>
      </c>
      <c r="C103" s="1235">
        <f ca="1">C20</f>
        <v>23576</v>
      </c>
      <c r="D103" s="1236">
        <f ca="1">D20</f>
        <v>25292</v>
      </c>
      <c r="E103" s="3612" t="s">
        <v>3010</v>
      </c>
      <c r="F103" s="3613"/>
      <c r="G103" s="1267" t="s">
        <v>212</v>
      </c>
      <c r="H103" s="1984">
        <f>IF(D36="正常操作",H104+H105+H106,H105+H106)</f>
        <v>0</v>
      </c>
      <c r="I103" s="2276"/>
    </row>
    <row r="104" spans="1:35" ht="18.75" customHeight="1">
      <c r="A104" s="3568" t="s">
        <v>211</v>
      </c>
      <c r="B104" s="1268" t="s">
        <v>209</v>
      </c>
      <c r="C104" s="1237">
        <f ca="1">H118</f>
        <v>71292</v>
      </c>
      <c r="D104" s="1238"/>
      <c r="E104" s="13" t="s">
        <v>1908</v>
      </c>
      <c r="F104" s="6"/>
      <c r="G104" s="1267" t="s">
        <v>212</v>
      </c>
      <c r="H104" s="1985">
        <f>IF(D36="同一抵押权人同一抵押物续贷",C36&amp;"（未扣减，详见特别提示）",C36)</f>
        <v>0</v>
      </c>
      <c r="I104" s="2276"/>
    </row>
    <row r="105" spans="1:35" ht="18.75" customHeight="1" thickBot="1">
      <c r="A105" s="3569"/>
      <c r="B105" s="1269" t="s">
        <v>210</v>
      </c>
      <c r="C105" s="1239">
        <f ca="1">I118</f>
        <v>24606</v>
      </c>
      <c r="D105" s="1240"/>
      <c r="E105" s="13" t="s">
        <v>1910</v>
      </c>
      <c r="F105" s="6"/>
      <c r="G105" s="1267" t="s">
        <v>212</v>
      </c>
      <c r="H105" s="1985">
        <f>C37</f>
        <v>0</v>
      </c>
      <c r="I105" s="2276"/>
    </row>
    <row r="106" spans="1:35" ht="18.75" customHeight="1">
      <c r="A106" s="1241" t="s">
        <v>2002</v>
      </c>
      <c r="B106" s="1241"/>
      <c r="C106" s="1241"/>
      <c r="D106" s="1241"/>
      <c r="E106" s="466" t="s">
        <v>1911</v>
      </c>
      <c r="F106" s="6"/>
      <c r="G106" s="1267" t="s">
        <v>212</v>
      </c>
      <c r="H106" s="1985">
        <f>C38</f>
        <v>0</v>
      </c>
      <c r="I106" s="2276"/>
    </row>
    <row r="107" spans="1:35" ht="18.75" customHeight="1">
      <c r="A107" s="2276"/>
      <c r="B107" s="2276"/>
      <c r="C107" s="2276"/>
      <c r="D107" s="2276"/>
      <c r="E107" s="3565" t="str">
        <f>IF(项目基本情况!E8="已注销","——","3.房地产抵押价值")</f>
        <v>3.房地产抵押价值</v>
      </c>
      <c r="F107" s="3566"/>
      <c r="G107" s="1266" t="s">
        <v>209</v>
      </c>
      <c r="H107" s="1984">
        <f ca="1">IF(E107="——","——",H101-H103)</f>
        <v>71292</v>
      </c>
      <c r="I107" s="2276"/>
    </row>
    <row r="108" spans="1:35" ht="18.75" customHeight="1">
      <c r="A108" s="2276"/>
      <c r="B108" s="2276"/>
      <c r="C108" s="2276"/>
      <c r="D108" s="2276"/>
      <c r="E108" s="3565"/>
      <c r="F108" s="3566"/>
      <c r="G108" s="1266" t="s">
        <v>210</v>
      </c>
      <c r="H108" s="710">
        <f ca="1">ROUND(H107*10000/'数据-汇总表'!E3,0)</f>
        <v>24606</v>
      </c>
      <c r="I108" s="2276"/>
    </row>
    <row r="109" spans="1:35" ht="18.75" customHeight="1">
      <c r="A109" s="2276"/>
      <c r="B109" s="2276"/>
      <c r="C109" s="2276"/>
      <c r="D109" s="2276"/>
      <c r="E109" s="3565" t="str">
        <f>IF(项目基本情况!E8="已注销及未注销","4.抵押担保权已注销时的房地产抵押价值",IF(项目基本情况!E8="已注销","3.抵押担保权已注销时的房地产抵押价值","——"))</f>
        <v>——</v>
      </c>
      <c r="F109" s="3566"/>
      <c r="G109" s="1266" t="s">
        <v>209</v>
      </c>
      <c r="H109" s="684" t="str">
        <f>IF(E109="——","——",H101-H105-H106)</f>
        <v>——</v>
      </c>
      <c r="I109" s="2276"/>
    </row>
    <row r="110" spans="1:35" ht="18.75" customHeight="1">
      <c r="A110" s="2276"/>
      <c r="B110" s="2276"/>
      <c r="C110" s="2276"/>
      <c r="D110" s="2276"/>
      <c r="E110" s="3565"/>
      <c r="F110" s="3566"/>
      <c r="G110" s="1266" t="s">
        <v>210</v>
      </c>
      <c r="H110" s="710" t="str">
        <f>IF(H109="——","——",ROUND(H109*10000/'数据-汇总表'!E3,0))</f>
        <v>——</v>
      </c>
      <c r="I110" s="2276"/>
    </row>
    <row r="111" spans="1:35" ht="18.75" customHeight="1">
      <c r="A111" s="2276"/>
      <c r="B111" s="2276"/>
      <c r="C111" s="2276"/>
      <c r="D111" s="2276"/>
      <c r="E111" s="3602" t="str">
        <f>IF(项目基本情况!E9="抵押净值",IF(OR(项目基本情况!E8="已注销",项目基本情况!E8="房地产抵押价值"),"4.抵押净值","5.抵押净值"),"——")</f>
        <v>——</v>
      </c>
      <c r="F111" s="3603"/>
      <c r="G111" s="1266" t="s">
        <v>209</v>
      </c>
      <c r="H111" s="1984" t="str">
        <f>IF(E111="——","——",N59)</f>
        <v>——</v>
      </c>
      <c r="I111" s="2276"/>
    </row>
    <row r="112" spans="1:35" ht="18.75" customHeight="1" thickBot="1">
      <c r="A112" s="2276"/>
      <c r="B112" s="2276"/>
      <c r="C112" s="2276"/>
      <c r="D112" s="2276"/>
      <c r="E112" s="3604"/>
      <c r="F112" s="3605"/>
      <c r="G112" s="1270" t="s">
        <v>210</v>
      </c>
      <c r="H112" s="1421" t="str">
        <f>IF(E111="——","——",N61)</f>
        <v>——</v>
      </c>
      <c r="I112" s="2276"/>
    </row>
    <row r="113" spans="1:18" ht="18.75" customHeight="1">
      <c r="A113" s="2276"/>
      <c r="B113" s="2276"/>
      <c r="C113" s="2276"/>
      <c r="D113" s="2276"/>
      <c r="E113" s="3570" t="s">
        <v>2002</v>
      </c>
      <c r="F113" s="3570"/>
      <c r="G113" s="3570"/>
      <c r="H113" s="3570"/>
      <c r="I113" s="2276"/>
    </row>
    <row r="114" spans="1:18" ht="3.75" customHeight="1">
      <c r="A114" s="1241"/>
      <c r="B114" s="1241"/>
      <c r="C114" s="1241"/>
      <c r="D114" s="1241"/>
      <c r="E114" s="1256"/>
      <c r="F114" s="1256"/>
      <c r="G114" s="1256"/>
      <c r="H114" s="1256"/>
      <c r="I114" s="1241"/>
    </row>
    <row r="115" spans="1:18" ht="18.75" customHeight="1">
      <c r="A115" s="3584" t="s">
        <v>225</v>
      </c>
      <c r="B115" s="3585"/>
      <c r="C115" s="3585"/>
      <c r="D115" s="3585"/>
      <c r="E115" s="3585"/>
      <c r="F115" s="3585"/>
      <c r="G115" s="3585"/>
      <c r="H115" s="3585"/>
      <c r="I115" s="3586"/>
    </row>
    <row r="116" spans="1:18" ht="27" customHeight="1">
      <c r="A116" s="3473" t="s">
        <v>5</v>
      </c>
      <c r="B116" s="3571" t="s">
        <v>783</v>
      </c>
      <c r="C116" s="3571" t="s">
        <v>784</v>
      </c>
      <c r="D116" s="3588" t="s">
        <v>205</v>
      </c>
      <c r="E116" s="3589"/>
      <c r="F116" s="3580" t="s">
        <v>2380</v>
      </c>
      <c r="G116" s="3580"/>
      <c r="H116" s="3473" t="s">
        <v>6</v>
      </c>
      <c r="I116" s="3473"/>
      <c r="J116" s="1444" t="s">
        <v>5</v>
      </c>
      <c r="K116" s="1444" t="s">
        <v>3325</v>
      </c>
      <c r="L116" s="1444" t="s">
        <v>3326</v>
      </c>
      <c r="M116" s="1444" t="s">
        <v>205</v>
      </c>
      <c r="O116" s="1444" t="s">
        <v>2380</v>
      </c>
      <c r="Q116" s="1444" t="s">
        <v>6</v>
      </c>
    </row>
    <row r="117" spans="1:18" ht="18.75" customHeight="1">
      <c r="A117" s="3473"/>
      <c r="B117" s="3572"/>
      <c r="C117" s="3572"/>
      <c r="D117" s="1913" t="s">
        <v>7</v>
      </c>
      <c r="E117" s="1913" t="s">
        <v>785</v>
      </c>
      <c r="F117" s="1913" t="s">
        <v>7</v>
      </c>
      <c r="G117" s="1913" t="s">
        <v>8</v>
      </c>
      <c r="H117" s="1913" t="s">
        <v>7</v>
      </c>
      <c r="I117" s="1913" t="s">
        <v>8</v>
      </c>
      <c r="M117" s="1444" t="s">
        <v>7</v>
      </c>
      <c r="N117" s="1444" t="s">
        <v>8</v>
      </c>
      <c r="O117" s="1444" t="s">
        <v>7</v>
      </c>
      <c r="P117" s="1444" t="s">
        <v>8</v>
      </c>
      <c r="Q117" s="1444" t="s">
        <v>7</v>
      </c>
      <c r="R117" s="1444" t="s">
        <v>8</v>
      </c>
    </row>
    <row r="118" spans="1:18" ht="24.75" customHeight="1">
      <c r="A118" s="2031" t="str">
        <f>项目基本情况!S2</f>
        <v>北京市怀柔区杨宋镇凤翔二园1号1-7幢房地产</v>
      </c>
      <c r="B118" s="1918">
        <f>M18</f>
        <v>28973.439999999999</v>
      </c>
      <c r="C118" s="1918">
        <f>M19</f>
        <v>92783.56</v>
      </c>
      <c r="D118" s="1918">
        <f ca="1">ROUND(IF(D32="总价",C34,E118*B118/10000),0)</f>
        <v>63093</v>
      </c>
      <c r="E118" s="1918">
        <f ca="1">ROUND(IF(C33="自定义",IF(D32="楼面单价",C34,D118*10000/B118),I118-G118),0)</f>
        <v>21776</v>
      </c>
      <c r="F118" s="1918">
        <f ca="1">ROUND(IF(D32="总价",C35,G118*B118/10000),0)</f>
        <v>8199</v>
      </c>
      <c r="G118" s="1918">
        <f ca="1">ROUND(IF(D32="楼面单价",C35,F118*10000/B118),0)</f>
        <v>2830</v>
      </c>
      <c r="H118" s="1918">
        <f ca="1">ROUND(IF(D32="总价",C32,I118*B118/10000),0)</f>
        <v>71292</v>
      </c>
      <c r="I118" s="1918">
        <f ca="1">ROUND(IF(D32="楼面单价",C32,H118*10000/B118),0)</f>
        <v>24606</v>
      </c>
      <c r="J118" s="1444" t="s">
        <v>3327</v>
      </c>
      <c r="K118" s="1444">
        <f>28973.44-'数据-基础表'!I14</f>
        <v>18383.439999999999</v>
      </c>
      <c r="L118" s="1444">
        <v>92783.56</v>
      </c>
      <c r="M118" s="1444">
        <v>63093</v>
      </c>
      <c r="N118" s="1444">
        <v>21776</v>
      </c>
      <c r="O118" s="1444">
        <v>8199</v>
      </c>
      <c r="P118" s="1444">
        <v>2830</v>
      </c>
      <c r="Q118" s="1444">
        <v>71292</v>
      </c>
      <c r="R118" s="1444">
        <v>24606</v>
      </c>
    </row>
    <row r="119" spans="1:18" ht="18.75" customHeight="1">
      <c r="A119" s="3473" t="s">
        <v>9</v>
      </c>
      <c r="B119" s="3473"/>
      <c r="C119" s="3473"/>
      <c r="D119" s="3577" t="str">
        <f ca="1">NUMBERSTRING(INT(D118*10000),2)&amp;"元整"</f>
        <v>陆亿叁仟零玖拾叁万元整</v>
      </c>
      <c r="E119" s="3579"/>
      <c r="F119" s="3577" t="str">
        <f ca="1">NUMBERSTRING(INT(F118*10000),2)&amp;"元整"</f>
        <v>捌仟壹佰玖拾玖万元整</v>
      </c>
      <c r="G119" s="3579"/>
      <c r="H119" s="3577" t="str">
        <f ca="1">NUMBERSTRING(INT(H118*10000),2)&amp;"元整"</f>
        <v>柒亿壹仟贰佰玖拾贰万元整</v>
      </c>
      <c r="I119" s="3579"/>
    </row>
    <row r="120" spans="1:18" ht="18.75" customHeight="1">
      <c r="A120" s="3609" t="str">
        <f>IF(项目基本情况!B9="房地产市场价值","",MID(E103,3,LEN(E103)-2))</f>
        <v>估价师知悉的法定优先受偿款</v>
      </c>
      <c r="B120" s="3610"/>
      <c r="C120" s="3611"/>
      <c r="D120" s="3606">
        <f>H103</f>
        <v>0</v>
      </c>
      <c r="E120" s="3607"/>
      <c r="F120" s="3607"/>
      <c r="G120" s="3607"/>
      <c r="H120" s="3607"/>
      <c r="I120" s="3608"/>
      <c r="K120" s="1432" t="str">
        <f>IF(D120=0,"故，本次评估不存在"&amp;A120,"故，本次评估"&amp;A120&amp;"为人民币"&amp;D120&amp;"万元整。")</f>
        <v>故，本次评估不存在估价师知悉的法定优先受偿款</v>
      </c>
    </row>
    <row r="121" spans="1:18" ht="18.75" customHeight="1">
      <c r="A121" s="3581" t="s">
        <v>9</v>
      </c>
      <c r="B121" s="3582"/>
      <c r="C121" s="3583"/>
      <c r="D121" s="3577" t="str">
        <f>IF(D120=0,"零元整",NUMBERSTRING(INT(D120*10000),2)&amp;"元整")</f>
        <v>零元整</v>
      </c>
      <c r="E121" s="3578"/>
      <c r="F121" s="3578"/>
      <c r="G121" s="3578"/>
      <c r="H121" s="3578"/>
      <c r="I121" s="3579"/>
    </row>
    <row r="122" spans="1:18" ht="18.75" customHeight="1">
      <c r="A122" s="3567" t="str">
        <f>IF(项目基本情况!B9="房地产市场价值","",MID(E107,3,LEN(E107)-2))</f>
        <v>房地产抵押价值</v>
      </c>
      <c r="B122" s="3567"/>
      <c r="C122" s="3567"/>
      <c r="D122" s="3606">
        <f ca="1">H107</f>
        <v>71292</v>
      </c>
      <c r="E122" s="3607"/>
      <c r="F122" s="3607"/>
      <c r="G122" s="3607"/>
      <c r="H122" s="3607"/>
      <c r="I122" s="3608"/>
    </row>
    <row r="123" spans="1:18" ht="18.75" customHeight="1">
      <c r="A123" s="3473" t="s">
        <v>9</v>
      </c>
      <c r="B123" s="3473"/>
      <c r="C123" s="3473"/>
      <c r="D123" s="3577" t="str">
        <f ca="1">NUMBERSTRING(INT(D122*10000),2)&amp;"元整"</f>
        <v>柒亿壹仟贰佰玖拾贰万元整</v>
      </c>
      <c r="E123" s="3578"/>
      <c r="F123" s="3578"/>
      <c r="G123" s="3578"/>
      <c r="H123" s="3578"/>
      <c r="I123" s="3579"/>
    </row>
    <row r="124" spans="1:18" ht="18.75" customHeight="1">
      <c r="A124" s="3567" t="str">
        <f>IF(项目基本情况!B9="房地产市场价值","",MID(E109,3,LEN(E109)-2))</f>
        <v/>
      </c>
      <c r="B124" s="3567"/>
      <c r="C124" s="3567"/>
      <c r="D124" s="3606" t="str">
        <f>H109</f>
        <v>——</v>
      </c>
      <c r="E124" s="3607"/>
      <c r="F124" s="3607"/>
      <c r="G124" s="3607"/>
      <c r="H124" s="3607"/>
      <c r="I124" s="3608"/>
    </row>
    <row r="125" spans="1:18" ht="18.75" customHeight="1">
      <c r="A125" s="3473" t="s">
        <v>9</v>
      </c>
      <c r="B125" s="3473"/>
      <c r="C125" s="3473"/>
      <c r="D125" s="3577" t="e">
        <f>NUMBERSTRING(INT(D124*10000),2)&amp;"元整"</f>
        <v>#VALUE!</v>
      </c>
      <c r="E125" s="3578"/>
      <c r="F125" s="3578"/>
      <c r="G125" s="3578"/>
      <c r="H125" s="3578"/>
      <c r="I125" s="3579"/>
    </row>
    <row r="126" spans="1:18" ht="18.75" customHeight="1">
      <c r="A126" s="3567" t="str">
        <f>IF(项目基本情况!B9="房地产市场价值","",MID(E111,3,LEN(E111)-2))</f>
        <v/>
      </c>
      <c r="B126" s="3567"/>
      <c r="C126" s="3567"/>
      <c r="D126" s="3606" t="str">
        <f>H111</f>
        <v>——</v>
      </c>
      <c r="E126" s="3607"/>
      <c r="F126" s="3607"/>
      <c r="G126" s="3607"/>
      <c r="H126" s="3607"/>
      <c r="I126" s="3608"/>
    </row>
    <row r="127" spans="1:18" ht="18.75" customHeight="1">
      <c r="A127" s="3473" t="s">
        <v>9</v>
      </c>
      <c r="B127" s="3473"/>
      <c r="C127" s="3473"/>
      <c r="D127" s="3577" t="e">
        <f>NUMBERSTRING(INT(D126*10000),2)&amp;"元整"</f>
        <v>#VALUE!</v>
      </c>
      <c r="E127" s="3578"/>
      <c r="F127" s="3578"/>
      <c r="G127" s="3578"/>
      <c r="H127" s="3578"/>
      <c r="I127" s="3579"/>
    </row>
    <row r="128" spans="1:18" ht="21.75" customHeight="1">
      <c r="A128" s="3587" t="s">
        <v>2001</v>
      </c>
      <c r="B128" s="3587"/>
      <c r="C128" s="3587"/>
      <c r="D128" s="3587"/>
      <c r="E128" s="3587"/>
      <c r="F128" s="3587"/>
      <c r="G128" s="3587"/>
      <c r="H128" s="3587"/>
      <c r="I128" s="3587"/>
    </row>
    <row r="129" spans="1:35" ht="21.75" customHeight="1">
      <c r="A129" s="2026" t="s">
        <v>786</v>
      </c>
      <c r="B129" s="2027"/>
      <c r="C129" s="467"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6"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1" t="s">
        <v>3163</v>
      </c>
      <c r="C1" s="573"/>
      <c r="D1" s="573"/>
      <c r="E1" s="573"/>
      <c r="F1" s="573"/>
      <c r="G1" s="2752">
        <f>MATCH(B1,'数据-取费表'!A6:A16,0)+5</f>
        <v>6</v>
      </c>
    </row>
    <row r="2" spans="1:9" s="575" customFormat="1" ht="18" customHeight="1">
      <c r="A2" s="576" t="s">
        <v>445</v>
      </c>
      <c r="B2" s="577">
        <f ca="1">IF(D2="——",C52,C52-E2)</f>
        <v>68309</v>
      </c>
      <c r="C2" s="85" t="s">
        <v>865</v>
      </c>
      <c r="D2" s="2869" t="s">
        <v>530</v>
      </c>
      <c r="E2" s="2867" t="e">
        <f ca="1">SUMIF(INDIRECT("'"&amp;G2&amp;"'"&amp;"!A:A"),"承租人权益价值",INDIRECT("'"&amp;G2&amp;"'"&amp;"!c:c"))</f>
        <v>#REF!</v>
      </c>
      <c r="F2" s="2865" t="s">
        <v>865</v>
      </c>
      <c r="G2" s="2868"/>
    </row>
    <row r="3" spans="1:9" s="575" customFormat="1" ht="18" customHeight="1" thickBot="1">
      <c r="A3" s="578" t="s">
        <v>446</v>
      </c>
      <c r="B3" s="579">
        <f ca="1">ROUND(B2*10000/(IF(B1="",'数据-汇总表'!E3,INDIRECT("'数据-取费表'!k"&amp;$G$1))),0)</f>
        <v>23576</v>
      </c>
      <c r="C3" s="85" t="s">
        <v>866</v>
      </c>
      <c r="D3" s="574"/>
      <c r="E3" s="574"/>
      <c r="F3" s="574"/>
      <c r="G3" s="574"/>
    </row>
    <row r="4" spans="1:9" s="583" customFormat="1" ht="15.75">
      <c r="A4" s="580" t="s">
        <v>818</v>
      </c>
      <c r="B4" s="581"/>
      <c r="C4" s="581"/>
      <c r="D4" s="581"/>
      <c r="E4" s="581"/>
      <c r="F4" s="581"/>
      <c r="G4" s="582"/>
    </row>
    <row r="5" spans="1:9" s="589" customFormat="1" ht="13.5" customHeight="1">
      <c r="A5" s="630" t="s">
        <v>2503</v>
      </c>
      <c r="B5" s="585" t="s">
        <v>819</v>
      </c>
      <c r="C5" s="586">
        <f ca="1">C6+C7+C8</f>
        <v>42195</v>
      </c>
      <c r="D5" s="586" t="s">
        <v>820</v>
      </c>
      <c r="E5" s="587" t="s">
        <v>821</v>
      </c>
      <c r="F5" s="587" t="s">
        <v>822</v>
      </c>
      <c r="G5" s="588"/>
    </row>
    <row r="6" spans="1:9" s="589" customFormat="1" ht="13.5" customHeight="1">
      <c r="A6" s="1802" t="s">
        <v>1921</v>
      </c>
      <c r="B6" s="590" t="s">
        <v>823</v>
      </c>
      <c r="C6" s="591">
        <f>'土地比较法-住宅、综合'!B2</f>
        <v>40496</v>
      </c>
      <c r="D6" s="592"/>
      <c r="E6" s="593"/>
      <c r="F6" s="593"/>
      <c r="G6" s="594"/>
    </row>
    <row r="7" spans="1:9" s="589" customFormat="1" ht="13.5" customHeight="1">
      <c r="A7" s="1802" t="s">
        <v>1922</v>
      </c>
      <c r="B7" s="590" t="s">
        <v>346</v>
      </c>
      <c r="C7" s="595">
        <f>ROUND(C6*F7,0)</f>
        <v>1235</v>
      </c>
      <c r="D7" s="595"/>
      <c r="E7" s="593"/>
      <c r="F7" s="596">
        <f>'数据-取费表'!B48+'数据-取费表'!B49</f>
        <v>3.0499999999999999E-2</v>
      </c>
      <c r="G7" s="594"/>
    </row>
    <row r="8" spans="1:9" s="598" customFormat="1">
      <c r="A8" s="1802" t="s">
        <v>1923</v>
      </c>
      <c r="B8" s="590" t="s">
        <v>824</v>
      </c>
      <c r="C8" s="595">
        <f ca="1">IF(G8="已包含在土地购买价格中","0",IF(B1="",'数据-取费表'!B29,IF(G9="全部缴纳",C9+C10,H9)))</f>
        <v>464</v>
      </c>
      <c r="D8" s="597"/>
      <c r="E8" s="595"/>
      <c r="F8" s="596"/>
      <c r="G8" s="84" t="s">
        <v>3180</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9" t="s">
        <v>3301</v>
      </c>
      <c r="H9" s="2800"/>
      <c r="I9" s="2801" t="s">
        <v>2685</v>
      </c>
    </row>
    <row r="10" spans="1:9" s="589" customFormat="1" ht="13.5" customHeight="1">
      <c r="A10" s="1803" t="s">
        <v>1931</v>
      </c>
      <c r="B10" s="599" t="s">
        <v>826</v>
      </c>
      <c r="C10" s="600">
        <f ca="1">ROUND(D10*E10/10000,0)</f>
        <v>464</v>
      </c>
      <c r="D10" s="1907">
        <f ca="1">IF(B1="",'数据-汇总表'!E6,IF(INDIRECT("'数据-取费表'!c"&amp;$G$1)="住宅",INDIRECT("'数据-取费表'!s"&amp;$G$1),INDIRECT("'数据-取费表'!k"&amp;$G$1)+INDIRECT("'数据-取费表'!s"&amp;$G$1)))</f>
        <v>28973.439999999999</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t="str">
        <f>IF(G19="已包含在土地取得成本中","0",ROUND(D19*E19/10000,0))</f>
        <v>0</v>
      </c>
      <c r="D19" s="1911">
        <f ca="1">D9+D10</f>
        <v>28973.439999999999</v>
      </c>
      <c r="E19" s="586">
        <f>'数据-取费表'!B31</f>
        <v>150</v>
      </c>
      <c r="F19" s="606"/>
      <c r="G19" s="84" t="s">
        <v>3181</v>
      </c>
    </row>
    <row r="20" spans="1:7" s="589" customFormat="1" ht="13.5" customHeight="1">
      <c r="A20" s="1801" t="s">
        <v>2506</v>
      </c>
      <c r="B20" s="585" t="s">
        <v>836</v>
      </c>
      <c r="C20" s="607">
        <f ca="1">ROUND((C5+C19)*F20,0)</f>
        <v>844</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4144</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699">
        <f ca="1">ROUND(IF('数据-取费表'!B22&lt;=1,C5*F22*'数据-取费表'!B23,C5*(POWER((1+F22),'数据-取费表'!B23)-1)),0)</f>
        <v>4104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2507</v>
      </c>
      <c r="C25" s="2699">
        <f ca="1">ROUND(IF('数据-取费表'!B22&lt;=1,C20*F22*'数据-取费表'!B23/2,C20*(POWER((1+F22),'数据-取费表'!B23/2)-1)),0)</f>
        <v>40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 ca="1">C28</f>
        <v>8608</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ROUND((C5+C19+C20)*F27*'数据-取费表'!B21/'数据-取费表'!B20,0)</f>
        <v>8608</v>
      </c>
      <c r="D28" s="610"/>
      <c r="E28" s="611"/>
      <c r="F28" s="621"/>
      <c r="G28" s="622"/>
    </row>
    <row r="29" spans="1:7" s="589" customFormat="1" ht="13.5" customHeight="1">
      <c r="A29" s="1804" t="s">
        <v>1922</v>
      </c>
      <c r="B29" s="623" t="s">
        <v>2512</v>
      </c>
      <c r="C29" s="613">
        <f ca="1">ROUND(C21*F27*'数据-取费表'!B21/'数据-取费表'!B20,4)</f>
        <v>4.0000000000000001E-3</v>
      </c>
      <c r="D29" s="610"/>
      <c r="E29" s="611"/>
      <c r="F29" s="621"/>
      <c r="G29" s="622"/>
    </row>
    <row r="30" spans="1:7" s="589" customFormat="1" ht="13.5" customHeight="1">
      <c r="A30" s="1801" t="s">
        <v>1918</v>
      </c>
      <c r="B30" s="585" t="s">
        <v>347</v>
      </c>
      <c r="C30" s="610">
        <f>ROUND(F30/(1+'数据-取费表'!C42),4)</f>
        <v>5.2400000000000002E-2</v>
      </c>
      <c r="D30" s="611" t="s">
        <v>2937</v>
      </c>
      <c r="E30" s="616"/>
      <c r="F30" s="612">
        <f>'数据-取费表'!B41</f>
        <v>5.5000000000000007E-2</v>
      </c>
      <c r="G30" s="2619" t="s">
        <v>2938</v>
      </c>
    </row>
    <row r="31" spans="1:7" ht="16.5" customHeight="1">
      <c r="A31" s="584">
        <v>1</v>
      </c>
      <c r="B31" s="585" t="s">
        <v>860</v>
      </c>
      <c r="C31" s="586">
        <f ca="1">ROUND((C5+C19+C20+C22+C27)/(1-C21-D22-D27-C30),0)</f>
        <v>60471</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8004</v>
      </c>
      <c r="D33" s="607"/>
      <c r="E33" s="587"/>
      <c r="F33" s="616"/>
      <c r="G33" s="609"/>
    </row>
    <row r="34" spans="1:7" s="633" customFormat="1" ht="13.5" customHeight="1">
      <c r="A34" s="1804" t="s">
        <v>1921</v>
      </c>
      <c r="B34" s="590" t="s">
        <v>348</v>
      </c>
      <c r="C34" s="595">
        <f ca="1">IF(B1="",IF(F34=100%,'数据-取费表'!M16,'数据-取费表'!O16),IF(F34=100%,INDIRECT("'数据-取费表'!m"&amp;$G$1)+INDIRECT("'数据-取费表'!t"&amp;$G$1),INDIRECT("'数据-取费表'!o"&amp;$G$1)+INDIRECT("'数据-取费表'!aq"&amp;$G$1)))</f>
        <v>7243</v>
      </c>
      <c r="D34" s="592"/>
      <c r="E34" s="595"/>
      <c r="F34" s="632">
        <f ca="1">IF('数据-取费表'!B24=0,1,IF(B1="",'数据-取费表'!N16,INDIRECT("'数据-取费表'!n"&amp;$G$1)))</f>
        <v>1</v>
      </c>
      <c r="G34" s="594" t="s">
        <v>848</v>
      </c>
    </row>
    <row r="35" spans="1:7" ht="13.5" customHeight="1">
      <c r="A35" s="1804" t="s">
        <v>1926</v>
      </c>
      <c r="B35" s="590" t="s">
        <v>349</v>
      </c>
      <c r="C35" s="595">
        <f ca="1">ROUND(C34*F35,0)</f>
        <v>217</v>
      </c>
      <c r="D35" s="595"/>
      <c r="E35" s="595"/>
      <c r="F35" s="634">
        <f>'数据-取费表'!B33</f>
        <v>0.03</v>
      </c>
      <c r="G35" s="594" t="s">
        <v>849</v>
      </c>
    </row>
    <row r="36" spans="1:7" ht="24">
      <c r="A36" s="1804" t="s">
        <v>1927</v>
      </c>
      <c r="B36" s="590" t="s">
        <v>350</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351</v>
      </c>
    </row>
    <row r="37" spans="1:7" s="633" customFormat="1" ht="13.5" customHeight="1">
      <c r="A37" s="1804" t="s">
        <v>1928</v>
      </c>
      <c r="B37" s="590" t="s">
        <v>850</v>
      </c>
      <c r="C37" s="624">
        <f ca="1">ROUND(E37*D37*F34/10000,0)</f>
        <v>435</v>
      </c>
      <c r="D37" s="592">
        <f ca="1">D19</f>
        <v>28973.439999999999</v>
      </c>
      <c r="E37" s="624">
        <f>'数据-取费表'!B35</f>
        <v>150</v>
      </c>
      <c r="F37" s="634"/>
      <c r="G37" s="636" t="s">
        <v>851</v>
      </c>
    </row>
    <row r="38" spans="1:7" ht="13.5" customHeight="1">
      <c r="A38" s="1804" t="s">
        <v>1929</v>
      </c>
      <c r="B38" s="590" t="s">
        <v>352</v>
      </c>
      <c r="C38" s="595">
        <f ca="1">ROUND(C34*F38,0)</f>
        <v>109</v>
      </c>
      <c r="D38" s="595"/>
      <c r="E38" s="595"/>
      <c r="F38" s="634">
        <f>'数据-取费表'!B36</f>
        <v>1.4999999999999999E-2</v>
      </c>
      <c r="G38" s="594" t="s">
        <v>849</v>
      </c>
    </row>
    <row r="39" spans="1:7" s="589" customFormat="1" ht="13.5" customHeight="1">
      <c r="A39" s="1801" t="s">
        <v>1913</v>
      </c>
      <c r="B39" s="585" t="s">
        <v>836</v>
      </c>
      <c r="C39" s="607">
        <f ca="1">ROUND(C33*F20,0)</f>
        <v>160</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388</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ROUND(IF('数据-取费表'!B22&lt;=1,C33*F22*'数据-取费表'!B21/2,C33*(POWER((1+F22),'数据-取费表'!B21/2)-1)),0)</f>
        <v>380</v>
      </c>
      <c r="D42" s="613"/>
      <c r="E42" s="613"/>
      <c r="F42" s="614"/>
      <c r="G42" s="3623" t="s">
        <v>853</v>
      </c>
    </row>
    <row r="43" spans="1:7" ht="13.5" customHeight="1">
      <c r="A43" s="1804" t="s">
        <v>1922</v>
      </c>
      <c r="B43" s="590" t="s">
        <v>2513</v>
      </c>
      <c r="C43" s="613">
        <f ca="1">ROUND(IF('数据-取费表'!B22&lt;=1,C39*F22*'数据-取费表'!B21/2,C39*(POWER((1+F22),'数据-取费表'!B21/2)-1)),0)</f>
        <v>8</v>
      </c>
      <c r="D43" s="613"/>
      <c r="E43" s="613"/>
      <c r="F43" s="614"/>
      <c r="G43" s="3624"/>
    </row>
    <row r="44" spans="1:7" ht="13.5" customHeight="1">
      <c r="A44" s="1804" t="s">
        <v>1923</v>
      </c>
      <c r="B44" s="590" t="s">
        <v>2515</v>
      </c>
      <c r="C44" s="613">
        <f ca="1">ROUND(IF('数据-取费表'!B22&lt;=1,C40*F22*'数据-取费表'!B21/2,C40*(POWER((1+F22),'数据-取费表'!B21/2)-1)),4)</f>
        <v>1E-3</v>
      </c>
      <c r="D44" s="613"/>
      <c r="E44" s="613"/>
      <c r="F44" s="614"/>
      <c r="G44" s="3625"/>
    </row>
    <row r="45" spans="1:7" s="589" customFormat="1" ht="13.5" customHeight="1">
      <c r="A45" s="1801" t="s">
        <v>1916</v>
      </c>
      <c r="B45" s="619" t="s">
        <v>844</v>
      </c>
      <c r="C45" s="620">
        <f ca="1">C46</f>
        <v>1633</v>
      </c>
      <c r="D45" s="610">
        <f ca="1">C47</f>
        <v>4.0000000000000001E-3</v>
      </c>
      <c r="E45" s="611" t="s">
        <v>861</v>
      </c>
      <c r="F45" s="621"/>
      <c r="G45" s="622" t="s">
        <v>2521</v>
      </c>
    </row>
    <row r="46" spans="1:7" s="589" customFormat="1" ht="13.5" customHeight="1">
      <c r="A46" s="1804" t="s">
        <v>1921</v>
      </c>
      <c r="B46" s="623" t="s">
        <v>2514</v>
      </c>
      <c r="C46" s="624">
        <f ca="1">ROUND((C33+C39)*F27,0)</f>
        <v>1633</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3232">
        <f>ROUND(F30/(1+'数据-取费表'!C42),4)</f>
        <v>5.2400000000000002E-2</v>
      </c>
      <c r="D48" s="611" t="s">
        <v>2939</v>
      </c>
      <c r="E48" s="607"/>
      <c r="F48" s="612"/>
      <c r="G48" s="2619" t="s">
        <v>2940</v>
      </c>
    </row>
    <row r="49" spans="1:7" ht="16.5" customHeight="1">
      <c r="A49" s="1801" t="s">
        <v>1918</v>
      </c>
      <c r="B49" s="585" t="s">
        <v>863</v>
      </c>
      <c r="C49" s="607">
        <f ca="1">ROUND((C33+C39+C41+C45)/(1-C40-D41-D45-C48),0)</f>
        <v>11039</v>
      </c>
      <c r="D49" s="607"/>
      <c r="E49" s="607"/>
      <c r="F49" s="639"/>
      <c r="G49" s="609" t="s">
        <v>2522</v>
      </c>
    </row>
    <row r="50" spans="1:7" s="633" customFormat="1" ht="24">
      <c r="A50" s="1801" t="s">
        <v>1919</v>
      </c>
      <c r="B50" s="585" t="s">
        <v>856</v>
      </c>
      <c r="C50" s="607"/>
      <c r="D50" s="607"/>
      <c r="E50" s="607"/>
      <c r="F50" s="639">
        <f>IF('数据-取费表'!B24=0,'数据-取费表'!N16,1)</f>
        <v>0.71</v>
      </c>
      <c r="G50" s="622" t="s">
        <v>857</v>
      </c>
    </row>
    <row r="51" spans="1:7" ht="16.5" customHeight="1">
      <c r="A51" s="1801" t="s">
        <v>1920</v>
      </c>
      <c r="B51" s="585" t="s">
        <v>864</v>
      </c>
      <c r="C51" s="607">
        <f ca="1">ROUND(C49*F50,0)</f>
        <v>7838</v>
      </c>
      <c r="D51" s="607"/>
      <c r="E51" s="607"/>
      <c r="F51" s="639"/>
      <c r="G51" s="609" t="s">
        <v>353</v>
      </c>
    </row>
    <row r="52" spans="1:7" s="583" customFormat="1" ht="16.5" thickBot="1">
      <c r="A52" s="640" t="s">
        <v>354</v>
      </c>
      <c r="B52" s="641"/>
      <c r="C52" s="642">
        <f ca="1">C31+C51</f>
        <v>68309</v>
      </c>
      <c r="D52" s="641"/>
      <c r="E52" s="641"/>
      <c r="F52" s="641"/>
      <c r="G52" s="643"/>
    </row>
    <row r="55" spans="1:7" ht="15">
      <c r="B55" s="645" t="s">
        <v>355</v>
      </c>
      <c r="C55" s="646"/>
    </row>
    <row r="56" spans="1:7">
      <c r="B56" s="2871" t="s">
        <v>2697</v>
      </c>
      <c r="C56" s="650">
        <f ca="1">1-C57</f>
        <v>0.88500000000000001</v>
      </c>
    </row>
    <row r="57" spans="1:7">
      <c r="B57" s="2871" t="s">
        <v>2696</v>
      </c>
      <c r="C57" s="649">
        <f ca="1">ROUND(C51/C52,3)</f>
        <v>0.115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430" t="str">
        <f>项目基本情况!B1</f>
        <v>北京市怀柔区杨宋镇凤翔二园1号1-7幢房地产抵押价值预评估</v>
      </c>
      <c r="C37" s="3430"/>
      <c r="D37" s="3430"/>
      <c r="E37" s="3430"/>
      <c r="F37" s="3430"/>
      <c r="G37" s="3430"/>
      <c r="H37" s="3430"/>
      <c r="I37" s="3430"/>
    </row>
    <row r="38" spans="1:9">
      <c r="A38" s="1888"/>
      <c r="B38" s="1888"/>
    </row>
    <row r="39" spans="1:9">
      <c r="A39" s="1886" t="s">
        <v>1962</v>
      </c>
      <c r="B39" s="1886" t="s">
        <v>1964</v>
      </c>
    </row>
    <row r="40" spans="1:9">
      <c r="A40" s="1886"/>
      <c r="B40" s="1886">
        <f>项目基本情况!B5</f>
        <v>0</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刘梅（注册号：1120140022)、吴薇（注册号：1419970001)</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1"/>
      <c r="C1" s="2756" t="s">
        <v>2627</v>
      </c>
      <c r="D1" s="573"/>
      <c r="E1" s="573"/>
      <c r="F1" s="573"/>
      <c r="G1" s="2752">
        <f>MATCH(B1,'数据-取费表'!A6:A16,0)+5</f>
        <v>7</v>
      </c>
      <c r="H1" s="2583" t="str">
        <f>IF(ISERROR(FIND("住宅",B1)),"非住宅","住宅")</f>
        <v>非住宅</v>
      </c>
    </row>
    <row r="2" spans="1:8" s="575" customFormat="1" ht="18" customHeight="1">
      <c r="A2" s="576" t="s">
        <v>344</v>
      </c>
      <c r="B2" s="577">
        <f ca="1">ROUND(IF(D2="——",C52/10000,C52/10000-E2),0)</f>
        <v>9125</v>
      </c>
      <c r="C2" s="85" t="s">
        <v>865</v>
      </c>
      <c r="D2" s="2869" t="s">
        <v>530</v>
      </c>
      <c r="E2" s="2867" t="e">
        <f ca="1">SUMIF(INDIRECT("'"&amp;G2&amp;"'"&amp;"!A:A"),"承租人权益价值",INDIRECT("'"&amp;G2&amp;"'"&amp;"!c:c"))</f>
        <v>#REF!</v>
      </c>
      <c r="F2" s="2865" t="s">
        <v>865</v>
      </c>
      <c r="G2" s="2868"/>
    </row>
    <row r="3" spans="1:8" s="575" customFormat="1" ht="18" customHeight="1" thickBot="1">
      <c r="A3" s="578" t="s">
        <v>345</v>
      </c>
      <c r="B3" s="579">
        <f ca="1">ROUND(B2*10000/(IF(B1="",'数据-汇总表'!E3,INDIRECT("'数据-取费表'!k"&amp;$G$1))),0)</f>
        <v>3149</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4635750</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346</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4635750</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4635750</v>
      </c>
      <c r="D10" s="1907">
        <f ca="1">IF(B1="",'数据-汇总表'!E6,IF(INDIRECT("'数据-取费表'!c"&amp;$G$1)="住宅",INDIRECT("'数据-取费表'!s"&amp;$G$1),INDIRECT("'数据-取费表'!k"&amp;$G$1)+INDIRECT("'数据-取费表'!s"&amp;$G$1)))</f>
        <v>28973.439999999999</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4346016</v>
      </c>
      <c r="D19" s="1911">
        <f ca="1">D9+D10</f>
        <v>28973.439999999999</v>
      </c>
      <c r="E19" s="586">
        <f>'数据-取费表'!B31</f>
        <v>150</v>
      </c>
      <c r="F19" s="606"/>
      <c r="G19" s="84"/>
    </row>
    <row r="20" spans="1:7" s="589" customFormat="1" ht="13.5" customHeight="1">
      <c r="A20" s="1801" t="s">
        <v>1914</v>
      </c>
      <c r="B20" s="585" t="s">
        <v>836</v>
      </c>
      <c r="C20" s="607">
        <f ca="1">ROUND((C5+C19)*F20,0)</f>
        <v>179635</v>
      </c>
      <c r="D20" s="607"/>
      <c r="E20" s="607"/>
      <c r="F20" s="608">
        <f>'数据-取费表'!B37</f>
        <v>0.02</v>
      </c>
      <c r="G20" s="2619" t="s">
        <v>2517</v>
      </c>
    </row>
    <row r="21" spans="1:7" s="589" customFormat="1" ht="13.5" customHeight="1">
      <c r="A21" s="1801" t="s">
        <v>1915</v>
      </c>
      <c r="B21" s="585" t="s">
        <v>837</v>
      </c>
      <c r="C21" s="610">
        <f>F21</f>
        <v>0.02</v>
      </c>
      <c r="D21" s="611" t="s">
        <v>858</v>
      </c>
      <c r="E21" s="607"/>
      <c r="F21" s="608">
        <f>'数据-取费表'!B38</f>
        <v>0.02</v>
      </c>
      <c r="G21" s="609" t="s">
        <v>838</v>
      </c>
    </row>
    <row r="22" spans="1:7" s="589" customFormat="1" ht="13.5" customHeight="1">
      <c r="A22" s="1801" t="s">
        <v>1916</v>
      </c>
      <c r="B22" s="585" t="s">
        <v>839</v>
      </c>
      <c r="C22" s="2753">
        <f ca="1">ROUND(SUM(C23:C25),0)</f>
        <v>882066</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754">
        <f ca="1">ROUND(IF('数据-取费表'!B22&lt;=1,C5*F22*'数据-取费表'!B22,C5*(POWER((1+F22),'数据-取费表'!B22)-1)),0)</f>
        <v>450856</v>
      </c>
      <c r="D23" s="613"/>
      <c r="E23" s="613"/>
      <c r="F23" s="614"/>
      <c r="G23" s="615" t="s">
        <v>840</v>
      </c>
    </row>
    <row r="24" spans="1:7" s="589" customFormat="1" ht="13.5" customHeight="1">
      <c r="A24" s="1804" t="s">
        <v>1922</v>
      </c>
      <c r="B24" s="590" t="s">
        <v>2505</v>
      </c>
      <c r="C24" s="2754">
        <f ca="1">ROUND(IF('数据-取费表'!B22&lt;=1,C19*F22*('数据-取费表'!B19/2+'数据-取费表'!B20),C19*(POWER((1+F22),('数据-取费表'!B19/2+'数据-取费表'!B20))-1)),0)</f>
        <v>422677</v>
      </c>
      <c r="D24" s="613"/>
      <c r="E24" s="613"/>
      <c r="F24" s="614"/>
      <c r="G24" s="615" t="s">
        <v>841</v>
      </c>
    </row>
    <row r="25" spans="1:7" s="589" customFormat="1" ht="24">
      <c r="A25" s="1804" t="s">
        <v>1923</v>
      </c>
      <c r="B25" s="590" t="s">
        <v>2507</v>
      </c>
      <c r="C25" s="2754">
        <f ca="1">ROUND(IF('数据-取费表'!B22&lt;=1,C20*F22*'数据-取费表'!B22/2,C20*(POWER((1+F22),'数据-取费表'!B22/2)-1)),0)</f>
        <v>8533</v>
      </c>
      <c r="D25" s="613"/>
      <c r="E25" s="616"/>
      <c r="F25" s="614"/>
      <c r="G25" s="617" t="s">
        <v>842</v>
      </c>
    </row>
    <row r="26" spans="1:7" s="589" customFormat="1">
      <c r="A26" s="1804" t="s">
        <v>1925</v>
      </c>
      <c r="B26" s="590" t="s">
        <v>2509</v>
      </c>
      <c r="C26" s="613">
        <f ca="1">ROUND(IF('数据-取费表'!B22&lt;=1,F21*F22*'数据-取费表'!B22/2,F21*(POWER((1+F22),'数据-取费表'!B22/2)-1)),4)</f>
        <v>1E-3</v>
      </c>
      <c r="D26" s="613"/>
      <c r="E26" s="616"/>
      <c r="F26" s="614"/>
      <c r="G26" s="618"/>
    </row>
    <row r="27" spans="1:7" s="589" customFormat="1" ht="24.75">
      <c r="A27" s="1801" t="s">
        <v>1917</v>
      </c>
      <c r="B27" s="619" t="s">
        <v>844</v>
      </c>
      <c r="C27" s="620">
        <f ca="1">C28</f>
        <v>1832280</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ROUND((C5+C19+C20)*F27,0)</f>
        <v>1832280</v>
      </c>
      <c r="D28" s="610"/>
      <c r="E28" s="611"/>
      <c r="F28" s="621"/>
      <c r="G28" s="622"/>
    </row>
    <row r="29" spans="1:7" s="589" customFormat="1" ht="13.5" customHeight="1">
      <c r="A29" s="1804" t="s">
        <v>1922</v>
      </c>
      <c r="B29" s="623" t="s">
        <v>2512</v>
      </c>
      <c r="C29" s="613">
        <f ca="1">ROUND(C21*F27,4)</f>
        <v>4.0000000000000001E-3</v>
      </c>
      <c r="D29" s="610"/>
      <c r="E29" s="611"/>
      <c r="F29" s="621"/>
      <c r="G29" s="622"/>
    </row>
    <row r="30" spans="1:7" s="589" customFormat="1" ht="13.5" customHeight="1">
      <c r="A30" s="1801" t="s">
        <v>1918</v>
      </c>
      <c r="B30" s="585" t="s">
        <v>347</v>
      </c>
      <c r="C30" s="610">
        <f>ROUND(F30/(1+'数据-取费表'!C42),4)</f>
        <v>5.2400000000000002E-2</v>
      </c>
      <c r="D30" s="611" t="s">
        <v>2941</v>
      </c>
      <c r="E30" s="616"/>
      <c r="F30" s="612">
        <f>'数据-取费表'!B41</f>
        <v>5.5000000000000007E-2</v>
      </c>
      <c r="G30" s="2619" t="s">
        <v>2942</v>
      </c>
    </row>
    <row r="31" spans="1:7" ht="16.5" customHeight="1">
      <c r="A31" s="584">
        <v>1</v>
      </c>
      <c r="B31" s="585" t="s">
        <v>860</v>
      </c>
      <c r="C31" s="586">
        <f ca="1">ROUND((C5+C19+C20+C22+C27)/(1-C21-D22-D27-C30),0)</f>
        <v>12872043</v>
      </c>
      <c r="D31" s="605"/>
      <c r="E31" s="586"/>
      <c r="F31" s="625"/>
      <c r="G31" s="609" t="s">
        <v>2519</v>
      </c>
    </row>
    <row r="32" spans="1:7" s="583" customFormat="1" ht="15.75">
      <c r="A32" s="627" t="s">
        <v>2622</v>
      </c>
      <c r="B32" s="628"/>
      <c r="C32" s="628"/>
      <c r="D32" s="628"/>
      <c r="E32" s="628"/>
      <c r="F32" s="628"/>
      <c r="G32" s="629"/>
    </row>
    <row r="33" spans="1:7" s="589" customFormat="1" ht="13.5" customHeight="1">
      <c r="A33" s="630" t="s">
        <v>1912</v>
      </c>
      <c r="B33" s="2755" t="s">
        <v>2623</v>
      </c>
      <c r="C33" s="631">
        <f ca="1">SUM(C34:C38)</f>
        <v>80039128</v>
      </c>
      <c r="D33" s="607"/>
      <c r="E33" s="587"/>
      <c r="F33" s="616"/>
      <c r="G33" s="609"/>
    </row>
    <row r="34" spans="1:7" s="633" customFormat="1" ht="13.5" customHeight="1">
      <c r="A34" s="1804" t="s">
        <v>1921</v>
      </c>
      <c r="B34" s="590" t="s">
        <v>348</v>
      </c>
      <c r="C34" s="595">
        <f ca="1">ROUND(IF(B1="",SUMPRODUCT('数据-取费表'!K6:K14,'数据-取费表'!L6:L14),INDIRECT("'数据-取费表'!l"&amp;$G$1)*INDIRECT("'数据-取费表'!k"&amp;$G$1)+'数据-取费表'!L14*INDIRECT("'数据-取费表'!S"&amp;$G$1)),0)</f>
        <v>72433600</v>
      </c>
      <c r="D34" s="592"/>
      <c r="E34" s="595"/>
      <c r="F34" s="632"/>
      <c r="G34" s="594"/>
    </row>
    <row r="35" spans="1:7" ht="13.5" customHeight="1">
      <c r="A35" s="1804" t="s">
        <v>1926</v>
      </c>
      <c r="B35" s="590" t="s">
        <v>349</v>
      </c>
      <c r="C35" s="595">
        <f ca="1">ROUND(C34*F35,0)</f>
        <v>2173008</v>
      </c>
      <c r="D35" s="595"/>
      <c r="E35" s="595"/>
      <c r="F35" s="634">
        <f>'数据-取费表'!B33</f>
        <v>0.03</v>
      </c>
      <c r="G35" s="594" t="s">
        <v>849</v>
      </c>
    </row>
    <row r="36" spans="1:7" ht="24">
      <c r="A36" s="1804" t="s">
        <v>1927</v>
      </c>
      <c r="B36" s="590" t="s">
        <v>350</v>
      </c>
      <c r="C36" s="595">
        <f ca="1">ROUND(IF(B1="",SUM('数据-取费表'!AP6:AP13)*F36,IF(INDIRECT("'数据-取费表'!c"&amp;$G$1)="住宅",INDIRECT("'数据-取费表'!k"&amp;$G$1)*INDIRECT("'数据-取费表'!l"&amp;$G$1)*F36,0)),0)</f>
        <v>0</v>
      </c>
      <c r="D36" s="595"/>
      <c r="E36" s="595"/>
      <c r="F36" s="634">
        <f>'数据-取费表'!B34</f>
        <v>0</v>
      </c>
      <c r="G36" s="635" t="s">
        <v>351</v>
      </c>
    </row>
    <row r="37" spans="1:7" s="633" customFormat="1" ht="13.5" customHeight="1">
      <c r="A37" s="1804" t="s">
        <v>1928</v>
      </c>
      <c r="B37" s="590" t="s">
        <v>850</v>
      </c>
      <c r="C37" s="624">
        <f ca="1">ROUND(E37*D37,0)</f>
        <v>4346016</v>
      </c>
      <c r="D37" s="592">
        <f ca="1">D19</f>
        <v>28973.439999999999</v>
      </c>
      <c r="E37" s="624">
        <f>'数据-取费表'!B35</f>
        <v>150</v>
      </c>
      <c r="F37" s="634"/>
      <c r="G37" s="636"/>
    </row>
    <row r="38" spans="1:7" ht="13.5" customHeight="1">
      <c r="A38" s="1804" t="s">
        <v>1929</v>
      </c>
      <c r="B38" s="590" t="s">
        <v>352</v>
      </c>
      <c r="C38" s="595">
        <f ca="1">ROUND(C34*F38,0)</f>
        <v>1086504</v>
      </c>
      <c r="D38" s="595"/>
      <c r="E38" s="595"/>
      <c r="F38" s="634">
        <f>'数据-取费表'!B36</f>
        <v>1.4999999999999999E-2</v>
      </c>
      <c r="G38" s="594" t="s">
        <v>849</v>
      </c>
    </row>
    <row r="39" spans="1:7" s="589" customFormat="1" ht="13.5" customHeight="1">
      <c r="A39" s="1801" t="s">
        <v>1913</v>
      </c>
      <c r="B39" s="585" t="s">
        <v>836</v>
      </c>
      <c r="C39" s="607">
        <f ca="1">ROUND(C33*F20,0)</f>
        <v>1600783</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3877896</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ROUND(IF('数据-取费表'!B22&lt;=1,C33*F22*'数据-取费表'!B20/2,C33*(POWER((1+F22),'数据-取费表'!B20/2)-1)),0)</f>
        <v>3801859</v>
      </c>
      <c r="D42" s="613"/>
      <c r="E42" s="613"/>
      <c r="F42" s="614"/>
      <c r="G42" s="3626" t="s">
        <v>2626</v>
      </c>
    </row>
    <row r="43" spans="1:7" ht="13.5" customHeight="1">
      <c r="A43" s="1804" t="s">
        <v>1922</v>
      </c>
      <c r="B43" s="590" t="s">
        <v>2505</v>
      </c>
      <c r="C43" s="613">
        <f ca="1">ROUND(IF('数据-取费表'!B22&lt;=1,C39*F22*'数据-取费表'!B20/2,C39*(POWER((1+F22),'数据-取费表'!B20/2)-1)),0)</f>
        <v>76037</v>
      </c>
      <c r="D43" s="613"/>
      <c r="E43" s="613"/>
      <c r="F43" s="614"/>
      <c r="G43" s="3624"/>
    </row>
    <row r="44" spans="1:7" ht="13.5" customHeight="1">
      <c r="A44" s="1804" t="s">
        <v>1923</v>
      </c>
      <c r="B44" s="590" t="s">
        <v>2507</v>
      </c>
      <c r="C44" s="613">
        <f ca="1">ROUND(IF('数据-取费表'!B22&lt;=1,C40*F22*'数据-取费表'!B20/2,C40*(POWER((1+F22),'数据-取费表'!B20/2)-1)),4)</f>
        <v>1E-3</v>
      </c>
      <c r="D44" s="613"/>
      <c r="E44" s="613"/>
      <c r="F44" s="614"/>
      <c r="G44" s="3625"/>
    </row>
    <row r="45" spans="1:7" s="589" customFormat="1" ht="13.5" customHeight="1">
      <c r="A45" s="1801" t="s">
        <v>1916</v>
      </c>
      <c r="B45" s="619" t="s">
        <v>844</v>
      </c>
      <c r="C45" s="620">
        <f ca="1">C46</f>
        <v>16327982</v>
      </c>
      <c r="D45" s="610">
        <f ca="1">C47</f>
        <v>4.0000000000000001E-3</v>
      </c>
      <c r="E45" s="611" t="s">
        <v>861</v>
      </c>
      <c r="F45" s="621"/>
      <c r="G45" s="622" t="s">
        <v>2521</v>
      </c>
    </row>
    <row r="46" spans="1:7" s="589" customFormat="1" ht="13.5" customHeight="1">
      <c r="A46" s="1804" t="s">
        <v>1921</v>
      </c>
      <c r="B46" s="623" t="s">
        <v>2514</v>
      </c>
      <c r="C46" s="624">
        <f ca="1">ROUND((C33+C39)*F27,0)</f>
        <v>16327982</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637">
        <f>ROUND(F30/(1+'数据-取费表'!C42),4)</f>
        <v>5.2400000000000002E-2</v>
      </c>
      <c r="D48" s="611" t="s">
        <v>2939</v>
      </c>
      <c r="E48" s="607"/>
      <c r="F48" s="612"/>
      <c r="G48" s="2619" t="s">
        <v>2940</v>
      </c>
    </row>
    <row r="49" spans="1:7" ht="16.5" customHeight="1">
      <c r="A49" s="1801" t="s">
        <v>1918</v>
      </c>
      <c r="B49" s="585" t="s">
        <v>2624</v>
      </c>
      <c r="C49" s="607">
        <f ca="1">ROUND((C33+C39+C41+C45)/(1-C40-D41-D45-C48),0)</f>
        <v>110389973</v>
      </c>
      <c r="D49" s="607"/>
      <c r="E49" s="607"/>
      <c r="F49" s="639"/>
      <c r="G49" s="609" t="s">
        <v>2522</v>
      </c>
    </row>
    <row r="50" spans="1:7" s="633" customFormat="1">
      <c r="A50" s="1801" t="s">
        <v>1919</v>
      </c>
      <c r="B50" s="585" t="s">
        <v>856</v>
      </c>
      <c r="C50" s="607"/>
      <c r="D50" s="607"/>
      <c r="E50" s="607"/>
      <c r="F50" s="639">
        <f>IF('数据-取费表'!B24=0,'数据-取费表'!N16,1)</f>
        <v>0.71</v>
      </c>
      <c r="G50" s="622"/>
    </row>
    <row r="51" spans="1:7" ht="16.5" customHeight="1">
      <c r="A51" s="1801" t="s">
        <v>1920</v>
      </c>
      <c r="B51" s="585" t="s">
        <v>2625</v>
      </c>
      <c r="C51" s="607">
        <f ca="1">ROUND(C49*F50,0)</f>
        <v>78376881</v>
      </c>
      <c r="D51" s="607"/>
      <c r="E51" s="607"/>
      <c r="F51" s="639"/>
      <c r="G51" s="609" t="s">
        <v>353</v>
      </c>
    </row>
    <row r="52" spans="1:7" s="583" customFormat="1" ht="16.5" thickBot="1">
      <c r="A52" s="640" t="s">
        <v>354</v>
      </c>
      <c r="B52" s="641"/>
      <c r="C52" s="642">
        <f ca="1">C31+C51</f>
        <v>91248924</v>
      </c>
      <c r="D52" s="641"/>
      <c r="E52" s="641"/>
      <c r="F52" s="641"/>
      <c r="G52" s="643"/>
    </row>
    <row r="55" spans="1:7" ht="15">
      <c r="B55" s="645" t="s">
        <v>355</v>
      </c>
      <c r="C55" s="646"/>
    </row>
    <row r="56" spans="1:7">
      <c r="B56" s="2871" t="s">
        <v>2697</v>
      </c>
      <c r="C56" s="650">
        <f ca="1">1-C57</f>
        <v>0.14100000000000001</v>
      </c>
    </row>
    <row r="57" spans="1:7">
      <c r="B57" s="2871" t="s">
        <v>2696</v>
      </c>
      <c r="C57" s="649">
        <f ca="1">ROUND(C51/C52,3)</f>
        <v>0.85899999999999999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1" t="s">
        <v>203</v>
      </c>
      <c r="D5" s="1271" t="s">
        <v>204</v>
      </c>
      <c r="E5" s="1271" t="s">
        <v>194</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2945</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2946</v>
      </c>
      <c r="B12" s="1826" t="s">
        <v>880</v>
      </c>
      <c r="C12" s="312">
        <f ca="1">ROUND(C11*F12,0)</f>
        <v>0</v>
      </c>
      <c r="D12" s="1827"/>
      <c r="E12" s="714"/>
      <c r="F12" s="1830">
        <f>'数据-取费表'!B33</f>
        <v>0.03</v>
      </c>
      <c r="G12" s="295" t="s">
        <v>881</v>
      </c>
      <c r="H12" s="1822"/>
      <c r="I12" s="1822"/>
      <c r="J12" s="1822"/>
      <c r="K12" s="1823"/>
    </row>
    <row r="13" spans="1:33" s="1829" customFormat="1" ht="13.5" customHeight="1">
      <c r="A13" s="1825" t="s">
        <v>2947</v>
      </c>
      <c r="B13" s="1826" t="s">
        <v>882</v>
      </c>
      <c r="C13" s="312">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2948</v>
      </c>
      <c r="B14" s="1826" t="s">
        <v>884</v>
      </c>
      <c r="C14" s="312">
        <f ca="1">ROUND(D14*E14*F11/10000,0)</f>
        <v>0</v>
      </c>
      <c r="D14" s="1908">
        <f ca="1">IF(C1="",'数据-汇总表'!E3,INDIRECT("'数据-取费表'!K"&amp;$K$1)+INDIRECT("'数据-取费表'!S"&amp;$K$1))</f>
        <v>28973.439999999999</v>
      </c>
      <c r="E14" s="312">
        <f>'数据-取费表'!B35</f>
        <v>150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2949</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2950</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2">
        <f ca="1">ROUND(D17*E17/10000,0)</f>
        <v>0</v>
      </c>
      <c r="D17" s="1908">
        <f ca="1">D14</f>
        <v>28973.439999999999</v>
      </c>
      <c r="E17" s="312">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2951</v>
      </c>
      <c r="B18" s="1826" t="s">
        <v>888</v>
      </c>
      <c r="C18" s="312">
        <f ca="1">C19+C20-IF(C1="",'数据-取费表'!B29,IF(G18="已全部缴纳",C19+C20,H18))</f>
        <v>0</v>
      </c>
      <c r="D18" s="1908"/>
      <c r="E18" s="312"/>
      <c r="F18" s="1830"/>
      <c r="G18" s="3044"/>
      <c r="H18" s="3042"/>
      <c r="I18" s="3043" t="s">
        <v>2796</v>
      </c>
      <c r="J18" s="1833"/>
      <c r="K18" s="1834"/>
    </row>
    <row r="19" spans="1:33" s="1829" customFormat="1" ht="13.5" customHeight="1">
      <c r="A19" s="1825" t="s">
        <v>1935</v>
      </c>
      <c r="B19" s="1826" t="s">
        <v>889</v>
      </c>
      <c r="C19" s="312">
        <f ca="1">ROUND(D19*E19/10000,0)</f>
        <v>0</v>
      </c>
      <c r="D19" s="1908">
        <f ca="1">IF(C1="",'数据-汇总表'!E5,IF(INDIRECT("'数据-取费表'!c"&amp;$K$1)="住宅",INDIRECT("'数据-取费表'!k"&amp;$K$1),0))</f>
        <v>0</v>
      </c>
      <c r="E19" s="312">
        <f>'数据-取费表'!B27</f>
        <v>0</v>
      </c>
      <c r="F19" s="1830"/>
      <c r="G19" s="302"/>
      <c r="H19" s="3046"/>
      <c r="I19" s="1835"/>
      <c r="J19" s="1835"/>
      <c r="K19" s="1836"/>
    </row>
    <row r="20" spans="1:33" s="1829" customFormat="1" ht="13.5" customHeight="1">
      <c r="A20" s="1825" t="s">
        <v>1936</v>
      </c>
      <c r="B20" s="1826" t="s">
        <v>890</v>
      </c>
      <c r="C20" s="312">
        <f ca="1">ROUND(D20*E20/10000,0)</f>
        <v>464</v>
      </c>
      <c r="D20" s="1908">
        <f ca="1">IF(C1="",'数据-汇总表'!E6,IF(INDIRECT("'数据-取费表'!c"&amp;$K$1)="住宅",INDIRECT("'数据-取费表'!s"&amp;$K$1),INDIRECT("'数据-取费表'!k"&amp;$K$1)+INDIRECT("'数据-取费表'!s"&amp;$K$1)))</f>
        <v>28973.439999999999</v>
      </c>
      <c r="E20" s="312">
        <f>'数据-取费表'!B28</f>
        <v>160</v>
      </c>
      <c r="F20" s="1830"/>
      <c r="G20" s="302"/>
      <c r="H20" s="1835"/>
      <c r="I20" s="1835"/>
      <c r="J20" s="1835"/>
      <c r="K20" s="1836"/>
    </row>
    <row r="21" spans="1:33" s="1829" customFormat="1" ht="13.5" customHeight="1">
      <c r="A21" s="1814" t="s">
        <v>1932</v>
      </c>
      <c r="B21" s="1839" t="s">
        <v>893</v>
      </c>
      <c r="C21" s="1840">
        <f ca="1">C16+C17+C18</f>
        <v>0</v>
      </c>
      <c r="D21" s="1841"/>
      <c r="E21" s="656"/>
      <c r="F21" s="656"/>
      <c r="G21" s="470" t="s">
        <v>2523</v>
      </c>
      <c r="H21" s="1833"/>
      <c r="I21" s="1833"/>
      <c r="J21" s="1833"/>
      <c r="K21" s="1834"/>
    </row>
    <row r="22" spans="1:33" s="1829" customFormat="1" ht="13.5" customHeight="1">
      <c r="A22" s="1819" t="s">
        <v>1913</v>
      </c>
      <c r="B22" s="1839" t="s">
        <v>894</v>
      </c>
      <c r="C22" s="1840">
        <f ca="1">ROUND(C21*F22,0)</f>
        <v>0</v>
      </c>
      <c r="D22" s="656"/>
      <c r="E22" s="656"/>
      <c r="F22" s="1842">
        <f>'数据-取费表'!B37</f>
        <v>0.02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0.02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2943</v>
      </c>
      <c r="H24" s="1844"/>
      <c r="I24" s="1844"/>
      <c r="J24" s="1844"/>
      <c r="K24" s="1845"/>
    </row>
    <row r="25" spans="1:33" s="1829" customFormat="1" ht="13.5" customHeight="1">
      <c r="A25" s="1819" t="s">
        <v>1916</v>
      </c>
      <c r="B25" s="1841" t="s">
        <v>899</v>
      </c>
      <c r="C25" s="2701">
        <f ca="1">C27</f>
        <v>0</v>
      </c>
      <c r="D25" s="655">
        <f ca="1">C26</f>
        <v>0</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900</v>
      </c>
      <c r="C26" s="2702">
        <f ca="1">ROUND(IF('数据-取费表'!B22&lt;=1,(1+C24)*F25*'数据-取费表'!B24,(1+C24)*(POWER((1+F25),'数据-取费表'!B24)-1)),4)</f>
        <v>0</v>
      </c>
      <c r="D26" s="659"/>
      <c r="E26" s="660"/>
      <c r="F26" s="661"/>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2613</v>
      </c>
      <c r="C27" s="2703">
        <f ca="1">ROUND(IF('数据-取费表'!B22&lt;=1,(C21+C22+C23)*F25*'数据-取费表'!B24/2,(C21+C22+C23)*(POWER((1+F25),'数据-取费表'!B24/2)-1)),0)</f>
        <v>0</v>
      </c>
      <c r="D27" s="659"/>
      <c r="E27" s="660"/>
      <c r="F27" s="661"/>
      <c r="G27" s="2707" t="str">
        <f>IF('数据-取费表'!B22&lt;=1,"（1）-（3）项×年利率×建设期÷2","（1）-（3）项×((1+年利率)^(建设期÷2)-1)")</f>
        <v>（1）-（3）项×((1+年利率)^(建设期÷2)-1)</v>
      </c>
      <c r="H27" s="1833"/>
      <c r="I27" s="1833"/>
      <c r="J27" s="1833"/>
      <c r="K27" s="1834"/>
    </row>
    <row r="28" spans="1:33" s="664" customFormat="1" ht="13.5" customHeight="1">
      <c r="A28" s="1819" t="s">
        <v>1917</v>
      </c>
      <c r="B28" s="3234" t="s">
        <v>2952</v>
      </c>
      <c r="C28" s="662">
        <f ca="1">C30</f>
        <v>0</v>
      </c>
      <c r="D28" s="655">
        <f ca="1">C29</f>
        <v>0</v>
      </c>
      <c r="E28" s="657" t="s">
        <v>50</v>
      </c>
      <c r="F28" s="663">
        <f ca="1">IF(C1="",'数据-取费表'!Q16,INDIRECT("'数据-取费表'!q"&amp;$K$1))</f>
        <v>0.2</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8" t="s">
        <v>2614</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2944</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A4" zoomScale="80" zoomScaleNormal="80" zoomScaleSheetLayoutView="90" workbookViewId="0">
      <selection activeCell="F6" sqref="F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3163</v>
      </c>
      <c r="D1" s="1272"/>
      <c r="E1" s="2584" t="s">
        <v>2442</v>
      </c>
      <c r="F1" s="2585">
        <f ca="1">J53</f>
        <v>34.31</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816</v>
      </c>
      <c r="B2" s="1405">
        <f ca="1">C40+J29+L46</f>
        <v>73280</v>
      </c>
      <c r="C2" s="1298" t="s">
        <v>1100</v>
      </c>
      <c r="D2" s="1274"/>
      <c r="E2" s="2574"/>
      <c r="F2" s="1275"/>
      <c r="G2" s="2286"/>
      <c r="H2" s="1273"/>
      <c r="I2" s="1273"/>
      <c r="J2" s="1273"/>
      <c r="K2" s="1297"/>
      <c r="L2" s="1273"/>
      <c r="M2" s="1273"/>
    </row>
    <row r="3" spans="1:37" ht="18" customHeight="1" thickBot="1">
      <c r="A3" s="674" t="s">
        <v>817</v>
      </c>
      <c r="B3" s="1406">
        <f ca="1">IF(ISERROR(B2*10000/F43),0,ROUND(B2*10000/F43,0))</f>
        <v>25292</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2531</v>
      </c>
      <c r="C5" s="2625">
        <f ca="1">C6+C10+C12</f>
        <v>3581</v>
      </c>
      <c r="D5" s="2635" t="s">
        <v>2533</v>
      </c>
      <c r="E5" s="2626"/>
      <c r="F5" s="2627"/>
      <c r="G5" s="2287"/>
      <c r="H5" s="680">
        <v>1</v>
      </c>
      <c r="I5" s="681" t="s">
        <v>2531</v>
      </c>
      <c r="J5" s="2625">
        <f ca="1">J6+J10+J12</f>
        <v>0</v>
      </c>
      <c r="K5" s="2628" t="s">
        <v>2533</v>
      </c>
      <c r="L5" s="2626"/>
      <c r="M5" s="2627"/>
    </row>
    <row r="6" spans="1:37" ht="18" customHeight="1">
      <c r="A6" s="2621" t="s">
        <v>2538</v>
      </c>
      <c r="B6" s="3629" t="s">
        <v>2532</v>
      </c>
      <c r="C6" s="2630">
        <f ca="1">ROUND(F6*F8*F7*(1-F9)/10000,0)</f>
        <v>3574</v>
      </c>
      <c r="D6" s="2624" t="s">
        <v>2534</v>
      </c>
      <c r="E6" s="683" t="s">
        <v>913</v>
      </c>
      <c r="F6" s="684">
        <f ca="1">INDIRECT("'数据-取费表'!u"&amp;$G$1)</f>
        <v>5.2</v>
      </c>
      <c r="G6" s="2287"/>
      <c r="H6" s="2621" t="s">
        <v>2541</v>
      </c>
      <c r="I6" s="3629" t="s">
        <v>2532</v>
      </c>
      <c r="J6" s="682">
        <f ca="1">ROUND(M6*M8*M7*(1-M9)/10000,0)</f>
        <v>0</v>
      </c>
      <c r="K6" s="2624" t="s">
        <v>2534</v>
      </c>
      <c r="L6" s="683" t="s">
        <v>913</v>
      </c>
      <c r="M6" s="684">
        <f ca="1">INDIRECT("'数据-取费表'!z"&amp;$G$1)</f>
        <v>0</v>
      </c>
    </row>
    <row r="7" spans="1:37" ht="18" customHeight="1">
      <c r="A7" s="2629"/>
      <c r="B7" s="3630"/>
      <c r="C7" s="2631"/>
      <c r="D7" s="2060"/>
      <c r="E7" s="2632" t="s">
        <v>914</v>
      </c>
      <c r="F7" s="684">
        <f ca="1">IF(INDIRECT("'数据-取费表'!ah"&amp;$G$1)="",INDIRECT("'数据-取费表'!k"&amp;$G$1),INDIRECT("'数据-取费表'!ah"&amp;$G$1))</f>
        <v>28973.439999999999</v>
      </c>
      <c r="G7" s="2287"/>
      <c r="H7" s="685"/>
      <c r="I7" s="3630"/>
      <c r="J7" s="687"/>
      <c r="K7" s="688"/>
      <c r="L7" s="683" t="s">
        <v>914</v>
      </c>
      <c r="M7" s="684">
        <f ca="1">F7</f>
        <v>28973.439999999999</v>
      </c>
    </row>
    <row r="8" spans="1:37" ht="18" customHeight="1">
      <c r="A8" s="685"/>
      <c r="B8" s="3630"/>
      <c r="C8" s="687"/>
      <c r="D8" s="688"/>
      <c r="E8" s="683" t="s">
        <v>915</v>
      </c>
      <c r="F8" s="684">
        <f ca="1">INDIRECT("'数据-取费表'!ai"&amp;$G$1)</f>
        <v>365</v>
      </c>
      <c r="G8" s="2287"/>
      <c r="H8" s="685"/>
      <c r="I8" s="3630"/>
      <c r="J8" s="687"/>
      <c r="K8" s="688"/>
      <c r="L8" s="683" t="s">
        <v>915</v>
      </c>
      <c r="M8" s="684">
        <f ca="1">INDIRECT("'数据-取费表'!ai"&amp;$G$1)</f>
        <v>365</v>
      </c>
    </row>
    <row r="9" spans="1:37" ht="18" customHeight="1">
      <c r="A9" s="685"/>
      <c r="B9" s="3631"/>
      <c r="C9" s="687"/>
      <c r="D9" s="688"/>
      <c r="E9" s="683" t="s">
        <v>916</v>
      </c>
      <c r="F9" s="693">
        <f ca="1">INDIRECT("'数据-取费表'!w"&amp;$G$1)</f>
        <v>0.35</v>
      </c>
      <c r="G9" s="2287"/>
      <c r="H9" s="685"/>
      <c r="I9" s="3631"/>
      <c r="J9" s="687"/>
      <c r="K9" s="688"/>
      <c r="L9" s="694" t="s">
        <v>916</v>
      </c>
      <c r="M9" s="695">
        <f ca="1">INDIRECT("'数据-取费表'!ab"&amp;$G$1)</f>
        <v>0</v>
      </c>
    </row>
    <row r="10" spans="1:37" ht="18" customHeight="1">
      <c r="A10" s="2621" t="s">
        <v>2539</v>
      </c>
      <c r="B10" s="2622" t="s">
        <v>2527</v>
      </c>
      <c r="C10" s="697">
        <f ca="1">ROUND(IF(F10="押一",F6*F8*F7/12*F11,IF(F10="押二",F6*F8*F7/12*2*F11,IF(F10="押三",F6*F8*F7/12*3*F11,C11*F11)))/10000,0)</f>
        <v>7</v>
      </c>
      <c r="D10" s="2633" t="s">
        <v>2535</v>
      </c>
      <c r="E10" s="2096" t="s">
        <v>2529</v>
      </c>
      <c r="F10" s="2827" t="s">
        <v>3184</v>
      </c>
      <c r="G10" s="2287"/>
      <c r="H10" s="2621" t="s">
        <v>2542</v>
      </c>
      <c r="I10" s="2622" t="s">
        <v>2527</v>
      </c>
      <c r="J10" s="682">
        <f ca="1">ROUND(IF(M10="押一",M6*M8*M7/12*M11,IF(M10="押二",M6*M8*M7/12*2*M11,IF(M10="押三",M6*M8*M7/12*3*M11,J11*M11)))/10000,0)</f>
        <v>0</v>
      </c>
      <c r="K10" s="2633" t="s">
        <v>2535</v>
      </c>
      <c r="L10" s="2096" t="s">
        <v>2529</v>
      </c>
      <c r="M10" s="2728" t="s">
        <v>2621</v>
      </c>
    </row>
    <row r="11" spans="1:37" ht="18" customHeight="1">
      <c r="A11" s="689"/>
      <c r="B11" s="2623" t="s">
        <v>2694</v>
      </c>
      <c r="C11" s="2414"/>
      <c r="D11" s="2866"/>
      <c r="E11" s="2096" t="s">
        <v>2530</v>
      </c>
      <c r="F11" s="695">
        <f ca="1">'数据-取费表'!B39</f>
        <v>1.4999999999999999E-2</v>
      </c>
      <c r="G11" s="2287"/>
      <c r="H11" s="2634"/>
      <c r="I11" s="2623" t="s">
        <v>2694</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2543</v>
      </c>
      <c r="I12" s="2670" t="s">
        <v>2528</v>
      </c>
      <c r="J12" s="2671"/>
      <c r="K12" s="2688"/>
      <c r="L12" s="2673"/>
      <c r="M12" s="2689"/>
    </row>
    <row r="13" spans="1:37" ht="18" customHeight="1" thickTop="1">
      <c r="A13" s="2665">
        <v>2</v>
      </c>
      <c r="B13" s="2666" t="s">
        <v>917</v>
      </c>
      <c r="C13" s="691">
        <f ca="1">ROUND(C29*F13,0)</f>
        <v>7838</v>
      </c>
      <c r="D13" s="2667" t="s">
        <v>918</v>
      </c>
      <c r="E13" s="2667" t="s">
        <v>919</v>
      </c>
      <c r="F13" s="2668">
        <f ca="1">INDIRECT("'数据-取费表'!y"&amp;$G$1)</f>
        <v>0.71</v>
      </c>
      <c r="G13" s="2287"/>
      <c r="H13" s="2665">
        <v>2</v>
      </c>
      <c r="I13" s="2666" t="s">
        <v>917</v>
      </c>
      <c r="J13" s="2620">
        <f ca="1">ROUND(J14*J15,0)</f>
        <v>0</v>
      </c>
      <c r="K13" s="2675" t="s">
        <v>918</v>
      </c>
      <c r="L13" s="2686"/>
      <c r="M13" s="2687"/>
    </row>
    <row r="14" spans="1:37" ht="18" customHeight="1">
      <c r="A14" s="2437" t="s">
        <v>2369</v>
      </c>
      <c r="B14" s="683" t="s">
        <v>358</v>
      </c>
      <c r="C14" s="701">
        <f ca="1">INDIRECT("'数据-取费表'!m"&amp;$G$1)+INDIRECT("'数据-取费表'!t"&amp;$G$1)</f>
        <v>7243</v>
      </c>
      <c r="D14" s="2214" t="s">
        <v>920</v>
      </c>
      <c r="E14" s="2213"/>
      <c r="F14" s="702"/>
      <c r="G14" s="2287"/>
      <c r="H14" s="2437" t="s">
        <v>2372</v>
      </c>
      <c r="I14" s="683" t="s">
        <v>921</v>
      </c>
      <c r="J14" s="312">
        <f ca="1">C29</f>
        <v>11039</v>
      </c>
      <c r="K14" s="302"/>
      <c r="L14" s="699"/>
      <c r="M14" s="700"/>
    </row>
    <row r="15" spans="1:37" s="705" customFormat="1" ht="18" customHeight="1" thickBot="1">
      <c r="A15" s="2437" t="s">
        <v>2604</v>
      </c>
      <c r="B15" s="683" t="s">
        <v>359</v>
      </c>
      <c r="C15" s="312">
        <f ca="1">ROUND(C14*F15,0)</f>
        <v>217</v>
      </c>
      <c r="D15" s="703" t="s">
        <v>922</v>
      </c>
      <c r="E15" s="703" t="s">
        <v>923</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ROUND(INDIRECT("'数据-取费表'!m"&amp;$G$1)*F16,0)</f>
        <v>0</v>
      </c>
      <c r="D16" s="683" t="s">
        <v>922</v>
      </c>
      <c r="E16" s="683" t="s">
        <v>923</v>
      </c>
      <c r="F16" s="706">
        <f ca="1">IF(INDIRECT("'数据-取费表'!c"&amp;$G$1)="住宅",'数据-取费表'!B34,0)</f>
        <v>0</v>
      </c>
      <c r="G16" s="2287"/>
      <c r="H16" s="2665" t="s">
        <v>2337</v>
      </c>
      <c r="I16" s="2666" t="s">
        <v>924</v>
      </c>
      <c r="J16" s="691">
        <f ca="1">ROUND(J17+J22+J23+J24,0)</f>
        <v>272</v>
      </c>
      <c r="K16" s="2675" t="s">
        <v>925</v>
      </c>
      <c r="L16" s="2676"/>
      <c r="M16" s="2627"/>
    </row>
    <row r="17" spans="1:37" s="705" customFormat="1" ht="18" customHeight="1">
      <c r="A17" s="2437" t="s">
        <v>2606</v>
      </c>
      <c r="B17" s="683" t="s">
        <v>361</v>
      </c>
      <c r="C17" s="312">
        <f ca="1">ROUND(F17*(F43+INDIRECT("'数据-取费表'!S"&amp;$G$1))/10000,0)</f>
        <v>435</v>
      </c>
      <c r="D17" s="683" t="s">
        <v>926</v>
      </c>
      <c r="E17" s="683" t="s">
        <v>927</v>
      </c>
      <c r="F17" s="314">
        <f>'数据-取费表'!B35</f>
        <v>150</v>
      </c>
      <c r="G17" s="2288"/>
      <c r="H17" s="2437" t="s">
        <v>2372</v>
      </c>
      <c r="I17" s="683" t="s">
        <v>362</v>
      </c>
      <c r="J17" s="312">
        <f ca="1">ROUND(IF(项目基本情况!B11="自然人",J5*M17,J18+J19+J20),1)</f>
        <v>106.7</v>
      </c>
      <c r="K17" s="2214" t="s">
        <v>928</v>
      </c>
      <c r="L17" s="2212"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109</v>
      </c>
      <c r="D18" s="683" t="s">
        <v>922</v>
      </c>
      <c r="E18" s="683" t="s">
        <v>923</v>
      </c>
      <c r="F18" s="706">
        <f>'数据-取费表'!B36</f>
        <v>1.4999999999999999E-2</v>
      </c>
      <c r="G18" s="2288"/>
      <c r="H18" s="2437" t="s">
        <v>2369</v>
      </c>
      <c r="I18" s="683" t="s">
        <v>930</v>
      </c>
      <c r="J18" s="312">
        <f ca="1">ROUND(J5*M18/(1+'数据-取费表'!C42),2)</f>
        <v>0</v>
      </c>
      <c r="K18" s="2212" t="s">
        <v>931</v>
      </c>
      <c r="L18" s="683" t="s">
        <v>923</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2538</v>
      </c>
      <c r="B19" s="683" t="s">
        <v>365</v>
      </c>
      <c r="C19" s="312">
        <f ca="1">SUM(C14:C18)</f>
        <v>8004</v>
      </c>
      <c r="D19" s="470" t="s">
        <v>932</v>
      </c>
      <c r="E19" s="2222"/>
      <c r="F19" s="314"/>
      <c r="G19" s="2287"/>
      <c r="H19" s="2437" t="s">
        <v>2604</v>
      </c>
      <c r="I19" s="683" t="s">
        <v>933</v>
      </c>
      <c r="J19" s="312">
        <f ca="1">IF(K19="按租金收入计税",ROUND(J5*M19,2),ROUND(C29*M19*0.7,2))</f>
        <v>92.73</v>
      </c>
      <c r="K19" s="1299" t="s">
        <v>2412</v>
      </c>
      <c r="L19" s="683" t="s">
        <v>923</v>
      </c>
      <c r="M19" s="706">
        <f>IF(K19="按租金收入计税",'数据-取费表'!B51,'数据-取费表'!B50)</f>
        <v>1.2E-2</v>
      </c>
    </row>
    <row r="20" spans="1:37" s="705" customFormat="1" ht="18" customHeight="1">
      <c r="A20" s="2437" t="s">
        <v>2608</v>
      </c>
      <c r="B20" s="683" t="s">
        <v>366</v>
      </c>
      <c r="C20" s="312">
        <f ca="1">ROUND(C19*F20,0)</f>
        <v>160</v>
      </c>
      <c r="D20" s="708" t="s">
        <v>934</v>
      </c>
      <c r="E20" s="683" t="s">
        <v>923</v>
      </c>
      <c r="F20" s="706">
        <f>'数据-取费表'!B37</f>
        <v>0.02</v>
      </c>
      <c r="G20" s="2288"/>
      <c r="H20" s="2437" t="s">
        <v>2605</v>
      </c>
      <c r="I20" s="495" t="s">
        <v>935</v>
      </c>
      <c r="J20" s="313">
        <f ca="1">ROUND(M20*M21/10000,2)</f>
        <v>13.92</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71</v>
      </c>
      <c r="D21" s="708" t="s">
        <v>939</v>
      </c>
      <c r="E21" s="683" t="s">
        <v>940</v>
      </c>
      <c r="F21" s="706">
        <f>'数据-取费表'!B38</f>
        <v>0.02</v>
      </c>
      <c r="G21" s="2288"/>
      <c r="H21" s="711"/>
      <c r="I21" s="692"/>
      <c r="J21" s="317"/>
      <c r="K21" s="712"/>
      <c r="L21" s="683" t="s">
        <v>941</v>
      </c>
      <c r="M21" s="684">
        <f ca="1">INDIRECT("'数据-取费表'!r"&amp;$G$1)</f>
        <v>92783.56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222"/>
      <c r="F22" s="314"/>
      <c r="G22" s="2287"/>
      <c r="H22" s="2437" t="s">
        <v>2379</v>
      </c>
      <c r="I22" s="683" t="s">
        <v>943</v>
      </c>
      <c r="J22" s="312">
        <f ca="1">ROUND(J14*M22,1)</f>
        <v>165.6</v>
      </c>
      <c r="K22" s="2212" t="s">
        <v>944</v>
      </c>
      <c r="L22" s="683" t="s">
        <v>923</v>
      </c>
      <c r="M22" s="713">
        <f ca="1">INDIRECT("'数据-取费表'!Ak"&amp;$G$1)</f>
        <v>1.4999999999999999E-2</v>
      </c>
    </row>
    <row r="23" spans="1:37" s="705" customFormat="1" ht="18" customHeight="1">
      <c r="A23" s="2437" t="s">
        <v>2369</v>
      </c>
      <c r="B23" s="683" t="s">
        <v>2524</v>
      </c>
      <c r="C23" s="312">
        <f ca="1">IF('数据-取费表'!B22&lt;=1,ROUND(C19*F24*F23/2,0)+ROUND(C20*F24*F23/2,0),ROUND(C19*(POWER((1+F24),F23/2)-1),0)+ROUND(C20*(POWER((1+F24),F23/2)-1),0))</f>
        <v>388</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ROUND(J13*M23,1)</f>
        <v>0</v>
      </c>
      <c r="K23" s="2212" t="s">
        <v>946</v>
      </c>
      <c r="L23" s="683" t="s">
        <v>923</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ROUND(J5*M24,1)</f>
        <v>0</v>
      </c>
      <c r="K24" s="2680" t="s">
        <v>949</v>
      </c>
      <c r="L24" s="2678" t="s">
        <v>923</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222"/>
      <c r="F25" s="314"/>
      <c r="G25" s="2287"/>
      <c r="H25" s="2665" t="s">
        <v>2352</v>
      </c>
      <c r="I25" s="2682" t="s">
        <v>951</v>
      </c>
      <c r="J25" s="691">
        <f ca="1">J5-J16</f>
        <v>-272</v>
      </c>
      <c r="K25" s="2683" t="s">
        <v>952</v>
      </c>
      <c r="L25" s="2684"/>
      <c r="M25" s="2685"/>
    </row>
    <row r="26" spans="1:37" ht="18" customHeight="1">
      <c r="A26" s="2437" t="s">
        <v>2369</v>
      </c>
      <c r="B26" s="683" t="s">
        <v>2525</v>
      </c>
      <c r="C26" s="312">
        <f ca="1">ROUND((C19+C20)*F26,0)</f>
        <v>1633</v>
      </c>
      <c r="D26" s="708" t="s">
        <v>953</v>
      </c>
      <c r="E26" s="694" t="s">
        <v>954</v>
      </c>
      <c r="F26" s="693">
        <f ca="1">INDIRECT("'数据-取费表'!q"&amp;$G$1)</f>
        <v>0.2</v>
      </c>
      <c r="G26" s="2287"/>
      <c r="H26" s="680" t="s">
        <v>2355</v>
      </c>
      <c r="I26" s="681" t="s">
        <v>955</v>
      </c>
      <c r="J26" s="682">
        <f ca="1">IF(J5&lt;&gt;0,ROUND(J25*(1-((1+M28)/(1+M26))^M27)/(M26-M28),0),0)</f>
        <v>0</v>
      </c>
      <c r="K26" s="709" t="s">
        <v>956</v>
      </c>
      <c r="L26" s="683" t="s">
        <v>962</v>
      </c>
      <c r="M26" s="693">
        <f ca="1">INDIRECT("'数据-取费表'!I"&amp;$G$1)</f>
        <v>0.05</v>
      </c>
    </row>
    <row r="27" spans="1:37" ht="18" customHeight="1">
      <c r="A27" s="2437" t="s">
        <v>2375</v>
      </c>
      <c r="B27" s="683" t="s">
        <v>374</v>
      </c>
      <c r="C27" s="312">
        <f ca="1">ROUND(F21*F26,4)</f>
        <v>4.0000000000000001E-3</v>
      </c>
      <c r="D27" s="708" t="s">
        <v>957</v>
      </c>
      <c r="E27" s="703"/>
      <c r="F27" s="704"/>
      <c r="G27" s="2287"/>
      <c r="H27" s="685"/>
      <c r="I27" s="686"/>
      <c r="J27" s="687"/>
      <c r="K27" s="717" t="s">
        <v>958</v>
      </c>
      <c r="L27" s="683" t="s">
        <v>963</v>
      </c>
      <c r="M27" s="718">
        <f ca="1">INDIRECT("'数据-取费表'!ag"&amp;$G$1)</f>
        <v>0</v>
      </c>
    </row>
    <row r="28" spans="1:37" s="705" customFormat="1" ht="18" customHeight="1">
      <c r="A28" s="2437" t="s">
        <v>2377</v>
      </c>
      <c r="B28" s="683" t="s">
        <v>375</v>
      </c>
      <c r="C28" s="312">
        <f>ROUND(F28/(1+'数据-取费表'!C42),4)</f>
        <v>5.2400000000000002E-2</v>
      </c>
      <c r="D28" s="708" t="s">
        <v>964</v>
      </c>
      <c r="E28" s="683" t="s">
        <v>923</v>
      </c>
      <c r="F28" s="706">
        <f>'数据-取费表'!B41</f>
        <v>5.5000000000000007E-2</v>
      </c>
      <c r="G28" s="2288"/>
      <c r="H28" s="689"/>
      <c r="I28" s="690"/>
      <c r="J28" s="691"/>
      <c r="K28" s="712"/>
      <c r="L28" s="683" t="s">
        <v>965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11039</v>
      </c>
      <c r="D29" s="2680"/>
      <c r="E29" s="2678"/>
      <c r="F29" s="2681"/>
      <c r="G29" s="2288"/>
      <c r="H29" s="719" t="s">
        <v>2362</v>
      </c>
      <c r="I29" s="720" t="s">
        <v>959</v>
      </c>
      <c r="J29" s="721">
        <f ca="1">ROUND(J26/(1+F40)^F41,0)</f>
        <v>0</v>
      </c>
      <c r="K29" s="722" t="s">
        <v>960</v>
      </c>
      <c r="L29" s="723"/>
      <c r="M29" s="724">
        <f ca="1">INDIRECT("'数据-取费表'!k"&amp;$G$1)</f>
        <v>28973.439999999999</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547</v>
      </c>
      <c r="D30" s="2675" t="s">
        <v>925</v>
      </c>
      <c r="E30" s="2676"/>
      <c r="F30" s="2627"/>
      <c r="G30" s="2287"/>
      <c r="H30" s="1276"/>
      <c r="I30" s="1277"/>
      <c r="J30" s="1278"/>
      <c r="K30" s="1279"/>
      <c r="L30" s="1280"/>
      <c r="M30" s="1281"/>
    </row>
    <row r="31" spans="1:37" ht="18" customHeight="1">
      <c r="A31" s="2437" t="s">
        <v>2538</v>
      </c>
      <c r="B31" s="683" t="s">
        <v>362</v>
      </c>
      <c r="C31" s="312">
        <f ca="1">ROUND(IF(项目基本情况!B11="自然人",C5*F31,C32+C33+C34),1)</f>
        <v>294.2</v>
      </c>
      <c r="D31" s="2214" t="s">
        <v>928</v>
      </c>
      <c r="E31" s="2212"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2603</v>
      </c>
      <c r="B32" s="683" t="s">
        <v>930</v>
      </c>
      <c r="C32" s="312">
        <f ca="1">IF(项目基本情况!B11="自然人","——",ROUND(C5*F32/(1+'数据-取费表'!C42),2))</f>
        <v>187.58</v>
      </c>
      <c r="D32" s="2212" t="s">
        <v>931</v>
      </c>
      <c r="E32" s="683" t="s">
        <v>923</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IF(项目基本情况!B11="自然人","——",IF(D33="按租金收入计税",ROUND(C5*F33,2),IF(D33="按房产原值计税",ROUND(C29*F33*0.7,2),INDIRECT("'数据-取费表'!Aj"&amp;$G$1))))</f>
        <v>92.73</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968</v>
      </c>
      <c r="C34" s="313">
        <f ca="1">IF(项目基本情况!B11="自然人","——",ROUND(F34*F35/10000,2))</f>
        <v>13.92</v>
      </c>
      <c r="D34" s="709" t="s">
        <v>969</v>
      </c>
      <c r="E34" s="683" t="s">
        <v>970</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92783.56</v>
      </c>
      <c r="G35" s="2287"/>
      <c r="H35" s="1276"/>
      <c r="I35" s="2880"/>
      <c r="J35" s="2881"/>
      <c r="K35" s="1289"/>
      <c r="L35" s="1288"/>
      <c r="M35" s="1288"/>
    </row>
    <row r="36" spans="1:18" ht="18" customHeight="1">
      <c r="A36" s="2694" t="s">
        <v>2379</v>
      </c>
      <c r="B36" s="683" t="s">
        <v>943</v>
      </c>
      <c r="C36" s="312">
        <f ca="1">ROUND(C29*F36,1)</f>
        <v>165.6</v>
      </c>
      <c r="D36" s="2212" t="s">
        <v>973</v>
      </c>
      <c r="E36" s="683" t="s">
        <v>974</v>
      </c>
      <c r="F36" s="713">
        <f ca="1">INDIRECT("'数据-取费表'!Ak"&amp;$G$1)</f>
        <v>1.4999999999999999E-2</v>
      </c>
      <c r="G36" s="2287"/>
      <c r="H36" s="1288"/>
      <c r="I36" s="2880"/>
      <c r="J36" s="2881"/>
      <c r="K36" s="1292"/>
      <c r="L36" s="1288"/>
      <c r="M36" s="1288"/>
    </row>
    <row r="37" spans="1:18" ht="18" customHeight="1">
      <c r="A37" s="2437" t="s">
        <v>2609</v>
      </c>
      <c r="B37" s="683" t="s">
        <v>367</v>
      </c>
      <c r="C37" s="312">
        <f ca="1">ROUND(C13*F37,1)</f>
        <v>15.7</v>
      </c>
      <c r="D37" s="2212" t="s">
        <v>368</v>
      </c>
      <c r="E37" s="683" t="s">
        <v>369</v>
      </c>
      <c r="F37" s="715">
        <f ca="1">INDIRECT("'数据-取费表'!Al"&amp;$G$1)</f>
        <v>2E-3</v>
      </c>
      <c r="G37" s="2287"/>
      <c r="H37" s="1288"/>
      <c r="I37" s="2880"/>
      <c r="J37" s="2881"/>
      <c r="K37" s="1292"/>
      <c r="L37" s="1288"/>
      <c r="M37" s="1288"/>
    </row>
    <row r="38" spans="1:18" ht="18" customHeight="1" thickBot="1">
      <c r="A38" s="2677" t="s">
        <v>2610</v>
      </c>
      <c r="B38" s="2678" t="s">
        <v>366</v>
      </c>
      <c r="C38" s="2679">
        <f ca="1">ROUND(C5*F38,1)</f>
        <v>71.599999999999994</v>
      </c>
      <c r="D38" s="2680" t="s">
        <v>370</v>
      </c>
      <c r="E38" s="2678" t="s">
        <v>369</v>
      </c>
      <c r="F38" s="2674">
        <f ca="1">INDIRECT("'数据-取费表'!Am"&amp;$G$1)</f>
        <v>0.02</v>
      </c>
      <c r="G38" s="2287"/>
      <c r="H38" s="1288"/>
      <c r="I38" s="2880"/>
      <c r="J38" s="2881"/>
      <c r="K38" s="1293"/>
      <c r="L38" s="1288"/>
      <c r="M38" s="1288"/>
    </row>
    <row r="39" spans="1:18" ht="24.6" customHeight="1" thickTop="1">
      <c r="A39" s="2665" t="s">
        <v>2352</v>
      </c>
      <c r="B39" s="2682" t="s">
        <v>376</v>
      </c>
      <c r="C39" s="691">
        <f ca="1">C5-C30</f>
        <v>3034</v>
      </c>
      <c r="D39" s="2683" t="s">
        <v>377</v>
      </c>
      <c r="E39" s="2684"/>
      <c r="F39" s="2685"/>
      <c r="G39" s="2287"/>
      <c r="H39" s="1288"/>
      <c r="I39" s="2880"/>
      <c r="J39" s="2881"/>
      <c r="K39" s="1293"/>
      <c r="L39" s="1288"/>
      <c r="M39" s="1288"/>
    </row>
    <row r="40" spans="1:18" ht="18" customHeight="1">
      <c r="A40" s="680" t="s">
        <v>2355</v>
      </c>
      <c r="B40" s="681" t="s">
        <v>378</v>
      </c>
      <c r="C40" s="682">
        <f ca="1">ROUND(C39*(1-((1+F42)/(1+F40))^F41)/(F40-F42),0)</f>
        <v>73280</v>
      </c>
      <c r="D40" s="709" t="s">
        <v>372</v>
      </c>
      <c r="E40" s="683" t="s">
        <v>373</v>
      </c>
      <c r="F40" s="693">
        <f ca="1">INDIRECT("'数据-取费表'!I"&amp;$G$1)</f>
        <v>0.05</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34.31</v>
      </c>
      <c r="G41" s="2287"/>
      <c r="H41" s="1190"/>
      <c r="I41" s="2880"/>
      <c r="J41" s="2881"/>
      <c r="K41" s="1292"/>
      <c r="L41" s="1190"/>
      <c r="M41" s="1190"/>
    </row>
    <row r="42" spans="1:18" ht="18" customHeight="1">
      <c r="A42" s="689"/>
      <c r="B42" s="690"/>
      <c r="C42" s="691"/>
      <c r="D42" s="712"/>
      <c r="E42" s="683" t="s">
        <v>381</v>
      </c>
      <c r="F42" s="693">
        <f ca="1">INDIRECT("'数据-取费表'!v"&amp;$G$1)</f>
        <v>0.03</v>
      </c>
      <c r="G42" s="2287"/>
      <c r="H42" s="1190"/>
      <c r="I42" s="2880"/>
      <c r="J42" s="2881"/>
      <c r="K42" s="1292"/>
      <c r="L42" s="1190"/>
      <c r="M42" s="1190"/>
    </row>
    <row r="43" spans="1:18" ht="18" customHeight="1" thickBot="1">
      <c r="A43" s="719" t="s">
        <v>2362</v>
      </c>
      <c r="B43" s="720" t="s">
        <v>382</v>
      </c>
      <c r="C43" s="721">
        <f ca="1">ROUND(C40*10000/F43,0)</f>
        <v>25292</v>
      </c>
      <c r="D43" s="722" t="s">
        <v>383</v>
      </c>
      <c r="E43" s="723" t="s">
        <v>384</v>
      </c>
      <c r="F43" s="724">
        <f ca="1">INDIRECT("'数据-取费表'!k"&amp;$G$1)</f>
        <v>28973.439999999999</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2485</v>
      </c>
      <c r="P45" s="1294"/>
      <c r="Q45" s="1294"/>
      <c r="R45" s="1294"/>
    </row>
    <row r="46" spans="1:18" s="1453" customFormat="1" ht="21" thickBot="1">
      <c r="A46" s="2395" t="s">
        <v>2324</v>
      </c>
      <c r="B46" s="2396"/>
      <c r="C46" s="2724">
        <f ca="1">C68-C40</f>
        <v>-77960</v>
      </c>
      <c r="D46" s="2725" t="str">
        <f>C2</f>
        <v>万元</v>
      </c>
      <c r="E46" s="1431"/>
      <c r="F46" s="1431"/>
      <c r="I46" s="2577" t="s">
        <v>2420</v>
      </c>
      <c r="J46" s="2578"/>
      <c r="K46" s="2579"/>
      <c r="L46" s="2581" t="str">
        <f ca="1">IF(M47="住宅",0,IF(L48&gt;J51,L60,J60))</f>
        <v>0</v>
      </c>
      <c r="O46" s="2593" t="s">
        <v>2463</v>
      </c>
      <c r="P46" s="2594" t="s">
        <v>2464</v>
      </c>
      <c r="Q46" s="2595" t="s">
        <v>2462</v>
      </c>
      <c r="R46" s="2595" t="s">
        <v>2465</v>
      </c>
    </row>
    <row r="47" spans="1:18" s="1453" customFormat="1" ht="15.75" thickBot="1">
      <c r="A47" s="2397" t="s">
        <v>2326</v>
      </c>
      <c r="B47" s="2433" t="s">
        <v>2327</v>
      </c>
      <c r="C47" s="2729" t="s">
        <v>2328</v>
      </c>
      <c r="D47" s="2433" t="s">
        <v>2329</v>
      </c>
      <c r="E47" s="2536" t="s">
        <v>2330</v>
      </c>
      <c r="F47" s="2537"/>
      <c r="G47" s="1455"/>
      <c r="I47" s="2552" t="s">
        <v>2413</v>
      </c>
      <c r="J47" s="2553" t="s">
        <v>3186</v>
      </c>
      <c r="K47" s="2562" t="s">
        <v>2436</v>
      </c>
      <c r="L47" s="2563">
        <f ca="1">INDIRECT("'数据-取费表'!d"&amp;$G$1)</f>
        <v>50</v>
      </c>
      <c r="M47" s="2583" t="str">
        <f>IF(ISNUMBER(FIND("住宅",C1)),"住宅","非住宅")</f>
        <v>非住宅</v>
      </c>
      <c r="O47" s="2586" t="s">
        <v>2448</v>
      </c>
      <c r="P47" s="2596" t="s">
        <v>2466</v>
      </c>
      <c r="Q47" s="2587">
        <f ca="1">C40+J29</f>
        <v>73280</v>
      </c>
      <c r="R47" s="2587" t="s">
        <v>2467</v>
      </c>
    </row>
    <row r="48" spans="1:18" s="1453" customFormat="1" ht="47.25" thickBot="1">
      <c r="A48" s="2710" t="s">
        <v>2615</v>
      </c>
      <c r="B48" s="681" t="s">
        <v>2331</v>
      </c>
      <c r="C48" s="2720">
        <f ca="1">C49+C53+C55</f>
        <v>0</v>
      </c>
      <c r="D48" s="2714"/>
      <c r="E48" s="2715"/>
      <c r="F48" s="2417"/>
      <c r="G48" s="1455"/>
      <c r="H48" s="1456"/>
      <c r="I48" s="2543" t="s">
        <v>2414</v>
      </c>
      <c r="J48" s="2554" t="s">
        <v>2415</v>
      </c>
      <c r="K48" s="2564" t="s">
        <v>2437</v>
      </c>
      <c r="L48" s="2167">
        <f ca="1">INDIRECT("'数据-取费表'!f"&amp;$G$1)</f>
        <v>34.31</v>
      </c>
      <c r="O48" s="2586" t="s">
        <v>2449</v>
      </c>
      <c r="P48" s="2596" t="s">
        <v>2468</v>
      </c>
      <c r="Q48" s="2587" t="str">
        <f ca="1">J60</f>
        <v>0</v>
      </c>
      <c r="R48" s="2587" t="s">
        <v>2476</v>
      </c>
    </row>
    <row r="49" spans="1:18" s="1453" customFormat="1" ht="15.75" thickBot="1">
      <c r="A49" s="2430" t="s">
        <v>2616</v>
      </c>
      <c r="B49" s="2713" t="s">
        <v>2618</v>
      </c>
      <c r="C49" s="2722">
        <f ca="1">ROUND(F49*F51*F50*(1-F52)/10000,0)</f>
        <v>0</v>
      </c>
      <c r="D49" s="2532" t="s">
        <v>2332</v>
      </c>
      <c r="E49" s="2535" t="s">
        <v>2325</v>
      </c>
      <c r="F49" s="2538"/>
      <c r="G49" s="1457"/>
      <c r="H49" s="1456"/>
      <c r="I49" s="2543" t="s">
        <v>2434</v>
      </c>
      <c r="J49" s="2555">
        <v>1996</v>
      </c>
      <c r="K49" s="2565" t="s">
        <v>2439</v>
      </c>
      <c r="L49" s="2566"/>
      <c r="O49" s="2588" t="s">
        <v>2450</v>
      </c>
      <c r="P49" s="2596" t="s">
        <v>2469</v>
      </c>
      <c r="Q49" s="2587">
        <f ca="1">C29</f>
        <v>11039</v>
      </c>
      <c r="R49" s="2587" t="s">
        <v>2467</v>
      </c>
    </row>
    <row r="50" spans="1:18" s="1453" customFormat="1" ht="15.75" thickBot="1">
      <c r="A50" s="2431"/>
      <c r="B50" s="2434"/>
      <c r="C50" s="2730"/>
      <c r="D50" s="2404"/>
      <c r="E50" s="2533" t="s">
        <v>2333</v>
      </c>
      <c r="F50" s="2534">
        <f ca="1">F7</f>
        <v>28973.439999999999</v>
      </c>
      <c r="H50" s="1456"/>
      <c r="I50" s="2543" t="s">
        <v>2416</v>
      </c>
      <c r="J50" s="2556">
        <f>SUMPRODUCT((I63:I65=J47)*(J62:L62=J48)*(J63:L65))</f>
        <v>60</v>
      </c>
      <c r="K50" s="2565" t="s">
        <v>2440</v>
      </c>
      <c r="L50" s="2566"/>
      <c r="M50" s="2560"/>
      <c r="O50" s="2588" t="s">
        <v>2451</v>
      </c>
      <c r="P50" s="2596" t="s">
        <v>2477</v>
      </c>
      <c r="Q50" s="2589" t="e">
        <f ca="1">J58</f>
        <v>#VALUE!</v>
      </c>
      <c r="R50" s="2587"/>
    </row>
    <row r="51" spans="1:18" s="1453" customFormat="1" ht="15.75" thickBot="1">
      <c r="A51" s="2432"/>
      <c r="B51" s="2434"/>
      <c r="C51" s="2435"/>
      <c r="D51" s="2404"/>
      <c r="E51" s="2436" t="s">
        <v>2334</v>
      </c>
      <c r="F51" s="684">
        <f ca="1">F8</f>
        <v>365</v>
      </c>
      <c r="I51" s="2557" t="s">
        <v>2421</v>
      </c>
      <c r="J51" s="2558">
        <f>IF(J49="",J50,J49+J50-YEAR('数据-取费表'!B2))</f>
        <v>39</v>
      </c>
      <c r="K51" s="2567" t="s">
        <v>2441</v>
      </c>
      <c r="L51" s="2580">
        <f ca="1">ROUND(-PV(INDIRECT("'数据-取费表'!h"&amp;$G$1),L48,(C39-C13*C76),0),0)</f>
        <v>40996</v>
      </c>
      <c r="M51" s="2561"/>
      <c r="O51" s="2588" t="s">
        <v>2452</v>
      </c>
      <c r="P51" s="2596" t="s">
        <v>2478</v>
      </c>
      <c r="Q51" s="2589">
        <f>J52</f>
        <v>0.09</v>
      </c>
      <c r="R51" s="2587"/>
    </row>
    <row r="52" spans="1:18" s="1453" customFormat="1" ht="15.75" thickBot="1">
      <c r="A52" s="2432"/>
      <c r="B52" s="2434"/>
      <c r="C52" s="2435"/>
      <c r="D52" s="2404"/>
      <c r="E52" s="2436" t="s">
        <v>2335</v>
      </c>
      <c r="F52" s="2531"/>
      <c r="I52" s="2559" t="s">
        <v>2444</v>
      </c>
      <c r="J52" s="2573">
        <v>0.09</v>
      </c>
      <c r="K52" s="2559" t="s">
        <v>2429</v>
      </c>
      <c r="L52" s="2573"/>
      <c r="M52" s="2396"/>
      <c r="O52" s="2588" t="s">
        <v>2453</v>
      </c>
      <c r="P52" s="2596" t="s">
        <v>2470</v>
      </c>
      <c r="Q52" s="2587">
        <f ca="1">J53</f>
        <v>34.31</v>
      </c>
      <c r="R52" s="2587" t="s">
        <v>2471</v>
      </c>
    </row>
    <row r="53" spans="1:18" s="1453" customFormat="1" ht="43.5" thickBot="1">
      <c r="A53" s="2825" t="s">
        <v>2617</v>
      </c>
      <c r="B53" s="432" t="s">
        <v>2527</v>
      </c>
      <c r="C53" s="697">
        <f ca="1">ROUND(IF(F53="押一",F49*F51*F50/12*F11,IF(F53="押二",F49*F51*F50/12*2*F11,IF(F53="押三",F49*F51*F50/12*3*F11,C54*F11)))/10000,0)</f>
        <v>0</v>
      </c>
      <c r="D53" s="2633" t="s">
        <v>2535</v>
      </c>
      <c r="E53" s="2096" t="s">
        <v>2529</v>
      </c>
      <c r="F53" s="2827"/>
      <c r="I53" s="2569" t="s">
        <v>2446</v>
      </c>
      <c r="J53" s="2570">
        <f ca="1">IF(M47="住宅",J51,MIN(J51,L48))</f>
        <v>34.31</v>
      </c>
      <c r="K53" s="3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8"/>
      <c r="O53" s="2586" t="s">
        <v>2454</v>
      </c>
      <c r="P53" s="2596" t="s">
        <v>2472</v>
      </c>
      <c r="Q53" s="2587">
        <f ca="1">Q47+Q48</f>
        <v>73280</v>
      </c>
      <c r="R53" s="2587" t="s">
        <v>2455</v>
      </c>
    </row>
    <row r="54" spans="1:18" s="1453" customFormat="1" ht="16.5" thickBot="1">
      <c r="A54" s="2826"/>
      <c r="B54" s="2623" t="s">
        <v>2694</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09"/>
      <c r="F55" s="2539"/>
      <c r="I55" s="3316" t="s">
        <v>2422</v>
      </c>
      <c r="J55" s="3315" t="e">
        <f ca="1">ROUND(IF(J47="钢混",J57/J50,1-(1-2%)*(J50-J57)/J50),3)</f>
        <v>#VALUE!</v>
      </c>
      <c r="K55" s="2550" t="s">
        <v>2423</v>
      </c>
      <c r="L55" s="2572" t="s">
        <v>3185</v>
      </c>
      <c r="O55" s="2593" t="s">
        <v>2463</v>
      </c>
      <c r="P55" s="2594" t="s">
        <v>2464</v>
      </c>
      <c r="Q55" s="2595" t="s">
        <v>2462</v>
      </c>
      <c r="R55" s="2595" t="s">
        <v>2465</v>
      </c>
    </row>
    <row r="56" spans="1:18" s="1453" customFormat="1" ht="44.25" thickTop="1" thickBot="1">
      <c r="A56" s="2408">
        <v>2</v>
      </c>
      <c r="B56" s="2409" t="s">
        <v>2336</v>
      </c>
      <c r="C56" s="607">
        <f ca="1">C13</f>
        <v>7838</v>
      </c>
      <c r="D56" s="2697"/>
      <c r="E56" s="2410"/>
      <c r="F56" s="2539"/>
      <c r="I56" s="2542" t="s">
        <v>2424</v>
      </c>
      <c r="J56" s="2571" t="s">
        <v>3052</v>
      </c>
      <c r="K56" s="2543" t="s">
        <v>2428</v>
      </c>
      <c r="L56" s="2167" t="str">
        <f ca="1">IF(L48&lt;J51,"——",L48-J51)</f>
        <v>——</v>
      </c>
      <c r="O56" s="2586" t="s">
        <v>2448</v>
      </c>
      <c r="P56" s="2596" t="s">
        <v>2466</v>
      </c>
      <c r="Q56" s="2587">
        <f ca="1">C40+J29</f>
        <v>73280</v>
      </c>
      <c r="R56" s="2587" t="s">
        <v>2467</v>
      </c>
    </row>
    <row r="57" spans="1:18" s="1453" customFormat="1" ht="29.25" thickBot="1">
      <c r="A57" s="2540"/>
      <c r="B57" s="2401" t="s">
        <v>2366</v>
      </c>
      <c r="C57" s="613">
        <f ca="1">C29</f>
        <v>11039</v>
      </c>
      <c r="D57" s="2412"/>
      <c r="E57" s="2413"/>
      <c r="F57" s="2541"/>
      <c r="I57" s="2544" t="s">
        <v>2445</v>
      </c>
      <c r="J57" s="2548" t="str">
        <f ca="1">IF(OR(M47="住宅",J51&lt;L48,J56="是"),"——",J51-L48)</f>
        <v>——</v>
      </c>
      <c r="K57" s="2543" t="s">
        <v>2897</v>
      </c>
      <c r="L57" s="2167" t="str">
        <f ca="1">IF(L48&lt;J51,"——",IF(L55="比较法",L49,IF(L55="基准地价",L50,L51)))</f>
        <v>——</v>
      </c>
      <c r="O57" s="2586" t="s">
        <v>2449</v>
      </c>
      <c r="P57" s="2596" t="s">
        <v>2473</v>
      </c>
      <c r="Q57" s="2587">
        <f ca="1">L60</f>
        <v>0</v>
      </c>
      <c r="R57" s="2587" t="s">
        <v>2488</v>
      </c>
    </row>
    <row r="58" spans="1:18" s="1453" customFormat="1" ht="29.25" thickBot="1">
      <c r="A58" s="696" t="s">
        <v>2337</v>
      </c>
      <c r="B58" s="2409" t="s">
        <v>2367</v>
      </c>
      <c r="C58" s="697">
        <f ca="1">ROUND(C59+C64+C65+C66,0)</f>
        <v>288</v>
      </c>
      <c r="D58" s="2415" t="s">
        <v>2368</v>
      </c>
      <c r="E58" s="2416"/>
      <c r="F58" s="2417"/>
      <c r="I58" s="2544" t="s">
        <v>2425</v>
      </c>
      <c r="J58" s="3317" t="e">
        <f ca="1">IF(J55&lt;0.4,0.4,J55)</f>
        <v>#VALUE!</v>
      </c>
      <c r="K58" s="2567" t="s">
        <v>2898</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ROUND(IF(项目基本情况!B11="自然人",C48*F59,C60+C61+C62),1)</f>
        <v>106.7</v>
      </c>
      <c r="D59" s="2418" t="s">
        <v>2338</v>
      </c>
      <c r="E59" s="2419" t="s">
        <v>2339</v>
      </c>
      <c r="F59" s="707" t="str">
        <f ca="1">IF(项目基本情况!B11="企业","",IF(INDIRECT("'数据-取费表'!c"&amp;$G$1)="住宅",5%,IF(F49*F50*F51/12/(1+'数据-取费表'!C42)&gt;20000,12%,7%)))</f>
        <v/>
      </c>
      <c r="I59" s="2544" t="s">
        <v>2426</v>
      </c>
      <c r="J59" s="2548" t="str">
        <f ca="1">IF(OR(M47="住宅",J51&lt;L48,J56="是"),"——",ROUND(C29*J58,0))</f>
        <v>——</v>
      </c>
      <c r="K59" s="2567" t="s">
        <v>2899</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2340</v>
      </c>
      <c r="C60" s="312">
        <f ca="1">IF(项目基本情况!B11="自然人","——",ROUND(C48*F60/(1+'数据-取费表'!C42),2))</f>
        <v>0</v>
      </c>
      <c r="D60" s="2419" t="s">
        <v>2341</v>
      </c>
      <c r="E60" s="2401" t="s">
        <v>2342</v>
      </c>
      <c r="F60" s="716">
        <f t="shared" ref="F60:F66" si="0">F32</f>
        <v>5.5000000000000007E-2</v>
      </c>
      <c r="I60" s="2545" t="s">
        <v>2427</v>
      </c>
      <c r="J60" s="2549" t="str">
        <f ca="1">IF(OR(M47="住宅",J51&lt;L48,J56="是"),"0",ROUND(J59/(1+J52)^J53,0))</f>
        <v>0</v>
      </c>
      <c r="K60" s="2551" t="s">
        <v>2430</v>
      </c>
      <c r="L60" s="2549">
        <f ca="1">IF(OR(M47="住宅",L48&lt;J51),0,ROUND(L57*(L58/L59-1),0))</f>
        <v>0</v>
      </c>
      <c r="O60" s="2588" t="s">
        <v>2452</v>
      </c>
      <c r="P60" s="2596" t="s">
        <v>2482</v>
      </c>
      <c r="Q60" s="2587">
        <f ca="1">L58</f>
        <v>0</v>
      </c>
      <c r="R60" s="2587" t="s">
        <v>2457</v>
      </c>
    </row>
    <row r="61" spans="1:18" s="1453" customFormat="1" ht="20.25" thickBot="1">
      <c r="A61" s="2437" t="s">
        <v>2370</v>
      </c>
      <c r="B61" s="2401" t="s">
        <v>2343</v>
      </c>
      <c r="C61" s="312">
        <f ca="1">IF(项目基本情况!B11="自然人","——",IF(D61="按租金收入计税",ROUND(C48*F61,2),IF(D61="按房产原值计税",ROUND(C57*F61*0.7,2),INDIRECT("'数据-取费表'!Aj"&amp;$G$1))))</f>
        <v>92.73</v>
      </c>
      <c r="D61" s="1299" t="s">
        <v>2412</v>
      </c>
      <c r="E61" s="2401" t="s">
        <v>2342</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2344</v>
      </c>
      <c r="C62" s="313">
        <f ca="1">IF(项目基本情况!B11="自然人","——",ROUND(F62*F63/10000,2))</f>
        <v>13.92</v>
      </c>
      <c r="D62" s="2420" t="s">
        <v>2345</v>
      </c>
      <c r="E62" s="2401" t="s">
        <v>2346</v>
      </c>
      <c r="F62" s="710">
        <f t="shared" si="0"/>
        <v>1.5</v>
      </c>
      <c r="I62" s="2546" t="s">
        <v>2417</v>
      </c>
      <c r="J62" s="2547" t="s">
        <v>2418</v>
      </c>
      <c r="K62" s="2547" t="s">
        <v>2419</v>
      </c>
      <c r="L62" s="2547" t="s">
        <v>2415</v>
      </c>
      <c r="M62" s="3318" t="s">
        <v>3035</v>
      </c>
      <c r="O62" s="2586" t="s">
        <v>2454</v>
      </c>
      <c r="P62" s="2596" t="s">
        <v>2472</v>
      </c>
      <c r="Q62" s="2587">
        <f ca="1">Q56+Q57</f>
        <v>73280</v>
      </c>
      <c r="R62" s="2587" t="s">
        <v>2455</v>
      </c>
    </row>
    <row r="63" spans="1:18" s="1453" customFormat="1" ht="16.5" thickBot="1">
      <c r="A63" s="711"/>
      <c r="B63" s="2407"/>
      <c r="C63" s="317"/>
      <c r="D63" s="2421"/>
      <c r="E63" s="2401" t="s">
        <v>2347</v>
      </c>
      <c r="F63" s="684">
        <f t="shared" ca="1" si="0"/>
        <v>92783.56</v>
      </c>
      <c r="I63" s="2546" t="s">
        <v>2431</v>
      </c>
      <c r="J63" s="3321">
        <v>70</v>
      </c>
      <c r="K63" s="3321">
        <v>50</v>
      </c>
      <c r="L63" s="3321">
        <v>80</v>
      </c>
      <c r="M63" s="3319">
        <v>0.02</v>
      </c>
      <c r="O63" s="2590" t="s">
        <v>2486</v>
      </c>
      <c r="P63" s="1294"/>
      <c r="Q63" s="1294"/>
      <c r="R63" s="1294"/>
    </row>
    <row r="64" spans="1:18" s="1453" customFormat="1" ht="15.75" thickBot="1">
      <c r="A64" s="2437" t="s">
        <v>2379</v>
      </c>
      <c r="B64" s="2401" t="s">
        <v>2348</v>
      </c>
      <c r="C64" s="312">
        <f ca="1">ROUND(C57*F64,1)</f>
        <v>165.6</v>
      </c>
      <c r="D64" s="2419" t="s">
        <v>2349</v>
      </c>
      <c r="E64" s="2401" t="s">
        <v>2342</v>
      </c>
      <c r="F64" s="713">
        <f t="shared" ca="1" si="0"/>
        <v>1.4999999999999999E-2</v>
      </c>
      <c r="I64" s="2546" t="s">
        <v>2432</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ROUND(C56*F65,1)</f>
        <v>15.7</v>
      </c>
      <c r="D65" s="2419" t="s">
        <v>2350</v>
      </c>
      <c r="E65" s="2401" t="s">
        <v>2342</v>
      </c>
      <c r="F65" s="715">
        <f t="shared" ca="1" si="0"/>
        <v>2E-3</v>
      </c>
      <c r="I65" s="2546" t="s">
        <v>2433</v>
      </c>
      <c r="J65" s="3321">
        <v>40</v>
      </c>
      <c r="K65" s="3321">
        <v>30</v>
      </c>
      <c r="L65" s="3321">
        <v>50</v>
      </c>
      <c r="M65" s="3319">
        <v>0.02</v>
      </c>
      <c r="O65" s="2586" t="s">
        <v>2448</v>
      </c>
      <c r="P65" s="2596" t="s">
        <v>2466</v>
      </c>
      <c r="Q65" s="2587">
        <f ca="1">C40+J29</f>
        <v>73280</v>
      </c>
      <c r="R65" s="2587" t="s">
        <v>2467</v>
      </c>
    </row>
    <row r="66" spans="1:18" s="1453" customFormat="1" ht="20.25" thickBot="1">
      <c r="A66" s="2437" t="s">
        <v>2374</v>
      </c>
      <c r="B66" s="2401" t="s">
        <v>366</v>
      </c>
      <c r="C66" s="312">
        <f ca="1">ROUND(C48*F66,1)</f>
        <v>0</v>
      </c>
      <c r="D66" s="2419" t="s">
        <v>2351</v>
      </c>
      <c r="E66" s="2401" t="s">
        <v>2342</v>
      </c>
      <c r="F66" s="693">
        <f t="shared" ca="1" si="0"/>
        <v>0.02</v>
      </c>
      <c r="O66" s="2586" t="s">
        <v>2449</v>
      </c>
      <c r="P66" s="2596" t="s">
        <v>2473</v>
      </c>
      <c r="Q66" s="2587">
        <f ca="1">L60</f>
        <v>0</v>
      </c>
      <c r="R66" s="2587" t="s">
        <v>2456</v>
      </c>
    </row>
    <row r="67" spans="1:18" s="1453" customFormat="1" ht="24.75" thickBot="1">
      <c r="A67" s="2408" t="s">
        <v>2352</v>
      </c>
      <c r="B67" s="2422" t="s">
        <v>2353</v>
      </c>
      <c r="C67" s="697">
        <f ca="1">C48-C58</f>
        <v>-288</v>
      </c>
      <c r="D67" s="2418" t="s">
        <v>2354</v>
      </c>
      <c r="E67" s="2423"/>
      <c r="F67" s="2424"/>
      <c r="O67" s="2588" t="s">
        <v>2450</v>
      </c>
      <c r="P67" s="2596" t="s">
        <v>2480</v>
      </c>
      <c r="Q67" s="2591">
        <f ca="1">L51</f>
        <v>40996</v>
      </c>
      <c r="R67" s="2592" t="s">
        <v>2490</v>
      </c>
    </row>
    <row r="68" spans="1:18" s="1453" customFormat="1" ht="20.25" thickBot="1">
      <c r="A68" s="2398" t="s">
        <v>2355</v>
      </c>
      <c r="B68" s="2399" t="s">
        <v>2356</v>
      </c>
      <c r="C68" s="682">
        <f ca="1">ROUND(C67*(1-((1+F70)/(1+F68))^F69)/(F68-F70),0)</f>
        <v>-4680</v>
      </c>
      <c r="D68" s="2420" t="s">
        <v>2357</v>
      </c>
      <c r="E68" s="2401" t="s">
        <v>2358</v>
      </c>
      <c r="F68" s="693">
        <f ca="1">F40</f>
        <v>0.05</v>
      </c>
      <c r="O68" s="2588" t="s">
        <v>2451</v>
      </c>
      <c r="P68" s="2597" t="s">
        <v>2484</v>
      </c>
      <c r="Q68" s="2587">
        <f ca="1">ROUND(Q69-Q70*Q71,0)</f>
        <v>2368</v>
      </c>
      <c r="R68" s="2587" t="s">
        <v>2489</v>
      </c>
    </row>
    <row r="69" spans="1:18" s="1453" customFormat="1" ht="15.75" thickBot="1">
      <c r="A69" s="2402"/>
      <c r="B69" s="2403"/>
      <c r="C69" s="687"/>
      <c r="D69" s="2425" t="s">
        <v>2359</v>
      </c>
      <c r="E69" s="2401" t="s">
        <v>2360</v>
      </c>
      <c r="F69" s="718">
        <f ca="1">F41</f>
        <v>34.31</v>
      </c>
      <c r="O69" s="2588" t="s">
        <v>2459</v>
      </c>
      <c r="P69" s="2597" t="s">
        <v>2474</v>
      </c>
      <c r="Q69" s="2587">
        <f ca="1">C39</f>
        <v>3034</v>
      </c>
      <c r="R69" s="2587" t="s">
        <v>2467</v>
      </c>
    </row>
    <row r="70" spans="1:18" s="1453" customFormat="1" ht="15.75" thickBot="1">
      <c r="A70" s="2405"/>
      <c r="B70" s="2406"/>
      <c r="C70" s="691"/>
      <c r="D70" s="2421"/>
      <c r="E70" s="2401" t="s">
        <v>2361</v>
      </c>
      <c r="F70" s="2531"/>
      <c r="O70" s="2588" t="s">
        <v>2460</v>
      </c>
      <c r="P70" s="2597" t="s">
        <v>2475</v>
      </c>
      <c r="Q70" s="2587">
        <f ca="1">C13</f>
        <v>7838</v>
      </c>
      <c r="R70" s="2587" t="s">
        <v>2467</v>
      </c>
    </row>
    <row r="71" spans="1:18" s="1453" customFormat="1" ht="15.75" thickBot="1">
      <c r="A71" s="2426" t="s">
        <v>2362</v>
      </c>
      <c r="B71" s="2427" t="s">
        <v>2363</v>
      </c>
      <c r="C71" s="721">
        <f ca="1">ROUND(C68*10000/F71,0)</f>
        <v>-1615</v>
      </c>
      <c r="D71" s="2428" t="s">
        <v>2364</v>
      </c>
      <c r="E71" s="2429" t="s">
        <v>2365</v>
      </c>
      <c r="F71" s="724">
        <f ca="1">F43</f>
        <v>28973.439999999999</v>
      </c>
      <c r="I71" s="2396"/>
      <c r="K71" s="2396"/>
      <c r="O71" s="2588" t="s">
        <v>2461</v>
      </c>
      <c r="P71" s="2597" t="s">
        <v>2487</v>
      </c>
      <c r="Q71" s="2589">
        <f ca="1">C76</f>
        <v>8.5000000000000006E-2</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666</v>
      </c>
      <c r="D75" s="1453"/>
      <c r="E75" s="1453"/>
      <c r="F75" s="1453"/>
      <c r="K75" s="1454"/>
      <c r="L75" s="1453"/>
      <c r="O75" s="2586" t="s">
        <v>2454</v>
      </c>
      <c r="P75" s="2596" t="s">
        <v>2472</v>
      </c>
      <c r="Q75" s="2587">
        <f ca="1">Q65+Q66</f>
        <v>73280</v>
      </c>
      <c r="R75" s="2587"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2695</v>
      </c>
      <c r="C78" s="734"/>
    </row>
    <row r="79" spans="1:18">
      <c r="B79" s="2872" t="s">
        <v>2699</v>
      </c>
      <c r="C79" s="649">
        <f ca="1">1-C80</f>
        <v>0.78</v>
      </c>
    </row>
    <row r="80" spans="1:18">
      <c r="B80" s="2872" t="s">
        <v>2698</v>
      </c>
      <c r="C80" s="649">
        <f ca="1">ROUND(C75/C39,3)</f>
        <v>0.22</v>
      </c>
    </row>
    <row r="81" spans="2:3">
      <c r="B81" s="645" t="s">
        <v>386</v>
      </c>
      <c r="C81" s="646"/>
    </row>
    <row r="82" spans="2:3">
      <c r="B82" s="2871" t="s">
        <v>2697</v>
      </c>
      <c r="C82" s="650">
        <f ca="1">1-C83</f>
        <v>0.89300000000000002</v>
      </c>
    </row>
    <row r="83" spans="2:3">
      <c r="B83" s="2871" t="s">
        <v>2696</v>
      </c>
      <c r="C83" s="649">
        <f ca="1">ROUND(C13/C40,3)</f>
        <v>0.107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c r="D1" s="1272"/>
      <c r="E1" s="2584" t="s">
        <v>538</v>
      </c>
      <c r="F1" s="2585">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344</v>
      </c>
      <c r="B2" s="1405" t="e">
        <f ca="1">ROUND(D2/10000,0)</f>
        <v>#DIV/0!</v>
      </c>
      <c r="C2" s="1298" t="s">
        <v>1100</v>
      </c>
      <c r="D2" s="2723" t="e">
        <f ca="1">C40+J29+L46</f>
        <v>#DIV/0!</v>
      </c>
      <c r="E2" s="2574" t="s">
        <v>2619</v>
      </c>
      <c r="F2" s="1275"/>
      <c r="G2" s="2286"/>
      <c r="H2" s="1273"/>
      <c r="I2" s="1273"/>
      <c r="J2" s="1273"/>
      <c r="K2" s="1297"/>
      <c r="L2" s="1273"/>
      <c r="M2" s="1273"/>
    </row>
    <row r="3" spans="1:37" ht="18" customHeight="1" thickBot="1">
      <c r="A3" s="674" t="s">
        <v>345</v>
      </c>
      <c r="B3" s="1406">
        <f ca="1">IF(ISERROR(D2/F43),0,ROUND(D2/F43,0))</f>
        <v>0</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5">
        <f ca="1">C6+C10+C12</f>
        <v>0</v>
      </c>
      <c r="D5" s="2635" t="s">
        <v>2533</v>
      </c>
      <c r="E5" s="2626"/>
      <c r="F5" s="2627"/>
      <c r="G5" s="2287"/>
      <c r="H5" s="680">
        <v>1</v>
      </c>
      <c r="I5" s="681" t="s">
        <v>2331</v>
      </c>
      <c r="J5" s="2625">
        <f ca="1">J6+J10+J12</f>
        <v>0</v>
      </c>
      <c r="K5" s="2628" t="s">
        <v>2533</v>
      </c>
      <c r="L5" s="2626"/>
      <c r="M5" s="2627"/>
    </row>
    <row r="6" spans="1:37" ht="18" customHeight="1">
      <c r="A6" s="2621" t="s">
        <v>2372</v>
      </c>
      <c r="B6" s="3629" t="s">
        <v>2532</v>
      </c>
      <c r="C6" s="2630">
        <f ca="1">ROUND(F6*F8*F7*(1-F9),0)</f>
        <v>0</v>
      </c>
      <c r="D6" s="2624" t="s">
        <v>2534</v>
      </c>
      <c r="E6" s="683" t="s">
        <v>913</v>
      </c>
      <c r="F6" s="684">
        <f ca="1">INDIRECT("'数据-取费表'!u"&amp;$G$1)</f>
        <v>0</v>
      </c>
      <c r="G6" s="2287"/>
      <c r="H6" s="2621" t="s">
        <v>2372</v>
      </c>
      <c r="I6" s="3629" t="s">
        <v>2532</v>
      </c>
      <c r="J6" s="682">
        <f ca="1">ROUND(M6*M8*M7*(1-M9),0)</f>
        <v>0</v>
      </c>
      <c r="K6" s="2624" t="s">
        <v>2534</v>
      </c>
      <c r="L6" s="683" t="s">
        <v>913</v>
      </c>
      <c r="M6" s="684">
        <f ca="1">INDIRECT("'数据-取费表'!z"&amp;$G$1)</f>
        <v>0</v>
      </c>
    </row>
    <row r="7" spans="1:37" ht="18" customHeight="1">
      <c r="A7" s="2629"/>
      <c r="B7" s="3630"/>
      <c r="C7" s="2631"/>
      <c r="D7" s="2060"/>
      <c r="E7" s="2632" t="s">
        <v>914</v>
      </c>
      <c r="F7" s="684">
        <f ca="1">IF(INDIRECT("'数据-取费表'!ah"&amp;$G$1)="",INDIRECT("'数据-取费表'!k"&amp;$G$1),INDIRECT("'数据-取费表'!ah"&amp;$G$1))</f>
        <v>0</v>
      </c>
      <c r="G7" s="2287"/>
      <c r="H7" s="685"/>
      <c r="I7" s="3630"/>
      <c r="J7" s="687"/>
      <c r="K7" s="688"/>
      <c r="L7" s="683" t="s">
        <v>914</v>
      </c>
      <c r="M7" s="684">
        <f ca="1">F7</f>
        <v>0</v>
      </c>
    </row>
    <row r="8" spans="1:37" ht="18" customHeight="1">
      <c r="A8" s="685"/>
      <c r="B8" s="3630"/>
      <c r="C8" s="687"/>
      <c r="D8" s="688"/>
      <c r="E8" s="683" t="s">
        <v>915</v>
      </c>
      <c r="F8" s="684">
        <f ca="1">INDIRECT("'数据-取费表'!ai"&amp;$G$1)</f>
        <v>0</v>
      </c>
      <c r="G8" s="2287"/>
      <c r="H8" s="685"/>
      <c r="I8" s="3630"/>
      <c r="J8" s="687"/>
      <c r="K8" s="688"/>
      <c r="L8" s="683" t="s">
        <v>915</v>
      </c>
      <c r="M8" s="684">
        <f ca="1">INDIRECT("'数据-取费表'!ai"&amp;$G$1)</f>
        <v>0</v>
      </c>
    </row>
    <row r="9" spans="1:37" ht="18" customHeight="1">
      <c r="A9" s="685"/>
      <c r="B9" s="3631"/>
      <c r="C9" s="687"/>
      <c r="D9" s="688"/>
      <c r="E9" s="683" t="s">
        <v>916</v>
      </c>
      <c r="F9" s="693">
        <f ca="1">INDIRECT("'数据-取费表'!w"&amp;$G$1)</f>
        <v>0</v>
      </c>
      <c r="G9" s="2287"/>
      <c r="H9" s="685"/>
      <c r="I9" s="3631"/>
      <c r="J9" s="687"/>
      <c r="K9" s="688"/>
      <c r="L9" s="694" t="s">
        <v>916</v>
      </c>
      <c r="M9" s="695">
        <f ca="1">INDIRECT("'数据-取费表'!ab"&amp;$G$1)</f>
        <v>0</v>
      </c>
    </row>
    <row r="10" spans="1:37" ht="18" customHeight="1">
      <c r="A10" s="2621" t="s">
        <v>2379</v>
      </c>
      <c r="B10" s="2622" t="s">
        <v>2527</v>
      </c>
      <c r="C10" s="697">
        <f ca="1">ROUND(IF(F10="押一",F6*F8*F7/12*F11,IF(F10="押二",F6*F8*F7/12*2*F11,IF(F10="押三",F6*F8*F7/12*3*F11,C11*F11))),0)</f>
        <v>0</v>
      </c>
      <c r="D10" s="2633" t="s">
        <v>2535</v>
      </c>
      <c r="E10" s="2096" t="s">
        <v>2529</v>
      </c>
      <c r="F10" s="2827"/>
      <c r="G10" s="2287"/>
      <c r="H10" s="2621" t="s">
        <v>2379</v>
      </c>
      <c r="I10" s="2622" t="s">
        <v>2527</v>
      </c>
      <c r="J10" s="682">
        <f ca="1">ROUND(IF(M10="押一",M6*M8*M7/12*M11,IF(M10="押二",M6*M8*M7/12*2*M11,IF(M10="押三",M6*M8*M7/12*3*M11,J11*M11))),0)</f>
        <v>0</v>
      </c>
      <c r="K10" s="2633" t="s">
        <v>2535</v>
      </c>
      <c r="L10" s="2096" t="s">
        <v>2529</v>
      </c>
      <c r="M10" s="2827" t="s">
        <v>2691</v>
      </c>
    </row>
    <row r="11" spans="1:37" ht="18" customHeight="1">
      <c r="A11" s="689"/>
      <c r="B11" s="2623" t="s">
        <v>2537</v>
      </c>
      <c r="C11" s="2414"/>
      <c r="D11" s="688"/>
      <c r="E11" s="2096" t="s">
        <v>2530</v>
      </c>
      <c r="F11" s="695">
        <f ca="1">'数据-取费表'!B39</f>
        <v>1.4999999999999999E-2</v>
      </c>
      <c r="G11" s="2287"/>
      <c r="H11" s="2634"/>
      <c r="I11" s="2623" t="s">
        <v>2692</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2540</v>
      </c>
      <c r="I12" s="2670" t="s">
        <v>2528</v>
      </c>
      <c r="J12" s="2671"/>
      <c r="K12" s="2688"/>
      <c r="L12" s="2673"/>
      <c r="M12" s="2689"/>
    </row>
    <row r="13" spans="1:37" ht="18" customHeight="1" thickTop="1">
      <c r="A13" s="2665">
        <v>2</v>
      </c>
      <c r="B13" s="2666" t="s">
        <v>917</v>
      </c>
      <c r="C13" s="691">
        <f ca="1">ROUND(C29*F13,0)</f>
        <v>0</v>
      </c>
      <c r="D13" s="2667" t="s">
        <v>918</v>
      </c>
      <c r="E13" s="2667" t="s">
        <v>919</v>
      </c>
      <c r="F13" s="2668">
        <f ca="1">INDIRECT("'数据-取费表'!y"&amp;$G$1)</f>
        <v>0</v>
      </c>
      <c r="G13" s="2287"/>
      <c r="H13" s="2665">
        <v>2</v>
      </c>
      <c r="I13" s="2666" t="s">
        <v>917</v>
      </c>
      <c r="J13" s="2620">
        <f ca="1">ROUND(J14*J15,0)</f>
        <v>0</v>
      </c>
      <c r="K13" s="2675" t="s">
        <v>918</v>
      </c>
      <c r="L13" s="2686"/>
      <c r="M13" s="2687"/>
    </row>
    <row r="14" spans="1:37" ht="18" customHeight="1">
      <c r="A14" s="2437" t="s">
        <v>2369</v>
      </c>
      <c r="B14" s="683" t="s">
        <v>358</v>
      </c>
      <c r="C14" s="701">
        <f ca="1">ROUND(INDIRECT("'数据-取费表'!l"&amp;$G$1)*F43+'数据-取费表'!L14*INDIRECT("'数据-取费表'!S"&amp;$G$1),0)</f>
        <v>0</v>
      </c>
      <c r="D14" s="2718" t="s">
        <v>920</v>
      </c>
      <c r="E14" s="2717"/>
      <c r="F14" s="702"/>
      <c r="G14" s="2287"/>
      <c r="H14" s="2437" t="s">
        <v>2372</v>
      </c>
      <c r="I14" s="683" t="s">
        <v>921</v>
      </c>
      <c r="J14" s="312">
        <f ca="1">C29</f>
        <v>0</v>
      </c>
      <c r="K14" s="302"/>
      <c r="L14" s="699"/>
      <c r="M14" s="700"/>
    </row>
    <row r="15" spans="1:37" s="705" customFormat="1" ht="18" customHeight="1" thickBot="1">
      <c r="A15" s="2437" t="s">
        <v>2604</v>
      </c>
      <c r="B15" s="683" t="s">
        <v>359</v>
      </c>
      <c r="C15" s="312">
        <f ca="1">ROUND(C14*F15,0)</f>
        <v>0</v>
      </c>
      <c r="D15" s="703" t="s">
        <v>922</v>
      </c>
      <c r="E15" s="703" t="s">
        <v>364</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ROUND(INDIRECT("'数据-取费表'!l"&amp;$G$1)*F43*F16,0)</f>
        <v>0</v>
      </c>
      <c r="D16" s="683" t="s">
        <v>922</v>
      </c>
      <c r="E16" s="683" t="s">
        <v>364</v>
      </c>
      <c r="F16" s="706">
        <f ca="1">IF(INDIRECT("'数据-取费表'!c"&amp;$G$1)="住宅",'数据-取费表'!B34,0)</f>
        <v>0</v>
      </c>
      <c r="G16" s="2287"/>
      <c r="H16" s="2665" t="s">
        <v>2337</v>
      </c>
      <c r="I16" s="2666" t="s">
        <v>924</v>
      </c>
      <c r="J16" s="691">
        <f ca="1">ROUND(J17+J22+J23+J24,0)</f>
        <v>0</v>
      </c>
      <c r="K16" s="2675" t="s">
        <v>925</v>
      </c>
      <c r="L16" s="2676"/>
      <c r="M16" s="2627"/>
    </row>
    <row r="17" spans="1:37" s="705" customFormat="1" ht="18" customHeight="1">
      <c r="A17" s="2437" t="s">
        <v>2606</v>
      </c>
      <c r="B17" s="683" t="s">
        <v>361</v>
      </c>
      <c r="C17" s="312">
        <f ca="1">ROUND(F17*(F43+INDIRECT("'数据-取费表'!S"&amp;$G$1)),0)</f>
        <v>0</v>
      </c>
      <c r="D17" s="683" t="s">
        <v>926</v>
      </c>
      <c r="E17" s="683" t="s">
        <v>927</v>
      </c>
      <c r="F17" s="314">
        <f>'数据-取费表'!B35</f>
        <v>150</v>
      </c>
      <c r="G17" s="2288"/>
      <c r="H17" s="2437" t="s">
        <v>2372</v>
      </c>
      <c r="I17" s="683" t="s">
        <v>362</v>
      </c>
      <c r="J17" s="312">
        <f ca="1">ROUND(IF(项目基本情况!B11="自然人",J5*M17,J18+J19+J20),0)</f>
        <v>0</v>
      </c>
      <c r="K17" s="2718" t="s">
        <v>928</v>
      </c>
      <c r="L17" s="2719"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0</v>
      </c>
      <c r="D18" s="683" t="s">
        <v>922</v>
      </c>
      <c r="E18" s="683" t="s">
        <v>364</v>
      </c>
      <c r="F18" s="706">
        <f>'数据-取费表'!B36</f>
        <v>1.4999999999999999E-2</v>
      </c>
      <c r="G18" s="2288"/>
      <c r="H18" s="2437" t="s">
        <v>2369</v>
      </c>
      <c r="I18" s="683" t="s">
        <v>930</v>
      </c>
      <c r="J18" s="312">
        <f ca="1">ROUND(J5*M18/(1+'数据-取费表'!C42),0)</f>
        <v>0</v>
      </c>
      <c r="K18" s="2719" t="s">
        <v>931</v>
      </c>
      <c r="L18" s="683" t="s">
        <v>364</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365</v>
      </c>
      <c r="C19" s="312">
        <f ca="1">SUM(C14:C18)</f>
        <v>0</v>
      </c>
      <c r="D19" s="470" t="s">
        <v>932</v>
      </c>
      <c r="E19" s="2721"/>
      <c r="F19" s="314"/>
      <c r="G19" s="2287"/>
      <c r="H19" s="2437" t="s">
        <v>2604</v>
      </c>
      <c r="I19" s="683" t="s">
        <v>933</v>
      </c>
      <c r="J19" s="312">
        <f ca="1">IF(K19="按租金收入计税",ROUND(J5*M19,0),ROUND(C29*M19*0.7,0))</f>
        <v>0</v>
      </c>
      <c r="K19" s="1299" t="s">
        <v>2412</v>
      </c>
      <c r="L19" s="683" t="s">
        <v>364</v>
      </c>
      <c r="M19" s="706">
        <f>IF(K19="按租金收入计税",'数据-取费表'!B51,'数据-取费表'!B50)</f>
        <v>1.2E-2</v>
      </c>
    </row>
    <row r="20" spans="1:37" s="705" customFormat="1" ht="18" customHeight="1">
      <c r="A20" s="2437" t="s">
        <v>2608</v>
      </c>
      <c r="B20" s="683" t="s">
        <v>366</v>
      </c>
      <c r="C20" s="312">
        <f ca="1">ROUND(C19*F20,0)</f>
        <v>0</v>
      </c>
      <c r="D20" s="708" t="s">
        <v>934</v>
      </c>
      <c r="E20" s="683" t="s">
        <v>364</v>
      </c>
      <c r="F20" s="706">
        <f>'数据-取费表'!B37</f>
        <v>0.02</v>
      </c>
      <c r="G20" s="2288"/>
      <c r="H20" s="2437" t="s">
        <v>2605</v>
      </c>
      <c r="I20" s="495" t="s">
        <v>935</v>
      </c>
      <c r="J20" s="313">
        <f ca="1">ROUND(M20*M21,0)</f>
        <v>0</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23</v>
      </c>
      <c r="D21" s="708" t="s">
        <v>939</v>
      </c>
      <c r="E21" s="683" t="s">
        <v>940</v>
      </c>
      <c r="F21" s="706">
        <f>'数据-取费表'!B38</f>
        <v>0.02</v>
      </c>
      <c r="G21" s="2288"/>
      <c r="H21" s="711"/>
      <c r="I21" s="692"/>
      <c r="J21" s="317"/>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721"/>
      <c r="F22" s="314"/>
      <c r="G22" s="2287"/>
      <c r="H22" s="2437" t="s">
        <v>2379</v>
      </c>
      <c r="I22" s="683" t="s">
        <v>943</v>
      </c>
      <c r="J22" s="312">
        <f ca="1">ROUND(J14*M22,0)</f>
        <v>0</v>
      </c>
      <c r="K22" s="2719" t="s">
        <v>944</v>
      </c>
      <c r="L22" s="683" t="s">
        <v>364</v>
      </c>
      <c r="M22" s="713">
        <f ca="1">INDIRECT("'数据-取费表'!Ak"&amp;$G$1)</f>
        <v>0</v>
      </c>
    </row>
    <row r="23" spans="1:37" s="705" customFormat="1" ht="18" customHeight="1">
      <c r="A23" s="2437" t="s">
        <v>2369</v>
      </c>
      <c r="B23" s="683" t="s">
        <v>2524</v>
      </c>
      <c r="C23" s="312">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ROUND(J13*M23,0)</f>
        <v>0</v>
      </c>
      <c r="K23" s="2719" t="s">
        <v>368</v>
      </c>
      <c r="L23" s="683" t="s">
        <v>364</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ROUND(J5*M24,0)</f>
        <v>0</v>
      </c>
      <c r="K24" s="2680" t="s">
        <v>370</v>
      </c>
      <c r="L24" s="2678" t="s">
        <v>364</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721"/>
      <c r="F25" s="314"/>
      <c r="G25" s="2287"/>
      <c r="H25" s="2665" t="s">
        <v>2352</v>
      </c>
      <c r="I25" s="2682" t="s">
        <v>376</v>
      </c>
      <c r="J25" s="691">
        <f ca="1">J5-J16</f>
        <v>0</v>
      </c>
      <c r="K25" s="2683" t="s">
        <v>377</v>
      </c>
      <c r="L25" s="2684"/>
      <c r="M25" s="2685"/>
    </row>
    <row r="26" spans="1:37" ht="18" customHeight="1">
      <c r="A26" s="2437" t="s">
        <v>2369</v>
      </c>
      <c r="B26" s="683" t="s">
        <v>2525</v>
      </c>
      <c r="C26" s="312">
        <f ca="1">ROUND((C19+C20)*F26,0)</f>
        <v>0</v>
      </c>
      <c r="D26" s="708" t="s">
        <v>953</v>
      </c>
      <c r="E26" s="694" t="s">
        <v>954</v>
      </c>
      <c r="F26" s="693">
        <f ca="1">INDIRECT("'数据-取费表'!q"&amp;$G$1)</f>
        <v>0</v>
      </c>
      <c r="G26" s="2287"/>
      <c r="H26" s="680" t="s">
        <v>2355</v>
      </c>
      <c r="I26" s="681" t="s">
        <v>955</v>
      </c>
      <c r="J26" s="682">
        <f ca="1">IF(J5&lt;&gt;0,ROUND(J25*(1-((1+M28)/(1+M26))^M27)/(M26-M28),0),0)</f>
        <v>0</v>
      </c>
      <c r="K26" s="709" t="s">
        <v>372</v>
      </c>
      <c r="L26" s="683" t="s">
        <v>373</v>
      </c>
      <c r="M26" s="693">
        <f ca="1">INDIRECT("'数据-取费表'!I"&amp;$G$1)</f>
        <v>0</v>
      </c>
    </row>
    <row r="27" spans="1:37" ht="18" customHeight="1">
      <c r="A27" s="2437" t="s">
        <v>2375</v>
      </c>
      <c r="B27" s="683" t="s">
        <v>374</v>
      </c>
      <c r="C27" s="312">
        <f ca="1">ROUND(F21*F26,4)</f>
        <v>0</v>
      </c>
      <c r="D27" s="708" t="s">
        <v>957</v>
      </c>
      <c r="E27" s="703"/>
      <c r="F27" s="704"/>
      <c r="G27" s="2287"/>
      <c r="H27" s="685"/>
      <c r="I27" s="686"/>
      <c r="J27" s="687"/>
      <c r="K27" s="717" t="s">
        <v>958</v>
      </c>
      <c r="L27" s="683" t="s">
        <v>380</v>
      </c>
      <c r="M27" s="718">
        <f ca="1">INDIRECT("'数据-取费表'!ag"&amp;$G$1)</f>
        <v>0</v>
      </c>
    </row>
    <row r="28" spans="1:37" s="705" customFormat="1" ht="18" customHeight="1">
      <c r="A28" s="2437" t="s">
        <v>2377</v>
      </c>
      <c r="B28" s="683" t="s">
        <v>375</v>
      </c>
      <c r="C28" s="312">
        <f>ROUND(F28/(1+'数据-取费表'!C42),4)</f>
        <v>5.2400000000000002E-2</v>
      </c>
      <c r="D28" s="708" t="s">
        <v>964</v>
      </c>
      <c r="E28" s="683" t="s">
        <v>364</v>
      </c>
      <c r="F28" s="706">
        <f>'数据-取费表'!B41</f>
        <v>5.5000000000000007E-2</v>
      </c>
      <c r="G28" s="2288"/>
      <c r="H28" s="689"/>
      <c r="I28" s="690"/>
      <c r="J28" s="691"/>
      <c r="K28" s="712"/>
      <c r="L28" s="683" t="s">
        <v>381</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0</v>
      </c>
      <c r="D29" s="2680"/>
      <c r="E29" s="2678"/>
      <c r="F29" s="2681"/>
      <c r="G29" s="2288"/>
      <c r="H29" s="719" t="s">
        <v>2362</v>
      </c>
      <c r="I29" s="720" t="s">
        <v>959</v>
      </c>
      <c r="J29" s="721">
        <f ca="1">ROUND(J26/(1+F40)^F41,0)</f>
        <v>0</v>
      </c>
      <c r="K29" s="722" t="s">
        <v>960</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0</v>
      </c>
      <c r="D30" s="2675" t="s">
        <v>925</v>
      </c>
      <c r="E30" s="2676"/>
      <c r="F30" s="2627"/>
      <c r="G30" s="2287"/>
      <c r="H30" s="1276"/>
      <c r="I30" s="1277"/>
      <c r="J30" s="1278"/>
      <c r="K30" s="1279"/>
      <c r="L30" s="1280"/>
      <c r="M30" s="1281"/>
    </row>
    <row r="31" spans="1:37" ht="18" customHeight="1">
      <c r="A31" s="2437" t="s">
        <v>2372</v>
      </c>
      <c r="B31" s="683" t="s">
        <v>362</v>
      </c>
      <c r="C31" s="312">
        <f ca="1">ROUND(IF(项目基本情况!B11="自然人",C5*F31,C32+C33+C34),0)</f>
        <v>0</v>
      </c>
      <c r="D31" s="2718" t="s">
        <v>928</v>
      </c>
      <c r="E31" s="2719"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2">
        <f ca="1">IF(项目基本情况!B11="自然人","——",ROUND(C5*F32/(1+'数据-取费表'!C42),0))</f>
        <v>0</v>
      </c>
      <c r="D32" s="2719" t="s">
        <v>931</v>
      </c>
      <c r="E32" s="683" t="s">
        <v>364</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IF(项目基本情况!B11="自然人","——",IF(D33="按租金收入计税",ROUND(C5*F33,0),IF(D33="按房产原值计税",ROUND(C29*F33*0.7,0),INDIRECT("'数据-取费表'!Aj"&amp;$G$1))))</f>
        <v>0</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935</v>
      </c>
      <c r="C34" s="313">
        <f ca="1">IF(项目基本情况!B11="自然人","——",ROUND(F34*F35,))</f>
        <v>0</v>
      </c>
      <c r="D34" s="709" t="s">
        <v>936</v>
      </c>
      <c r="E34" s="683" t="s">
        <v>937</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0</v>
      </c>
      <c r="G35" s="2287"/>
      <c r="H35" s="1276"/>
      <c r="I35" s="2880"/>
      <c r="J35" s="2881"/>
      <c r="K35" s="1289"/>
      <c r="L35" s="1288"/>
      <c r="M35" s="1288"/>
    </row>
    <row r="36" spans="1:18" ht="18" customHeight="1">
      <c r="A36" s="2694" t="s">
        <v>2379</v>
      </c>
      <c r="B36" s="683" t="s">
        <v>943</v>
      </c>
      <c r="C36" s="312">
        <f ca="1">ROUND(C29*F36,0)</f>
        <v>0</v>
      </c>
      <c r="D36" s="2719" t="s">
        <v>973</v>
      </c>
      <c r="E36" s="683" t="s">
        <v>364</v>
      </c>
      <c r="F36" s="713">
        <f ca="1">INDIRECT("'数据-取费表'!Ak"&amp;$G$1)</f>
        <v>0</v>
      </c>
      <c r="G36" s="2287"/>
      <c r="H36" s="1288"/>
      <c r="I36" s="2880"/>
      <c r="J36" s="2881"/>
      <c r="K36" s="1292"/>
      <c r="L36" s="1288"/>
      <c r="M36" s="1288"/>
    </row>
    <row r="37" spans="1:18" ht="18" customHeight="1">
      <c r="A37" s="2437" t="s">
        <v>2609</v>
      </c>
      <c r="B37" s="683" t="s">
        <v>367</v>
      </c>
      <c r="C37" s="312">
        <f ca="1">ROUND(C13*F37,0)</f>
        <v>0</v>
      </c>
      <c r="D37" s="2719" t="s">
        <v>368</v>
      </c>
      <c r="E37" s="683" t="s">
        <v>364</v>
      </c>
      <c r="F37" s="715">
        <f ca="1">INDIRECT("'数据-取费表'!Al"&amp;$G$1)</f>
        <v>0</v>
      </c>
      <c r="G37" s="2287"/>
      <c r="H37" s="1288"/>
      <c r="I37" s="2880"/>
      <c r="J37" s="2881"/>
      <c r="K37" s="1292"/>
      <c r="L37" s="1288"/>
      <c r="M37" s="1288"/>
    </row>
    <row r="38" spans="1:18" ht="18" customHeight="1" thickBot="1">
      <c r="A38" s="2677" t="s">
        <v>2610</v>
      </c>
      <c r="B38" s="2678" t="s">
        <v>366</v>
      </c>
      <c r="C38" s="2679">
        <f ca="1">ROUND(C5*F38,1)</f>
        <v>0</v>
      </c>
      <c r="D38" s="2680" t="s">
        <v>370</v>
      </c>
      <c r="E38" s="2678" t="s">
        <v>364</v>
      </c>
      <c r="F38" s="2674">
        <f ca="1">INDIRECT("'数据-取费表'!Am"&amp;$G$1)</f>
        <v>0</v>
      </c>
      <c r="G38" s="2287"/>
      <c r="H38" s="1288"/>
      <c r="I38" s="2880"/>
      <c r="J38" s="2881"/>
      <c r="K38" s="1293"/>
      <c r="L38" s="1288"/>
      <c r="M38" s="1288"/>
    </row>
    <row r="39" spans="1:18" ht="24.6" customHeight="1" thickTop="1">
      <c r="A39" s="2665" t="s">
        <v>2352</v>
      </c>
      <c r="B39" s="2682" t="s">
        <v>376</v>
      </c>
      <c r="C39" s="691">
        <f ca="1">C5-C30</f>
        <v>0</v>
      </c>
      <c r="D39" s="2683" t="s">
        <v>377</v>
      </c>
      <c r="E39" s="2684"/>
      <c r="F39" s="2685"/>
      <c r="G39" s="2287"/>
      <c r="H39" s="1288"/>
      <c r="I39" s="2880"/>
      <c r="J39" s="2881"/>
      <c r="K39" s="1293"/>
      <c r="L39" s="1288"/>
      <c r="M39" s="1288"/>
    </row>
    <row r="40" spans="1:18" ht="18" customHeight="1">
      <c r="A40" s="680" t="s">
        <v>2355</v>
      </c>
      <c r="B40" s="681" t="s">
        <v>378</v>
      </c>
      <c r="C40" s="682" t="e">
        <f ca="1">ROUND(C39*(1-((1+F42)/(1+F40))^F41)/(F40-F42),0)</f>
        <v>#DIV/0!</v>
      </c>
      <c r="D40" s="709" t="s">
        <v>372</v>
      </c>
      <c r="E40" s="683" t="s">
        <v>373</v>
      </c>
      <c r="F40" s="693">
        <f ca="1">INDIRECT("'数据-取费表'!I"&amp;$G$1)</f>
        <v>0</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0</v>
      </c>
      <c r="G41" s="2287"/>
      <c r="H41" s="1190"/>
      <c r="I41" s="2880"/>
      <c r="J41" s="2881"/>
      <c r="K41" s="1292"/>
      <c r="L41" s="1190"/>
      <c r="M41" s="1190"/>
    </row>
    <row r="42" spans="1:18" ht="18" customHeight="1">
      <c r="A42" s="689"/>
      <c r="B42" s="690"/>
      <c r="C42" s="691"/>
      <c r="D42" s="712"/>
      <c r="E42" s="683" t="s">
        <v>381</v>
      </c>
      <c r="F42" s="693">
        <f ca="1">INDIRECT("'数据-取费表'!v"&amp;$G$1)</f>
        <v>0</v>
      </c>
      <c r="G42" s="2287"/>
      <c r="H42" s="1190"/>
      <c r="I42" s="2880"/>
      <c r="J42" s="2881"/>
      <c r="K42" s="1292"/>
      <c r="L42" s="1190"/>
      <c r="M42" s="1190"/>
    </row>
    <row r="43" spans="1:18" ht="18" customHeight="1" thickBot="1">
      <c r="A43" s="719" t="s">
        <v>2362</v>
      </c>
      <c r="B43" s="720" t="s">
        <v>382</v>
      </c>
      <c r="C43" s="721" t="e">
        <f ca="1">ROUND(C40/F43,0)</f>
        <v>#DIV/0!</v>
      </c>
      <c r="D43" s="722" t="s">
        <v>383</v>
      </c>
      <c r="E43" s="723" t="s">
        <v>384</v>
      </c>
      <c r="F43" s="724">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2620</v>
      </c>
      <c r="E45" s="1431"/>
      <c r="F45" s="1431"/>
      <c r="O45" s="2590" t="s">
        <v>2485</v>
      </c>
      <c r="P45" s="1294"/>
      <c r="Q45" s="1294"/>
      <c r="R45" s="1294"/>
    </row>
    <row r="46" spans="1:18" s="1453" customFormat="1" ht="21" thickBot="1">
      <c r="A46" s="2395" t="s">
        <v>2324</v>
      </c>
      <c r="B46" s="2396"/>
      <c r="C46" s="2724" t="e">
        <f ca="1">ROUND(C45/10000,0)</f>
        <v>#DIV/0!</v>
      </c>
      <c r="D46" s="2725" t="str">
        <f>C2</f>
        <v>万元</v>
      </c>
      <c r="I46" s="2577" t="s">
        <v>2420</v>
      </c>
      <c r="J46" s="2578"/>
      <c r="K46" s="2579"/>
      <c r="L46" s="2581" t="e">
        <f ca="1">IF(M47="住宅",0,IF(L48&gt;J51,L60,J60))</f>
        <v>#DIV/0!</v>
      </c>
      <c r="O46" s="2593" t="s">
        <v>2463</v>
      </c>
      <c r="P46" s="2594" t="s">
        <v>2464</v>
      </c>
      <c r="Q46" s="2595" t="s">
        <v>2462</v>
      </c>
      <c r="R46" s="2595" t="s">
        <v>2465</v>
      </c>
    </row>
    <row r="47" spans="1:18" s="1453" customFormat="1" ht="15.75" thickBot="1">
      <c r="A47" s="2397" t="s">
        <v>908</v>
      </c>
      <c r="B47" s="2433" t="s">
        <v>909</v>
      </c>
      <c r="C47" s="2433" t="s">
        <v>910</v>
      </c>
      <c r="D47" s="2433" t="s">
        <v>911</v>
      </c>
      <c r="E47" s="2536" t="s">
        <v>912</v>
      </c>
      <c r="F47" s="2537"/>
      <c r="G47" s="1455"/>
      <c r="I47" s="2552" t="s">
        <v>2413</v>
      </c>
      <c r="J47" s="2553"/>
      <c r="K47" s="2562" t="s">
        <v>2436</v>
      </c>
      <c r="L47" s="2563">
        <f ca="1">INDIRECT("'数据-取费表'!d"&amp;$G$1)</f>
        <v>0</v>
      </c>
      <c r="M47" s="2583" t="str">
        <f>IF(ISNUMBER(FIND("住宅",C1)),"住宅","非住宅")</f>
        <v>非住宅</v>
      </c>
      <c r="O47" s="2586" t="s">
        <v>2448</v>
      </c>
      <c r="P47" s="2596" t="s">
        <v>2466</v>
      </c>
      <c r="Q47" s="2587" t="e">
        <f ca="1">C40+J29</f>
        <v>#DIV/0!</v>
      </c>
      <c r="R47" s="2587" t="s">
        <v>2467</v>
      </c>
    </row>
    <row r="48" spans="1:18" s="1453" customFormat="1" ht="47.25" thickBot="1">
      <c r="A48" s="2710" t="s">
        <v>2615</v>
      </c>
      <c r="B48" s="681" t="s">
        <v>2331</v>
      </c>
      <c r="C48" s="2720">
        <f ca="1">C49+C53+C55</f>
        <v>0</v>
      </c>
      <c r="D48" s="2714"/>
      <c r="E48" s="2715"/>
      <c r="F48" s="2417"/>
      <c r="G48" s="1455"/>
      <c r="H48" s="1456"/>
      <c r="I48" s="2543" t="s">
        <v>2414</v>
      </c>
      <c r="J48" s="2554"/>
      <c r="K48" s="2564" t="s">
        <v>682</v>
      </c>
      <c r="L48" s="2167">
        <f ca="1">INDIRECT("'数据-取费表'!f"&amp;$G$1)</f>
        <v>0</v>
      </c>
      <c r="O48" s="2586" t="s">
        <v>2449</v>
      </c>
      <c r="P48" s="2596" t="s">
        <v>2468</v>
      </c>
      <c r="Q48" s="2587" t="e">
        <f ca="1">J60</f>
        <v>#DIV/0!</v>
      </c>
      <c r="R48" s="2587" t="s">
        <v>2476</v>
      </c>
    </row>
    <row r="49" spans="1:18" s="1453" customFormat="1" ht="15.75" thickBot="1">
      <c r="A49" s="2430" t="s">
        <v>2616</v>
      </c>
      <c r="B49" s="2713" t="s">
        <v>2618</v>
      </c>
      <c r="C49" s="2722">
        <f ca="1">ROUND(F49*F51*F50*(1-F52),0)</f>
        <v>0</v>
      </c>
      <c r="D49" s="2532" t="s">
        <v>2332</v>
      </c>
      <c r="E49" s="2535" t="s">
        <v>2325</v>
      </c>
      <c r="F49" s="2538"/>
      <c r="G49" s="1457"/>
      <c r="H49" s="1456"/>
      <c r="I49" s="2543" t="s">
        <v>2434</v>
      </c>
      <c r="J49" s="2555"/>
      <c r="K49" s="2565" t="s">
        <v>2439</v>
      </c>
      <c r="L49" s="2566"/>
      <c r="O49" s="2588" t="s">
        <v>2450</v>
      </c>
      <c r="P49" s="2596" t="s">
        <v>2469</v>
      </c>
      <c r="Q49" s="2587">
        <f ca="1">C29</f>
        <v>0</v>
      </c>
      <c r="R49" s="2587" t="s">
        <v>2467</v>
      </c>
    </row>
    <row r="50" spans="1:18" s="1453" customFormat="1" ht="15.75" thickBot="1">
      <c r="A50" s="2431"/>
      <c r="B50" s="2434"/>
      <c r="C50" s="2435"/>
      <c r="D50" s="2404"/>
      <c r="E50" s="2533" t="s">
        <v>914</v>
      </c>
      <c r="F50" s="2534">
        <f ca="1">F7</f>
        <v>0</v>
      </c>
      <c r="H50" s="1456"/>
      <c r="I50" s="2543" t="s">
        <v>2416</v>
      </c>
      <c r="J50" s="2556">
        <f>SUMPRODUCT((I63:I65=J47)*(J62:L62=J48)*(J63:L65))</f>
        <v>0</v>
      </c>
      <c r="K50" s="2565" t="s">
        <v>2440</v>
      </c>
      <c r="L50" s="2566"/>
      <c r="M50" s="2560"/>
      <c r="O50" s="2588" t="s">
        <v>2451</v>
      </c>
      <c r="P50" s="2596" t="s">
        <v>2477</v>
      </c>
      <c r="Q50" s="2589" t="e">
        <f ca="1">J58</f>
        <v>#DIV/0!</v>
      </c>
      <c r="R50" s="2587"/>
    </row>
    <row r="51" spans="1:18" s="1453" customFormat="1" ht="15.75" thickBot="1">
      <c r="A51" s="2432"/>
      <c r="B51" s="2434"/>
      <c r="C51" s="2435"/>
      <c r="D51" s="2404"/>
      <c r="E51" s="2436" t="s">
        <v>915</v>
      </c>
      <c r="F51" s="684">
        <f ca="1">F8</f>
        <v>0</v>
      </c>
      <c r="I51" s="2557" t="s">
        <v>2421</v>
      </c>
      <c r="J51" s="2558">
        <f>IF(J49="",J50,J49+J50-YEAR('数据-取费表'!B2))</f>
        <v>0</v>
      </c>
      <c r="K51" s="2567" t="s">
        <v>2441</v>
      </c>
      <c r="L51" s="2580">
        <f ca="1">ROUND(-PV(INDIRECT("'数据-取费表'!h"&amp;$G$1),L48,(C39-C13*C76),0),0)</f>
        <v>0</v>
      </c>
      <c r="M51" s="2561"/>
      <c r="O51" s="2588" t="s">
        <v>2452</v>
      </c>
      <c r="P51" s="2596" t="s">
        <v>2478</v>
      </c>
      <c r="Q51" s="2589">
        <f>J52</f>
        <v>0</v>
      </c>
      <c r="R51" s="2587"/>
    </row>
    <row r="52" spans="1:18" s="1453" customFormat="1" ht="15.75" thickBot="1">
      <c r="A52" s="2432"/>
      <c r="B52" s="2434"/>
      <c r="C52" s="2435"/>
      <c r="D52" s="2404"/>
      <c r="E52" s="2436" t="s">
        <v>916</v>
      </c>
      <c r="F52" s="2531"/>
      <c r="I52" s="2559" t="s">
        <v>2444</v>
      </c>
      <c r="J52" s="2573"/>
      <c r="K52" s="2559" t="s">
        <v>2429</v>
      </c>
      <c r="L52" s="2573"/>
      <c r="M52" s="2396"/>
      <c r="O52" s="2588" t="s">
        <v>2453</v>
      </c>
      <c r="P52" s="2596" t="s">
        <v>2470</v>
      </c>
      <c r="Q52" s="2587">
        <f ca="1">J53</f>
        <v>0</v>
      </c>
      <c r="R52" s="2587" t="s">
        <v>2471</v>
      </c>
    </row>
    <row r="53" spans="1:18" s="1453" customFormat="1" ht="43.5" thickBot="1">
      <c r="A53" s="2711" t="s">
        <v>2617</v>
      </c>
      <c r="B53" s="2712" t="s">
        <v>2527</v>
      </c>
      <c r="C53" s="697">
        <f ca="1">ROUND(IF(F53="押一",F49*F51*F50/12*F11,IF(F53="押二",F49*F51*F50/12*2*F11,IF(F53="押三",F49*F51*F50/12*3*F11,C54*F11))),0)</f>
        <v>0</v>
      </c>
      <c r="D53" s="2633" t="s">
        <v>2535</v>
      </c>
      <c r="E53" s="2096" t="s">
        <v>2529</v>
      </c>
      <c r="F53" s="2827"/>
      <c r="I53" s="2569" t="s">
        <v>2446</v>
      </c>
      <c r="J53" s="2570">
        <f ca="1">IF(M47="住宅",J51,MIN(J51,L48))</f>
        <v>0</v>
      </c>
      <c r="K53" s="3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8"/>
      <c r="O53" s="2586" t="s">
        <v>2454</v>
      </c>
      <c r="P53" s="2596" t="s">
        <v>2472</v>
      </c>
      <c r="Q53" s="2587" t="e">
        <f ca="1">Q47+Q48</f>
        <v>#DIV/0!</v>
      </c>
      <c r="R53" s="2587" t="s">
        <v>2455</v>
      </c>
    </row>
    <row r="54" spans="1:18" s="1453" customFormat="1" ht="16.5" thickBot="1">
      <c r="A54" s="2430"/>
      <c r="B54" s="2824" t="s">
        <v>2692</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16"/>
      <c r="F55" s="2539"/>
      <c r="I55" s="3316" t="s">
        <v>2422</v>
      </c>
      <c r="J55" s="3315" t="e">
        <f ca="1">ROUND(IF(J47="钢混",J57/J50,1-(1-2%)*(J50-J57)/J50),3)</f>
        <v>#DIV/0!</v>
      </c>
      <c r="K55" s="2550" t="s">
        <v>2423</v>
      </c>
      <c r="L55" s="2572"/>
      <c r="O55" s="2593" t="s">
        <v>2463</v>
      </c>
      <c r="P55" s="2594" t="s">
        <v>2464</v>
      </c>
      <c r="Q55" s="2595" t="s">
        <v>2462</v>
      </c>
      <c r="R55" s="2595" t="s">
        <v>2465</v>
      </c>
    </row>
    <row r="56" spans="1:18" s="1453" customFormat="1" ht="44.25" thickTop="1" thickBot="1">
      <c r="A56" s="2408">
        <v>2</v>
      </c>
      <c r="B56" s="2409" t="s">
        <v>917</v>
      </c>
      <c r="C56" s="607">
        <f ca="1">C13</f>
        <v>0</v>
      </c>
      <c r="D56" s="2697"/>
      <c r="E56" s="2410"/>
      <c r="F56" s="2539"/>
      <c r="I56" s="2542" t="s">
        <v>2424</v>
      </c>
      <c r="J56" s="2571"/>
      <c r="K56" s="2543" t="s">
        <v>2428</v>
      </c>
      <c r="L56" s="2167">
        <f ca="1">IF(L48&lt;J51,"——",L48-J51)</f>
        <v>0</v>
      </c>
      <c r="O56" s="2586" t="s">
        <v>2448</v>
      </c>
      <c r="P56" s="2596" t="s">
        <v>2466</v>
      </c>
      <c r="Q56" s="2587" t="e">
        <f ca="1">C40+J29</f>
        <v>#DIV/0!</v>
      </c>
      <c r="R56" s="2587" t="s">
        <v>2467</v>
      </c>
    </row>
    <row r="57" spans="1:18" s="1453" customFormat="1" ht="29.25" thickBot="1">
      <c r="A57" s="2540"/>
      <c r="B57" s="2401" t="s">
        <v>966</v>
      </c>
      <c r="C57" s="613">
        <f ca="1">C29</f>
        <v>0</v>
      </c>
      <c r="D57" s="2412"/>
      <c r="E57" s="2413"/>
      <c r="F57" s="2541"/>
      <c r="I57" s="2544" t="s">
        <v>2445</v>
      </c>
      <c r="J57" s="2548">
        <f ca="1">IF(OR(M47="住宅",J51&lt;L48,J56="是"),"——",J51-L48)</f>
        <v>0</v>
      </c>
      <c r="K57" s="2543" t="s">
        <v>2438</v>
      </c>
      <c r="L57" s="2167">
        <f ca="1">IF(L48&lt;J51,"——",IF(L55="比较法",L49,IF(L55="基准地价",L50,L51)))</f>
        <v>0</v>
      </c>
      <c r="O57" s="2586" t="s">
        <v>2449</v>
      </c>
      <c r="P57" s="2596" t="s">
        <v>2473</v>
      </c>
      <c r="Q57" s="2587" t="e">
        <f ca="1">L60</f>
        <v>#DIV/0!</v>
      </c>
      <c r="R57" s="2587" t="s">
        <v>2488</v>
      </c>
    </row>
    <row r="58" spans="1:18" s="1453" customFormat="1" ht="29.25" thickBot="1">
      <c r="A58" s="696" t="s">
        <v>2337</v>
      </c>
      <c r="B58" s="2409" t="s">
        <v>924</v>
      </c>
      <c r="C58" s="697">
        <f ca="1">ROUND(C59+C64+C65+C66,0)</f>
        <v>0</v>
      </c>
      <c r="D58" s="2415" t="s">
        <v>925</v>
      </c>
      <c r="E58" s="2416"/>
      <c r="F58" s="2417"/>
      <c r="I58" s="2544" t="s">
        <v>2425</v>
      </c>
      <c r="J58" s="3317" t="e">
        <f ca="1">IF(J55&lt;0.4,0.4,J55)</f>
        <v>#DIV/0!</v>
      </c>
      <c r="K58" s="2567" t="s">
        <v>2447</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ROUND(IF(项目基本情况!B11="自然人",C48*F59,C60+C61+C62),0)</f>
        <v>0</v>
      </c>
      <c r="D59" s="2418" t="s">
        <v>928</v>
      </c>
      <c r="E59" s="2419" t="s">
        <v>929</v>
      </c>
      <c r="F59" s="707" t="str">
        <f ca="1">IF(项目基本情况!B11="企业","",IF(INDIRECT("'数据-取费表'!c"&amp;$G$1)="住宅",5%,IF(F49*F50*F51/12/(1+'数据-取费表'!C42)&gt;20000,12%,7%)))</f>
        <v/>
      </c>
      <c r="I59" s="2544" t="s">
        <v>2426</v>
      </c>
      <c r="J59" s="2548" t="e">
        <f ca="1">IF(OR(M47="住宅",J51&lt;L48,J56="是"),"——",ROUND(C29*J58,0))</f>
        <v>#DIV/0!</v>
      </c>
      <c r="K59" s="2567" t="s">
        <v>2435</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930</v>
      </c>
      <c r="C60" s="312">
        <f ca="1">IF(项目基本情况!B11="自然人","——",ROUND(C48*F60/(1+'数据-取费表'!C42),0))</f>
        <v>0</v>
      </c>
      <c r="D60" s="2419" t="s">
        <v>931</v>
      </c>
      <c r="E60" s="2401" t="s">
        <v>364</v>
      </c>
      <c r="F60" s="716">
        <f t="shared" ref="F60:F66" si="0">F32</f>
        <v>5.5000000000000007E-2</v>
      </c>
      <c r="I60" s="2545" t="s">
        <v>2427</v>
      </c>
      <c r="J60" s="2549" t="e">
        <f ca="1">IF(OR(M47="住宅",J51&lt;L48,J56="是"),"0",ROUND(J59/(1+J52)^J53,0))</f>
        <v>#DIV/0!</v>
      </c>
      <c r="K60" s="2551" t="s">
        <v>2430</v>
      </c>
      <c r="L60" s="2549" t="e">
        <f ca="1">IF(OR(M47="住宅",L48&lt;J51),0,ROUND(L57*(L58/L59-1),0))</f>
        <v>#DIV/0!</v>
      </c>
      <c r="O60" s="2588" t="s">
        <v>2452</v>
      </c>
      <c r="P60" s="2596" t="s">
        <v>2482</v>
      </c>
      <c r="Q60" s="2587">
        <f ca="1">L58</f>
        <v>0</v>
      </c>
      <c r="R60" s="2587" t="s">
        <v>2457</v>
      </c>
    </row>
    <row r="61" spans="1:18" s="1453" customFormat="1" ht="20.25" thickBot="1">
      <c r="A61" s="2437" t="s">
        <v>2370</v>
      </c>
      <c r="B61" s="2401" t="s">
        <v>933</v>
      </c>
      <c r="C61" s="312">
        <f ca="1">IF(项目基本情况!B11="自然人","——",IF(D61="按租金收入计税",ROUND(C48*F61,0),IF(D61="按房产原值计税",ROUND(C57*F61*0.7,0),INDIRECT("'数据-取费表'!Aj"&amp;$G$1))))</f>
        <v>0</v>
      </c>
      <c r="D61" s="1299" t="s">
        <v>2412</v>
      </c>
      <c r="E61" s="2401" t="s">
        <v>364</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935</v>
      </c>
      <c r="C62" s="313">
        <f ca="1">IF(项目基本情况!B11="自然人","——",ROUND(F62*F63,0))</f>
        <v>0</v>
      </c>
      <c r="D62" s="2420" t="s">
        <v>936</v>
      </c>
      <c r="E62" s="2401" t="s">
        <v>937</v>
      </c>
      <c r="F62" s="710">
        <f t="shared" si="0"/>
        <v>1.5</v>
      </c>
      <c r="I62" s="2546" t="s">
        <v>2417</v>
      </c>
      <c r="J62" s="2547" t="s">
        <v>2418</v>
      </c>
      <c r="K62" s="2547" t="s">
        <v>2419</v>
      </c>
      <c r="L62" s="2547" t="s">
        <v>2415</v>
      </c>
      <c r="M62" s="3318" t="s">
        <v>3035</v>
      </c>
      <c r="O62" s="2586" t="s">
        <v>2454</v>
      </c>
      <c r="P62" s="2596" t="s">
        <v>2472</v>
      </c>
      <c r="Q62" s="2587" t="e">
        <f ca="1">Q56+Q57</f>
        <v>#DIV/0!</v>
      </c>
      <c r="R62" s="2587" t="s">
        <v>2455</v>
      </c>
    </row>
    <row r="63" spans="1:18" s="1453" customFormat="1" ht="16.5" thickBot="1">
      <c r="A63" s="711"/>
      <c r="B63" s="2407"/>
      <c r="C63" s="317"/>
      <c r="D63" s="2421"/>
      <c r="E63" s="2401" t="s">
        <v>941</v>
      </c>
      <c r="F63" s="684">
        <f t="shared" ca="1" si="0"/>
        <v>0</v>
      </c>
      <c r="I63" s="2546" t="s">
        <v>2431</v>
      </c>
      <c r="J63" s="3321">
        <v>70</v>
      </c>
      <c r="K63" s="3321">
        <v>50</v>
      </c>
      <c r="L63" s="3321">
        <v>80</v>
      </c>
      <c r="M63" s="3319">
        <v>0.02</v>
      </c>
      <c r="O63" s="2590" t="s">
        <v>2486</v>
      </c>
      <c r="P63" s="1294"/>
      <c r="Q63" s="1294"/>
      <c r="R63" s="1294"/>
    </row>
    <row r="64" spans="1:18" s="1453" customFormat="1" ht="15.75" thickBot="1">
      <c r="A64" s="2437" t="s">
        <v>2379</v>
      </c>
      <c r="B64" s="2401" t="s">
        <v>943</v>
      </c>
      <c r="C64" s="312">
        <f ca="1">ROUND(C57*F64,0)</f>
        <v>0</v>
      </c>
      <c r="D64" s="2419" t="s">
        <v>973</v>
      </c>
      <c r="E64" s="2401" t="s">
        <v>364</v>
      </c>
      <c r="F64" s="713">
        <f t="shared" ca="1" si="0"/>
        <v>0</v>
      </c>
      <c r="I64" s="2546" t="s">
        <v>107</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ROUND(C56*F65,0)</f>
        <v>0</v>
      </c>
      <c r="D65" s="2419" t="s">
        <v>368</v>
      </c>
      <c r="E65" s="2401" t="s">
        <v>364</v>
      </c>
      <c r="F65" s="715">
        <f t="shared" ca="1" si="0"/>
        <v>0</v>
      </c>
      <c r="I65" s="2546" t="s">
        <v>2433</v>
      </c>
      <c r="J65" s="3321">
        <v>40</v>
      </c>
      <c r="K65" s="3321">
        <v>30</v>
      </c>
      <c r="L65" s="3321">
        <v>50</v>
      </c>
      <c r="M65" s="3319">
        <v>0.02</v>
      </c>
      <c r="O65" s="2586" t="s">
        <v>2448</v>
      </c>
      <c r="P65" s="2596" t="s">
        <v>2466</v>
      </c>
      <c r="Q65" s="2587" t="e">
        <f ca="1">C40+J29</f>
        <v>#DIV/0!</v>
      </c>
      <c r="R65" s="2587" t="s">
        <v>2467</v>
      </c>
    </row>
    <row r="66" spans="1:18" s="1453" customFormat="1" ht="20.25" thickBot="1">
      <c r="A66" s="2437" t="s">
        <v>2374</v>
      </c>
      <c r="B66" s="2401" t="s">
        <v>366</v>
      </c>
      <c r="C66" s="312">
        <f ca="1">ROUND(C48*F66,0)</f>
        <v>0</v>
      </c>
      <c r="D66" s="2419" t="s">
        <v>370</v>
      </c>
      <c r="E66" s="2401" t="s">
        <v>364</v>
      </c>
      <c r="F66" s="693">
        <f t="shared" ca="1" si="0"/>
        <v>0</v>
      </c>
      <c r="O66" s="2586" t="s">
        <v>2449</v>
      </c>
      <c r="P66" s="2596" t="s">
        <v>2473</v>
      </c>
      <c r="Q66" s="2587" t="e">
        <f ca="1">L60</f>
        <v>#DIV/0!</v>
      </c>
      <c r="R66" s="2587" t="s">
        <v>2456</v>
      </c>
    </row>
    <row r="67" spans="1:18" s="1453" customFormat="1" ht="24.75" thickBot="1">
      <c r="A67" s="2408" t="s">
        <v>2352</v>
      </c>
      <c r="B67" s="2422" t="s">
        <v>376</v>
      </c>
      <c r="C67" s="697">
        <f ca="1">C48-C58</f>
        <v>0</v>
      </c>
      <c r="D67" s="2418" t="s">
        <v>377</v>
      </c>
      <c r="E67" s="2423"/>
      <c r="F67" s="2424"/>
      <c r="O67" s="2588" t="s">
        <v>2450</v>
      </c>
      <c r="P67" s="2596" t="s">
        <v>2480</v>
      </c>
      <c r="Q67" s="2591">
        <f ca="1">L51</f>
        <v>0</v>
      </c>
      <c r="R67" s="2592" t="s">
        <v>2490</v>
      </c>
    </row>
    <row r="68" spans="1:18" s="1453" customFormat="1" ht="20.25" thickBot="1">
      <c r="A68" s="2398" t="s">
        <v>2355</v>
      </c>
      <c r="B68" s="2399" t="s">
        <v>378</v>
      </c>
      <c r="C68" s="682" t="e">
        <f ca="1">ROUND(C67*(1-((1+F70)/(1+F68))^F69)/(F68-F70),0)</f>
        <v>#DIV/0!</v>
      </c>
      <c r="D68" s="2420" t="s">
        <v>372</v>
      </c>
      <c r="E68" s="2401" t="s">
        <v>373</v>
      </c>
      <c r="F68" s="693">
        <f ca="1">F40</f>
        <v>0</v>
      </c>
      <c r="O68" s="2588" t="s">
        <v>2451</v>
      </c>
      <c r="P68" s="2597" t="s">
        <v>2484</v>
      </c>
      <c r="Q68" s="2587">
        <f ca="1">ROUND(Q69-Q70*Q71,0)</f>
        <v>0</v>
      </c>
      <c r="R68" s="2587" t="s">
        <v>2489</v>
      </c>
    </row>
    <row r="69" spans="1:18" s="1453" customFormat="1" ht="15.75" thickBot="1">
      <c r="A69" s="2402"/>
      <c r="B69" s="2403"/>
      <c r="C69" s="687"/>
      <c r="D69" s="2425" t="s">
        <v>958</v>
      </c>
      <c r="E69" s="2401" t="s">
        <v>380</v>
      </c>
      <c r="F69" s="718">
        <f ca="1">F41</f>
        <v>0</v>
      </c>
      <c r="O69" s="2588" t="s">
        <v>2459</v>
      </c>
      <c r="P69" s="2597" t="s">
        <v>2474</v>
      </c>
      <c r="Q69" s="2587">
        <f ca="1">C39</f>
        <v>0</v>
      </c>
      <c r="R69" s="2587" t="s">
        <v>2467</v>
      </c>
    </row>
    <row r="70" spans="1:18" s="1453" customFormat="1" ht="15.75" thickBot="1">
      <c r="A70" s="2405"/>
      <c r="B70" s="2406"/>
      <c r="C70" s="691"/>
      <c r="D70" s="2421"/>
      <c r="E70" s="2401" t="s">
        <v>381</v>
      </c>
      <c r="F70" s="2531">
        <f ca="1">F42</f>
        <v>0</v>
      </c>
      <c r="O70" s="2588" t="s">
        <v>2460</v>
      </c>
      <c r="P70" s="2597" t="s">
        <v>2475</v>
      </c>
      <c r="Q70" s="2587">
        <f ca="1">C13</f>
        <v>0</v>
      </c>
      <c r="R70" s="2587" t="s">
        <v>2467</v>
      </c>
    </row>
    <row r="71" spans="1:18" s="1453" customFormat="1" ht="15.75" thickBot="1">
      <c r="A71" s="2426" t="s">
        <v>2362</v>
      </c>
      <c r="B71" s="2427" t="s">
        <v>382</v>
      </c>
      <c r="C71" s="721" t="e">
        <f ca="1">ROUND(C68/F71,0)</f>
        <v>#DIV/0!</v>
      </c>
      <c r="D71" s="2428" t="s">
        <v>383</v>
      </c>
      <c r="E71" s="2429" t="s">
        <v>384</v>
      </c>
      <c r="F71" s="724">
        <f ca="1">F43</f>
        <v>0</v>
      </c>
      <c r="I71" s="2396"/>
      <c r="K71" s="2396"/>
      <c r="O71" s="2588" t="s">
        <v>2461</v>
      </c>
      <c r="P71" s="2597" t="s">
        <v>2487</v>
      </c>
      <c r="Q71" s="2589">
        <f ca="1">C76</f>
        <v>0</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0</v>
      </c>
      <c r="D75" s="1453"/>
      <c r="E75" s="1453"/>
      <c r="F75" s="1453"/>
      <c r="K75" s="1454"/>
      <c r="L75" s="1453"/>
      <c r="O75" s="2586" t="s">
        <v>2454</v>
      </c>
      <c r="P75" s="2596" t="s">
        <v>2472</v>
      </c>
      <c r="Q75" s="2587" t="e">
        <f ca="1">Q65+Q66</f>
        <v>#DIV/0!</v>
      </c>
      <c r="R75" s="2587" t="s">
        <v>2455</v>
      </c>
    </row>
    <row r="76" spans="1:18">
      <c r="B76" s="730" t="s">
        <v>972</v>
      </c>
      <c r="C76" s="731">
        <f ca="1">INDIRECT("'数据-取费表'!j"&amp;$G$1)</f>
        <v>0</v>
      </c>
      <c r="I76" s="1453"/>
      <c r="J76" s="1453"/>
      <c r="K76" s="1454"/>
      <c r="L76" s="1453"/>
    </row>
    <row r="77" spans="1:18">
      <c r="B77" s="732" t="s">
        <v>975</v>
      </c>
      <c r="C77" s="733"/>
      <c r="I77" s="1453"/>
      <c r="J77" s="1453"/>
      <c r="K77" s="1454"/>
      <c r="L77" s="1453"/>
    </row>
    <row r="78" spans="1:18">
      <c r="B78" s="645" t="s">
        <v>961</v>
      </c>
      <c r="C78" s="734"/>
    </row>
    <row r="79" spans="1:18">
      <c r="B79" s="2872" t="s">
        <v>2699</v>
      </c>
      <c r="C79" s="649" t="e">
        <f ca="1">1-C80</f>
        <v>#DIV/0!</v>
      </c>
    </row>
    <row r="80" spans="1:18">
      <c r="B80" s="2872" t="s">
        <v>2700</v>
      </c>
      <c r="C80" s="649" t="e">
        <f ca="1">ROUND(C75/C39,3)</f>
        <v>#DIV/0!</v>
      </c>
    </row>
    <row r="81" spans="2:3">
      <c r="B81" s="645" t="s">
        <v>386</v>
      </c>
      <c r="C81" s="646"/>
    </row>
    <row r="82" spans="2:3">
      <c r="B82" s="2871" t="s">
        <v>2697</v>
      </c>
      <c r="C82" s="650" t="e">
        <f ca="1">1-C83</f>
        <v>#DIV/0!</v>
      </c>
    </row>
    <row r="83" spans="2:3">
      <c r="B83" s="2871" t="s">
        <v>2696</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2670</v>
      </c>
      <c r="B1" s="2783"/>
      <c r="C1" s="2783"/>
      <c r="D1" s="2783"/>
      <c r="E1" s="2784"/>
    </row>
    <row r="2" spans="1:6" ht="14.25">
      <c r="A2" s="2785" t="s">
        <v>2671</v>
      </c>
      <c r="B2" s="2779">
        <f ca="1">SUMIF(B6:B13,"&lt;&gt;#ref!",B6:B13)</f>
        <v>73280</v>
      </c>
      <c r="C2" s="2780" t="s">
        <v>2668</v>
      </c>
      <c r="D2" s="2781" t="s">
        <v>2673</v>
      </c>
      <c r="E2" s="2789">
        <f>SUM(E6:E13)</f>
        <v>28973.439999999999</v>
      </c>
    </row>
    <row r="3" spans="1:6" ht="14.25">
      <c r="A3" s="2785" t="s">
        <v>2672</v>
      </c>
      <c r="B3" s="2779">
        <f ca="1">ROUND(B2*10000/E2,0)</f>
        <v>25292</v>
      </c>
      <c r="C3" s="2780" t="s">
        <v>2669</v>
      </c>
      <c r="D3" s="2786"/>
      <c r="E3" s="2790"/>
    </row>
    <row r="4" spans="1:6" ht="14.25">
      <c r="A4" s="2791"/>
      <c r="B4" s="2786"/>
      <c r="C4" s="2786"/>
      <c r="D4" s="2786"/>
      <c r="E4" s="2790"/>
    </row>
    <row r="5" spans="1:6">
      <c r="A5" s="2795" t="s">
        <v>2675</v>
      </c>
      <c r="B5" s="3632" t="s">
        <v>2677</v>
      </c>
      <c r="C5" s="3632"/>
      <c r="D5" s="2794"/>
      <c r="E5" s="3335" t="s">
        <v>2676</v>
      </c>
      <c r="F5" s="3336" t="s">
        <v>3051</v>
      </c>
    </row>
    <row r="6" spans="1:6">
      <c r="A6" s="2792" t="str">
        <f>'数据-取费表'!AN6</f>
        <v>收益法</v>
      </c>
      <c r="B6" s="2788">
        <f ca="1">IF(F6="是",'数据-取费表'!AO6,0)</f>
        <v>73280</v>
      </c>
      <c r="C6" s="2780" t="s">
        <v>2668</v>
      </c>
      <c r="D6" s="2786"/>
      <c r="E6" s="1541">
        <f>IF(OR(A6=0,F6="否"),0,'数据-取费表'!K6+'数据-取费表'!S6)</f>
        <v>28973.439999999999</v>
      </c>
      <c r="F6" s="3337" t="s">
        <v>3052</v>
      </c>
    </row>
    <row r="7" spans="1:6">
      <c r="A7" s="2792">
        <f>'数据-取费表'!AN7</f>
        <v>0</v>
      </c>
      <c r="B7" s="2788" t="e">
        <f ca="1">IF(F7="是",'数据-取费表'!AO7,0)</f>
        <v>#REF!</v>
      </c>
      <c r="C7" s="2780" t="s">
        <v>2668</v>
      </c>
      <c r="D7" s="2786"/>
      <c r="E7" s="1541">
        <f>IF(OR(A7=0,F7="否"),0,'数据-取费表'!K7+'数据-取费表'!S7)</f>
        <v>0</v>
      </c>
      <c r="F7" s="3337" t="s">
        <v>3052</v>
      </c>
    </row>
    <row r="8" spans="1:6">
      <c r="A8" s="2792">
        <f>'数据-取费表'!AN8</f>
        <v>0</v>
      </c>
      <c r="B8" s="2788" t="e">
        <f ca="1">IF(F8="是",'数据-取费表'!AO8,0)</f>
        <v>#REF!</v>
      </c>
      <c r="C8" s="2780" t="s">
        <v>2668</v>
      </c>
      <c r="D8" s="2786"/>
      <c r="E8" s="1541">
        <f>IF(OR(A8=0,F8="否"),0,'数据-取费表'!K8+'数据-取费表'!S8)</f>
        <v>0</v>
      </c>
      <c r="F8" s="3337" t="s">
        <v>3052</v>
      </c>
    </row>
    <row r="9" spans="1:6">
      <c r="A9" s="2792">
        <f>'数据-取费表'!AN9</f>
        <v>0</v>
      </c>
      <c r="B9" s="2788" t="e">
        <f ca="1">IF(F9="是",'数据-取费表'!AO9,0)</f>
        <v>#REF!</v>
      </c>
      <c r="C9" s="2780" t="s">
        <v>2668</v>
      </c>
      <c r="D9" s="2786"/>
      <c r="E9" s="1541">
        <f>IF(OR(A9=0,F9="否"),0,'数据-取费表'!K9+'数据-取费表'!S9)</f>
        <v>0</v>
      </c>
      <c r="F9" s="3337" t="s">
        <v>3052</v>
      </c>
    </row>
    <row r="10" spans="1:6">
      <c r="A10" s="2792">
        <f>'数据-取费表'!AN10</f>
        <v>0</v>
      </c>
      <c r="B10" s="2788" t="e">
        <f ca="1">IF(F10="是",'数据-取费表'!AO10,0)</f>
        <v>#REF!</v>
      </c>
      <c r="C10" s="2780" t="s">
        <v>2668</v>
      </c>
      <c r="D10" s="2786"/>
      <c r="E10" s="1541">
        <f>IF(OR(A10=0,F10="否"),0,'数据-取费表'!K10+'数据-取费表'!S10)</f>
        <v>0</v>
      </c>
      <c r="F10" s="3337" t="s">
        <v>3052</v>
      </c>
    </row>
    <row r="11" spans="1:6">
      <c r="A11" s="2792">
        <f>'数据-取费表'!AN11</f>
        <v>0</v>
      </c>
      <c r="B11" s="2788" t="e">
        <f ca="1">IF(F11="是",'数据-取费表'!AO11,0)</f>
        <v>#REF!</v>
      </c>
      <c r="C11" s="2780" t="s">
        <v>2668</v>
      </c>
      <c r="D11" s="2786"/>
      <c r="E11" s="1541">
        <f>IF(OR(A11=0,F11="否"),0,'数据-取费表'!K11+'数据-取费表'!S11)</f>
        <v>0</v>
      </c>
      <c r="F11" s="3337" t="s">
        <v>3052</v>
      </c>
    </row>
    <row r="12" spans="1:6">
      <c r="A12" s="2792">
        <f>'数据-取费表'!AN12</f>
        <v>0</v>
      </c>
      <c r="B12" s="2788" t="e">
        <f ca="1">IF(F12="是",'数据-取费表'!AO12,0)</f>
        <v>#REF!</v>
      </c>
      <c r="C12" s="2780" t="s">
        <v>2668</v>
      </c>
      <c r="D12" s="2786"/>
      <c r="E12" s="1541">
        <f>IF(OR(A12=0,F12="否"),0,'数据-取费表'!K12+'数据-取费表'!S12)</f>
        <v>0</v>
      </c>
      <c r="F12" s="3337" t="s">
        <v>3052</v>
      </c>
    </row>
    <row r="13" spans="1:6" ht="14.25" thickBot="1">
      <c r="A13" s="2793">
        <f>'数据-取费表'!AN13</f>
        <v>0</v>
      </c>
      <c r="B13" s="2788" t="e">
        <f ca="1">IF(F13="是",'数据-取费表'!AO13,0)</f>
        <v>#REF!</v>
      </c>
      <c r="C13" s="2796" t="s">
        <v>2668</v>
      </c>
      <c r="D13" s="2787"/>
      <c r="E13" s="1541">
        <f>IF(OR(A13=0,F13="否"),0,'数据-取费表'!K13+'数据-取费表'!S13)</f>
        <v>0</v>
      </c>
      <c r="F13" s="3337"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9" t="s">
        <v>2544</v>
      </c>
      <c r="B1" s="3650"/>
      <c r="C1" s="3651"/>
      <c r="D1" s="3652">
        <f>SUM(I10,I15,I20,I21,I23)</f>
        <v>0</v>
      </c>
      <c r="E1" s="3652"/>
      <c r="F1" s="3652"/>
      <c r="G1" s="3652"/>
      <c r="H1" s="3652"/>
      <c r="I1" s="3653"/>
    </row>
    <row r="2" spans="1:9">
      <c r="A2" s="3639" t="s">
        <v>2545</v>
      </c>
      <c r="B2" s="3640" t="s">
        <v>2546</v>
      </c>
      <c r="C2" s="3640"/>
      <c r="D2" s="2637" t="s">
        <v>2547</v>
      </c>
      <c r="E2" s="2637" t="s">
        <v>2548</v>
      </c>
      <c r="F2" s="2637" t="s">
        <v>2549</v>
      </c>
      <c r="G2" s="2637" t="s">
        <v>2550</v>
      </c>
      <c r="H2" s="2637" t="s">
        <v>2551</v>
      </c>
      <c r="I2" s="2638" t="s">
        <v>2552</v>
      </c>
    </row>
    <row r="3" spans="1:9">
      <c r="A3" s="3639"/>
      <c r="B3" s="3640" t="s">
        <v>2553</v>
      </c>
      <c r="C3" s="3640"/>
      <c r="D3" s="2639"/>
      <c r="E3" s="2637"/>
      <c r="F3" s="2640"/>
      <c r="G3" s="2640"/>
      <c r="H3" s="2641"/>
      <c r="I3" s="2642">
        <f>ROUND(D3*E3*F3*G3*H3/10000,0)</f>
        <v>0</v>
      </c>
    </row>
    <row r="4" spans="1:9">
      <c r="A4" s="3639"/>
      <c r="B4" s="3640" t="s">
        <v>2554</v>
      </c>
      <c r="C4" s="3640"/>
      <c r="D4" s="2639"/>
      <c r="E4" s="2637"/>
      <c r="F4" s="2640"/>
      <c r="G4" s="2640"/>
      <c r="H4" s="2641"/>
      <c r="I4" s="2642">
        <f t="shared" ref="I4:I9" si="0">ROUND(D4*E4*F4*G4*H4/10000,0)</f>
        <v>0</v>
      </c>
    </row>
    <row r="5" spans="1:9">
      <c r="A5" s="3639"/>
      <c r="B5" s="3640" t="s">
        <v>2555</v>
      </c>
      <c r="C5" s="3640"/>
      <c r="D5" s="2639"/>
      <c r="E5" s="2637"/>
      <c r="F5" s="2640"/>
      <c r="G5" s="2640"/>
      <c r="H5" s="2641"/>
      <c r="I5" s="2642">
        <f t="shared" si="0"/>
        <v>0</v>
      </c>
    </row>
    <row r="6" spans="1:9">
      <c r="A6" s="3639"/>
      <c r="B6" s="3640" t="s">
        <v>2556</v>
      </c>
      <c r="C6" s="3640"/>
      <c r="D6" s="2639"/>
      <c r="E6" s="2637"/>
      <c r="F6" s="2640"/>
      <c r="G6" s="2640"/>
      <c r="H6" s="2641"/>
      <c r="I6" s="2642">
        <f t="shared" si="0"/>
        <v>0</v>
      </c>
    </row>
    <row r="7" spans="1:9">
      <c r="A7" s="3639"/>
      <c r="B7" s="3640" t="s">
        <v>2557</v>
      </c>
      <c r="C7" s="3640"/>
      <c r="D7" s="2639"/>
      <c r="E7" s="2637"/>
      <c r="F7" s="2640"/>
      <c r="G7" s="2640"/>
      <c r="H7" s="2641"/>
      <c r="I7" s="2642">
        <f t="shared" si="0"/>
        <v>0</v>
      </c>
    </row>
    <row r="8" spans="1:9">
      <c r="A8" s="3639"/>
      <c r="B8" s="3640" t="s">
        <v>2558</v>
      </c>
      <c r="C8" s="3640"/>
      <c r="D8" s="2639"/>
      <c r="E8" s="2637"/>
      <c r="F8" s="2640"/>
      <c r="G8" s="2640"/>
      <c r="H8" s="2641"/>
      <c r="I8" s="2642">
        <f t="shared" si="0"/>
        <v>0</v>
      </c>
    </row>
    <row r="9" spans="1:9">
      <c r="A9" s="3639"/>
      <c r="B9" s="3640" t="s">
        <v>2559</v>
      </c>
      <c r="C9" s="3640"/>
      <c r="D9" s="2639"/>
      <c r="E9" s="2637"/>
      <c r="F9" s="2640"/>
      <c r="G9" s="2640"/>
      <c r="H9" s="2641"/>
      <c r="I9" s="2642">
        <f t="shared" si="0"/>
        <v>0</v>
      </c>
    </row>
    <row r="10" spans="1:9">
      <c r="A10" s="3639"/>
      <c r="B10" s="3641" t="s">
        <v>2560</v>
      </c>
      <c r="C10" s="3641"/>
      <c r="D10" s="2643"/>
      <c r="E10" s="2643" t="e">
        <f>ROUND(D1*10000/D10/H9,0)</f>
        <v>#DIV/0!</v>
      </c>
      <c r="F10" s="2644"/>
      <c r="G10" s="2644"/>
      <c r="H10" s="2645"/>
      <c r="I10" s="2646">
        <f>SUM(I3:I9)</f>
        <v>0</v>
      </c>
    </row>
    <row r="11" spans="1:9" ht="14.25">
      <c r="A11" s="3639" t="s">
        <v>2561</v>
      </c>
      <c r="B11" s="3640" t="s">
        <v>2562</v>
      </c>
      <c r="C11" s="3640"/>
      <c r="D11" s="2639" t="s">
        <v>2563</v>
      </c>
      <c r="E11" s="2639" t="s">
        <v>2564</v>
      </c>
      <c r="F11" s="2640" t="s">
        <v>2565</v>
      </c>
      <c r="G11" s="2640" t="s">
        <v>2551</v>
      </c>
      <c r="H11" s="2647" t="s">
        <v>2566</v>
      </c>
      <c r="I11" s="2638" t="s">
        <v>2552</v>
      </c>
    </row>
    <row r="12" spans="1:9">
      <c r="A12" s="3639"/>
      <c r="B12" s="3640" t="s">
        <v>2567</v>
      </c>
      <c r="C12" s="3640"/>
      <c r="D12" s="2639"/>
      <c r="E12" s="2639"/>
      <c r="F12" s="2640"/>
      <c r="G12" s="2641"/>
      <c r="H12" s="2648"/>
      <c r="I12" s="2638">
        <f>ROUND(D12*E12*F12*G12/10000,0)</f>
        <v>0</v>
      </c>
    </row>
    <row r="13" spans="1:9">
      <c r="A13" s="3639"/>
      <c r="B13" s="3640" t="s">
        <v>2568</v>
      </c>
      <c r="C13" s="3640"/>
      <c r="D13" s="2639"/>
      <c r="E13" s="2639"/>
      <c r="F13" s="2640"/>
      <c r="G13" s="2641"/>
      <c r="H13" s="2648"/>
      <c r="I13" s="2638">
        <f>ROUND(D13*E13*F13*G13/10000,0)</f>
        <v>0</v>
      </c>
    </row>
    <row r="14" spans="1:9">
      <c r="A14" s="3639"/>
      <c r="B14" s="3640" t="s">
        <v>2569</v>
      </c>
      <c r="C14" s="3640"/>
      <c r="D14" s="2639"/>
      <c r="E14" s="2639"/>
      <c r="F14" s="2640"/>
      <c r="G14" s="2641"/>
      <c r="H14" s="2648"/>
      <c r="I14" s="2638">
        <f>ROUND(D14*E14*F14*G14/10000,0)</f>
        <v>0</v>
      </c>
    </row>
    <row r="15" spans="1:9">
      <c r="A15" s="3639"/>
      <c r="B15" s="3641" t="s">
        <v>2560</v>
      </c>
      <c r="C15" s="3641"/>
      <c r="D15" s="2643"/>
      <c r="E15" s="2643">
        <f>SUM(E12:E14)</f>
        <v>0</v>
      </c>
      <c r="F15" s="2644"/>
      <c r="G15" s="2641"/>
      <c r="H15" s="2648"/>
      <c r="I15" s="2649">
        <f>SUM(I12:I14)</f>
        <v>0</v>
      </c>
    </row>
    <row r="16" spans="1:9" ht="24">
      <c r="A16" s="3639" t="s">
        <v>2570</v>
      </c>
      <c r="B16" s="3640" t="s">
        <v>2571</v>
      </c>
      <c r="C16" s="3640"/>
      <c r="D16" s="2639" t="s">
        <v>2547</v>
      </c>
      <c r="E16" s="2650" t="s">
        <v>2572</v>
      </c>
      <c r="F16" s="2640" t="s">
        <v>2573</v>
      </c>
      <c r="G16" s="2641" t="s">
        <v>2551</v>
      </c>
      <c r="H16" s="2647" t="s">
        <v>2566</v>
      </c>
      <c r="I16" s="2638" t="s">
        <v>2552</v>
      </c>
    </row>
    <row r="17" spans="1:9" ht="14.25">
      <c r="A17" s="3639"/>
      <c r="B17" s="3640" t="s">
        <v>2574</v>
      </c>
      <c r="C17" s="3640"/>
      <c r="D17" s="2639"/>
      <c r="E17" s="2639"/>
      <c r="F17" s="2640"/>
      <c r="G17" s="2641"/>
      <c r="H17" s="2651"/>
      <c r="I17" s="2652">
        <f>ROUND(D17*E17*F17*G17/10000,0)</f>
        <v>0</v>
      </c>
    </row>
    <row r="18" spans="1:9" ht="14.25">
      <c r="A18" s="3639"/>
      <c r="B18" s="3640" t="s">
        <v>2575</v>
      </c>
      <c r="C18" s="3640"/>
      <c r="D18" s="2639"/>
      <c r="E18" s="2639"/>
      <c r="F18" s="2640"/>
      <c r="G18" s="2641"/>
      <c r="H18" s="2651"/>
      <c r="I18" s="2652">
        <f>ROUND(D18*E18*F18*G18/10000,0)</f>
        <v>0</v>
      </c>
    </row>
    <row r="19" spans="1:9" ht="14.25">
      <c r="A19" s="3639"/>
      <c r="B19" s="3640" t="s">
        <v>2576</v>
      </c>
      <c r="C19" s="3640"/>
      <c r="D19" s="2639"/>
      <c r="E19" s="2639"/>
      <c r="F19" s="2640"/>
      <c r="G19" s="2641"/>
      <c r="H19" s="2651"/>
      <c r="I19" s="2652">
        <f>ROUND(D19*E19*F19*G19/10000,0)</f>
        <v>0</v>
      </c>
    </row>
    <row r="20" spans="1:9">
      <c r="A20" s="3639"/>
      <c r="B20" s="3641" t="s">
        <v>2560</v>
      </c>
      <c r="C20" s="3641"/>
      <c r="D20" s="2643">
        <f>SUM(D17:D19)</f>
        <v>0</v>
      </c>
      <c r="E20" s="2643"/>
      <c r="F20" s="2644"/>
      <c r="G20" s="2641"/>
      <c r="H20" s="2648"/>
      <c r="I20" s="2649">
        <f>SUM(I17:I19)</f>
        <v>0</v>
      </c>
    </row>
    <row r="21" spans="1:9">
      <c r="A21" s="3639" t="s">
        <v>2577</v>
      </c>
      <c r="B21" s="3642"/>
      <c r="C21" s="3642"/>
      <c r="D21" s="3642"/>
      <c r="E21" s="3642"/>
      <c r="F21" s="3642"/>
      <c r="G21" s="3642"/>
      <c r="H21" s="3296">
        <v>0.1</v>
      </c>
      <c r="I21" s="2646">
        <f>ROUND(I10*H21,0)</f>
        <v>0</v>
      </c>
    </row>
    <row r="22" spans="1:9" ht="14.25">
      <c r="A22" s="3643" t="s">
        <v>2578</v>
      </c>
      <c r="B22" s="3644"/>
      <c r="C22" s="3645"/>
      <c r="D22" s="2653" t="s">
        <v>2579</v>
      </c>
      <c r="E22" s="2653" t="s">
        <v>2580</v>
      </c>
      <c r="F22" s="2654" t="s">
        <v>2581</v>
      </c>
      <c r="G22" s="2654" t="s">
        <v>2582</v>
      </c>
      <c r="H22" s="2647" t="s">
        <v>2583</v>
      </c>
      <c r="I22" s="2638" t="s">
        <v>2584</v>
      </c>
    </row>
    <row r="23" spans="1:9" ht="14.25" thickBot="1">
      <c r="A23" s="3646"/>
      <c r="B23" s="3647"/>
      <c r="C23" s="3648"/>
      <c r="D23" s="2655"/>
      <c r="E23" s="2655"/>
      <c r="F23" s="2655"/>
      <c r="G23" s="2656"/>
      <c r="H23" s="2657"/>
      <c r="I23" s="2658">
        <f>ROUND(E23*D23*F23*(1-G23)/10000,0)</f>
        <v>0</v>
      </c>
    </row>
    <row r="26" spans="1:9">
      <c r="A26" s="2659" t="s">
        <v>2585</v>
      </c>
      <c r="B26" s="2659"/>
      <c r="C26" s="2659"/>
      <c r="D26" s="2659"/>
      <c r="E26" s="3636">
        <f>C27-C30-C31-C32</f>
        <v>0</v>
      </c>
      <c r="F26" s="3636"/>
      <c r="G26" s="3636"/>
      <c r="H26" s="3248" t="s">
        <v>2956</v>
      </c>
    </row>
    <row r="27" spans="1:9">
      <c r="A27" s="2660">
        <v>1</v>
      </c>
      <c r="B27" s="2661" t="s">
        <v>2586</v>
      </c>
      <c r="C27" s="2661">
        <f>C28+C29</f>
        <v>0</v>
      </c>
      <c r="D27" s="2661"/>
      <c r="E27" s="3637"/>
      <c r="F27" s="3637"/>
      <c r="G27" s="3637"/>
    </row>
    <row r="28" spans="1:9">
      <c r="A28" s="2662" t="s">
        <v>2587</v>
      </c>
      <c r="B28" s="2661" t="s">
        <v>2588</v>
      </c>
      <c r="C28" s="2661"/>
      <c r="D28" s="2661"/>
      <c r="E28" s="3637"/>
      <c r="F28" s="3637"/>
      <c r="G28" s="3637"/>
    </row>
    <row r="29" spans="1:9">
      <c r="A29" s="2662" t="s">
        <v>2589</v>
      </c>
      <c r="B29" s="2661" t="s">
        <v>2590</v>
      </c>
      <c r="C29" s="2661"/>
      <c r="D29" s="2661"/>
      <c r="E29" s="2661" t="s">
        <v>2591</v>
      </c>
      <c r="F29" s="2661"/>
      <c r="G29" s="2661"/>
    </row>
    <row r="30" spans="1:9">
      <c r="A30" s="2660">
        <v>2</v>
      </c>
      <c r="B30" s="2661" t="s">
        <v>2592</v>
      </c>
      <c r="C30" s="2661">
        <f>C27*D30</f>
        <v>0</v>
      </c>
      <c r="D30" s="2663">
        <v>0.2</v>
      </c>
      <c r="E30" s="2661" t="s">
        <v>2593</v>
      </c>
      <c r="F30" s="2661"/>
      <c r="G30" s="2661"/>
    </row>
    <row r="31" spans="1:9">
      <c r="A31" s="2660">
        <v>3</v>
      </c>
      <c r="B31" s="2661" t="s">
        <v>2594</v>
      </c>
      <c r="C31" s="2661">
        <f>C25*D31</f>
        <v>0</v>
      </c>
      <c r="D31" s="2663">
        <v>0.15</v>
      </c>
      <c r="E31" s="2661" t="s">
        <v>2595</v>
      </c>
      <c r="F31" s="2661"/>
      <c r="G31" s="2661"/>
    </row>
    <row r="32" spans="1:9">
      <c r="A32" s="2660">
        <v>4</v>
      </c>
      <c r="B32" s="2661" t="s">
        <v>2596</v>
      </c>
      <c r="C32" s="2661">
        <f>C27*D32</f>
        <v>0</v>
      </c>
      <c r="D32" s="2663">
        <v>0.05</v>
      </c>
      <c r="E32" s="3638"/>
      <c r="F32" s="3638"/>
      <c r="G32" s="3638"/>
    </row>
    <row r="33" spans="1:7" hidden="1">
      <c r="A33" s="3633" t="s">
        <v>2597</v>
      </c>
      <c r="B33" s="3634"/>
      <c r="C33" s="3634"/>
      <c r="D33" s="3635"/>
      <c r="E33" s="3636"/>
      <c r="F33" s="3636"/>
      <c r="G33" s="3636"/>
    </row>
    <row r="34" spans="1:7" hidden="1">
      <c r="A34" s="2664">
        <v>1</v>
      </c>
      <c r="B34" s="2661" t="s">
        <v>2598</v>
      </c>
      <c r="C34" s="2661"/>
      <c r="D34" s="2661"/>
      <c r="E34" s="3637"/>
      <c r="F34" s="3637"/>
      <c r="G34" s="3637"/>
    </row>
    <row r="35" spans="1:7" hidden="1">
      <c r="A35" s="2664">
        <v>2</v>
      </c>
      <c r="B35" s="2661" t="s">
        <v>2599</v>
      </c>
      <c r="C35" s="2661"/>
      <c r="D35" s="2661"/>
      <c r="E35" s="3637"/>
      <c r="F35" s="3637"/>
      <c r="G35" s="3637"/>
    </row>
    <row r="36" spans="1:7" hidden="1">
      <c r="A36" s="2664">
        <v>3</v>
      </c>
      <c r="B36" s="2661" t="s">
        <v>2600</v>
      </c>
      <c r="C36" s="2661"/>
      <c r="D36" s="2661"/>
      <c r="E36" s="3637"/>
      <c r="F36" s="3637"/>
      <c r="G36" s="3637"/>
    </row>
    <row r="37" spans="1:7" hidden="1">
      <c r="A37" s="2664">
        <v>4</v>
      </c>
      <c r="B37" s="2661" t="s">
        <v>2601</v>
      </c>
      <c r="C37" s="2661"/>
      <c r="D37" s="2661"/>
      <c r="E37" s="3637"/>
      <c r="F37" s="3637"/>
      <c r="G37" s="3637"/>
    </row>
    <row r="38" spans="1:7" hidden="1">
      <c r="A38" s="3633" t="s">
        <v>2602</v>
      </c>
      <c r="B38" s="3634"/>
      <c r="C38" s="3634"/>
      <c r="D38" s="3635"/>
      <c r="E38" s="3636"/>
      <c r="F38" s="3636"/>
      <c r="G38" s="36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2693</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3" t="e">
        <f ca="1">IF(C2="——",ROUND(C49*D3/10000,0),ROUND(C49*D3/10000,0)-D2)</f>
        <v>#DIV/0!</v>
      </c>
      <c r="C2" s="3095"/>
      <c r="D2" s="2723" t="e">
        <f ca="1">SUMIF(INDIRECT("'"&amp;F2&amp;"'"&amp;"!A:A"),"承租人权益价值",INDIRECT("'"&amp;F2&amp;"'"&amp;"!c:c"))</f>
        <v>#REF!</v>
      </c>
      <c r="E2" s="3096" t="s">
        <v>865</v>
      </c>
      <c r="F2" s="3097"/>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981</v>
      </c>
      <c r="B3" s="741" t="e">
        <f ca="1">IF(C2="——",C49,ROUND(B2*10000/D3,0))</f>
        <v>#DIV/0!</v>
      </c>
      <c r="C3" s="142" t="s">
        <v>982</v>
      </c>
      <c r="D3" s="741">
        <f>IF(D1="",'数据-汇总表'!E3,SUMIF('数据-汇总表'!$C19:$C33,D1,'数据-汇总表'!$E19:$E33))</f>
        <v>28973.439999999999</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983</v>
      </c>
      <c r="B4" s="144"/>
      <c r="C4" s="3672" t="s">
        <v>984</v>
      </c>
      <c r="D4" s="3673"/>
      <c r="E4" s="3674" t="s">
        <v>985</v>
      </c>
      <c r="F4" s="3675"/>
      <c r="G4" s="3672" t="s">
        <v>986</v>
      </c>
      <c r="H4" s="3673"/>
      <c r="I4" s="3672" t="s">
        <v>987</v>
      </c>
      <c r="J4" s="3673"/>
      <c r="K4" s="145" t="s">
        <v>988</v>
      </c>
      <c r="L4" s="2294"/>
      <c r="M4" s="2295"/>
      <c r="N4" s="2295"/>
      <c r="O4" s="2295"/>
      <c r="P4" s="3676" t="s">
        <v>983</v>
      </c>
      <c r="Q4" s="3677"/>
      <c r="R4" s="3682" t="s">
        <v>985</v>
      </c>
      <c r="S4" s="3683"/>
      <c r="T4" s="3682" t="s">
        <v>986</v>
      </c>
      <c r="U4" s="3683"/>
      <c r="V4" s="3688" t="s">
        <v>987</v>
      </c>
      <c r="W4" s="3688"/>
      <c r="X4" s="1338"/>
      <c r="Y4" s="3682" t="s">
        <v>983</v>
      </c>
      <c r="Z4" s="3683"/>
      <c r="AA4" s="3669" t="s">
        <v>985</v>
      </c>
      <c r="AB4" s="3669" t="s">
        <v>986</v>
      </c>
      <c r="AC4" s="3669" t="s">
        <v>987</v>
      </c>
    </row>
    <row r="5" spans="1:29">
      <c r="A5" s="146"/>
      <c r="B5" s="147"/>
      <c r="C5" s="3691" t="s">
        <v>989</v>
      </c>
      <c r="D5" s="3692"/>
      <c r="E5" s="3698" t="s">
        <v>990</v>
      </c>
      <c r="F5" s="3699"/>
      <c r="G5" s="3691" t="s">
        <v>991</v>
      </c>
      <c r="H5" s="3692"/>
      <c r="I5" s="3691" t="s">
        <v>992</v>
      </c>
      <c r="J5" s="3692"/>
      <c r="K5" s="152"/>
      <c r="L5" s="2294"/>
      <c r="M5" s="2295"/>
      <c r="N5" s="2295"/>
      <c r="O5" s="2295"/>
      <c r="P5" s="3678"/>
      <c r="Q5" s="3679"/>
      <c r="R5" s="3684"/>
      <c r="S5" s="3685"/>
      <c r="T5" s="3684"/>
      <c r="U5" s="3685"/>
      <c r="V5" s="3688"/>
      <c r="W5" s="3688"/>
      <c r="X5" s="1338"/>
      <c r="Y5" s="3684"/>
      <c r="Z5" s="3685"/>
      <c r="AA5" s="3670"/>
      <c r="AB5" s="3670"/>
      <c r="AC5" s="3670"/>
    </row>
    <row r="6" spans="1:29" ht="14.25" thickBot="1">
      <c r="A6" s="148"/>
      <c r="B6" s="149"/>
      <c r="C6" s="3689" t="s">
        <v>993</v>
      </c>
      <c r="D6" s="3690"/>
      <c r="E6" s="3696" t="s">
        <v>993</v>
      </c>
      <c r="F6" s="3697"/>
      <c r="G6" s="3689" t="s">
        <v>993</v>
      </c>
      <c r="H6" s="3690"/>
      <c r="I6" s="3689" t="s">
        <v>993</v>
      </c>
      <c r="J6" s="3690"/>
      <c r="K6" s="152" t="s">
        <v>994</v>
      </c>
      <c r="L6" s="2294"/>
      <c r="M6" s="2295"/>
      <c r="N6" s="2295"/>
      <c r="O6" s="2295"/>
      <c r="P6" s="3680"/>
      <c r="Q6" s="3681"/>
      <c r="R6" s="3684"/>
      <c r="S6" s="3685"/>
      <c r="T6" s="3686"/>
      <c r="U6" s="3687"/>
      <c r="V6" s="3688"/>
      <c r="W6" s="3688"/>
      <c r="X6" s="1338"/>
      <c r="Y6" s="3686"/>
      <c r="Z6" s="3687"/>
      <c r="AA6" s="3671"/>
      <c r="AB6" s="3671"/>
      <c r="AC6" s="3671"/>
    </row>
    <row r="7" spans="1:29" s="40" customFormat="1" ht="15" thickBot="1">
      <c r="A7" s="1012" t="s">
        <v>995</v>
      </c>
      <c r="B7" s="1013"/>
      <c r="C7" s="1014">
        <f>'数据-取费表'!B2</f>
        <v>42986</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693" t="s">
        <v>995</v>
      </c>
      <c r="Q7" s="3695"/>
      <c r="R7" s="1340" t="s">
        <v>115</v>
      </c>
      <c r="S7" s="1341">
        <f t="shared" ref="S7:S15" si="0">F7</f>
        <v>0</v>
      </c>
      <c r="T7" s="1340" t="s">
        <v>115</v>
      </c>
      <c r="U7" s="1341">
        <f t="shared" ref="U7:U15" si="1">H7</f>
        <v>0</v>
      </c>
      <c r="V7" s="1340" t="s">
        <v>115</v>
      </c>
      <c r="W7" s="1341">
        <f t="shared" ref="W7:W15" si="2">J7</f>
        <v>0</v>
      </c>
      <c r="X7" s="287"/>
      <c r="Y7" s="3693" t="s">
        <v>995</v>
      </c>
      <c r="Z7" s="3694"/>
      <c r="AA7" s="1342" t="e">
        <f>D7/F7</f>
        <v>#DIV/0!</v>
      </c>
      <c r="AB7" s="1342" t="e">
        <f>D7/H7</f>
        <v>#DIV/0!</v>
      </c>
      <c r="AC7" s="1342" t="e">
        <f>D7/J7</f>
        <v>#DIV/0!</v>
      </c>
    </row>
    <row r="8" spans="1:29" s="40" customFormat="1" ht="15" thickBot="1">
      <c r="A8" s="1012" t="s">
        <v>996</v>
      </c>
      <c r="B8" s="1013"/>
      <c r="C8" s="1018" t="s">
        <v>155</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693" t="s">
        <v>996</v>
      </c>
      <c r="Q8" s="3694"/>
      <c r="R8" s="1340" t="s">
        <v>115</v>
      </c>
      <c r="S8" s="1341">
        <f t="shared" si="0"/>
        <v>0</v>
      </c>
      <c r="T8" s="1340" t="s">
        <v>115</v>
      </c>
      <c r="U8" s="1341">
        <f t="shared" si="1"/>
        <v>0</v>
      </c>
      <c r="V8" s="1340" t="s">
        <v>115</v>
      </c>
      <c r="W8" s="1341">
        <f t="shared" si="2"/>
        <v>0</v>
      </c>
      <c r="X8" s="287"/>
      <c r="Y8" s="3693" t="s">
        <v>996</v>
      </c>
      <c r="Z8" s="3694"/>
      <c r="AA8" s="1342" t="e">
        <f t="shared" ref="AA8:AA19" si="3">D8/F8</f>
        <v>#DIV/0!</v>
      </c>
      <c r="AB8" s="1342" t="e">
        <f t="shared" ref="AB8:AB19" si="4">D8/H8</f>
        <v>#DIV/0!</v>
      </c>
      <c r="AC8" s="1342" t="e">
        <f t="shared" ref="AC8:AC19" si="5">D8/J8</f>
        <v>#DIV/0!</v>
      </c>
    </row>
    <row r="9" spans="1:29" s="40" customFormat="1" ht="14.25">
      <c r="A9" s="1019" t="s">
        <v>997</v>
      </c>
      <c r="B9" s="62" t="s">
        <v>998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668" t="s">
        <v>67</v>
      </c>
      <c r="Q9" s="7" t="str">
        <f t="shared" ref="Q9:Q15" si="6">B9</f>
        <v>用途</v>
      </c>
      <c r="R9" s="1340" t="s">
        <v>65</v>
      </c>
      <c r="S9" s="1341">
        <f t="shared" si="0"/>
        <v>100</v>
      </c>
      <c r="T9" s="1340" t="s">
        <v>65</v>
      </c>
      <c r="U9" s="1341">
        <f t="shared" si="1"/>
        <v>100</v>
      </c>
      <c r="V9" s="1340" t="s">
        <v>65</v>
      </c>
      <c r="W9" s="1341">
        <f t="shared" si="2"/>
        <v>100</v>
      </c>
      <c r="X9" s="287"/>
      <c r="Y9" s="3473"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668"/>
      <c r="Q10" s="7" t="str">
        <f t="shared" si="6"/>
        <v>土地使用年限（年）</v>
      </c>
      <c r="R10" s="1340" t="s">
        <v>65</v>
      </c>
      <c r="S10" s="1341">
        <f t="shared" si="0"/>
        <v>100</v>
      </c>
      <c r="T10" s="1340" t="s">
        <v>65</v>
      </c>
      <c r="U10" s="1341">
        <f t="shared" si="1"/>
        <v>100</v>
      </c>
      <c r="V10" s="1340" t="s">
        <v>65</v>
      </c>
      <c r="W10" s="1341">
        <f t="shared" si="2"/>
        <v>100</v>
      </c>
      <c r="X10" s="287"/>
      <c r="Y10" s="3473"/>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68"/>
      <c r="Q11" s="7" t="str">
        <f t="shared" si="6"/>
        <v>容积率</v>
      </c>
      <c r="R11" s="1340" t="s">
        <v>104</v>
      </c>
      <c r="S11" s="1341" t="e">
        <f t="shared" si="0"/>
        <v>#N/A</v>
      </c>
      <c r="T11" s="1340" t="s">
        <v>104</v>
      </c>
      <c r="U11" s="1341" t="e">
        <f t="shared" si="1"/>
        <v>#N/A</v>
      </c>
      <c r="V11" s="1340" t="s">
        <v>104</v>
      </c>
      <c r="W11" s="1341" t="e">
        <f t="shared" si="2"/>
        <v>#N/A</v>
      </c>
      <c r="X11" s="287"/>
      <c r="Y11" s="3473"/>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668"/>
      <c r="Q12" s="7">
        <f t="shared" si="6"/>
        <v>111</v>
      </c>
      <c r="R12" s="1340" t="s">
        <v>104</v>
      </c>
      <c r="S12" s="1341">
        <f t="shared" si="0"/>
        <v>100</v>
      </c>
      <c r="T12" s="1340" t="s">
        <v>104</v>
      </c>
      <c r="U12" s="1341">
        <f t="shared" si="1"/>
        <v>100</v>
      </c>
      <c r="V12" s="1340" t="s">
        <v>104</v>
      </c>
      <c r="W12" s="1341">
        <f t="shared" si="2"/>
        <v>100</v>
      </c>
      <c r="X12" s="287"/>
      <c r="Y12" s="3473"/>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68"/>
      <c r="Q13" s="7">
        <f t="shared" si="6"/>
        <v>111</v>
      </c>
      <c r="R13" s="1340" t="s">
        <v>104</v>
      </c>
      <c r="S13" s="1341">
        <f t="shared" si="0"/>
        <v>100</v>
      </c>
      <c r="T13" s="1340" t="s">
        <v>104</v>
      </c>
      <c r="U13" s="1341">
        <f t="shared" si="1"/>
        <v>100</v>
      </c>
      <c r="V13" s="1340" t="s">
        <v>104</v>
      </c>
      <c r="W13" s="1341">
        <f t="shared" si="2"/>
        <v>100</v>
      </c>
      <c r="X13" s="287"/>
      <c r="Y13" s="3473"/>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68"/>
      <c r="Q14" s="7">
        <f t="shared" si="6"/>
        <v>111</v>
      </c>
      <c r="R14" s="1340" t="s">
        <v>104</v>
      </c>
      <c r="S14" s="1341">
        <f t="shared" si="0"/>
        <v>100</v>
      </c>
      <c r="T14" s="1340" t="s">
        <v>104</v>
      </c>
      <c r="U14" s="1341">
        <f t="shared" si="1"/>
        <v>100</v>
      </c>
      <c r="V14" s="1340" t="s">
        <v>104</v>
      </c>
      <c r="W14" s="1341">
        <f t="shared" si="2"/>
        <v>100</v>
      </c>
      <c r="X14" s="287"/>
      <c r="Y14" s="3473"/>
      <c r="Z14" s="288">
        <f t="shared" si="7"/>
        <v>111</v>
      </c>
      <c r="AA14" s="1342">
        <f t="shared" si="3"/>
        <v>1</v>
      </c>
      <c r="AB14" s="1342">
        <f t="shared" si="4"/>
        <v>1</v>
      </c>
      <c r="AC14" s="1342">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66" t="s">
        <v>69</v>
      </c>
      <c r="Q15" s="1349" t="str">
        <f t="shared" si="6"/>
        <v>居住社区成熟度</v>
      </c>
      <c r="R15" s="1350" t="s">
        <v>104</v>
      </c>
      <c r="S15" s="1351">
        <f t="shared" si="0"/>
        <v>100</v>
      </c>
      <c r="T15" s="1350" t="s">
        <v>104</v>
      </c>
      <c r="U15" s="1351">
        <f t="shared" si="1"/>
        <v>100</v>
      </c>
      <c r="V15" s="1350" t="s">
        <v>104</v>
      </c>
      <c r="W15" s="1351">
        <f t="shared" si="2"/>
        <v>100</v>
      </c>
      <c r="X15" s="1338"/>
      <c r="Y15" s="3659"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667"/>
      <c r="Q16" s="1349"/>
      <c r="R16" s="1350"/>
      <c r="S16" s="1351"/>
      <c r="T16" s="1350"/>
      <c r="U16" s="1351"/>
      <c r="V16" s="1350"/>
      <c r="W16" s="1351"/>
      <c r="X16" s="1338"/>
      <c r="Y16" s="3660"/>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67"/>
      <c r="Q17" s="1349" t="str">
        <f>B17</f>
        <v>交通便捷度</v>
      </c>
      <c r="R17" s="1350" t="s">
        <v>104</v>
      </c>
      <c r="S17" s="1351">
        <f>F17</f>
        <v>100</v>
      </c>
      <c r="T17" s="1350" t="s">
        <v>104</v>
      </c>
      <c r="U17" s="1351">
        <f>H17</f>
        <v>100</v>
      </c>
      <c r="V17" s="1350" t="s">
        <v>104</v>
      </c>
      <c r="W17" s="1351">
        <f>J17</f>
        <v>100</v>
      </c>
      <c r="X17" s="1338"/>
      <c r="Y17" s="3660"/>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667"/>
      <c r="Q18" s="1349"/>
      <c r="R18" s="1350"/>
      <c r="S18" s="1351"/>
      <c r="T18" s="1350"/>
      <c r="U18" s="1351"/>
      <c r="V18" s="1350"/>
      <c r="W18" s="1351"/>
      <c r="X18" s="1338"/>
      <c r="Y18" s="3660"/>
      <c r="Z18" s="1352"/>
      <c r="AA18" s="1353">
        <v>1</v>
      </c>
      <c r="AB18" s="1353">
        <v>1</v>
      </c>
      <c r="AC18" s="1353">
        <v>1</v>
      </c>
    </row>
    <row r="19" spans="1:29" ht="189">
      <c r="A19" s="151"/>
      <c r="B19" s="1354" t="s">
        <v>2629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67"/>
      <c r="Q19" s="1349" t="str">
        <f>B19</f>
        <v>公共配套设施</v>
      </c>
      <c r="R19" s="1350" t="s">
        <v>104</v>
      </c>
      <c r="S19" s="1351">
        <f>F19</f>
        <v>100</v>
      </c>
      <c r="T19" s="1350" t="s">
        <v>104</v>
      </c>
      <c r="U19" s="1351">
        <f>H19</f>
        <v>100</v>
      </c>
      <c r="V19" s="1350" t="s">
        <v>104</v>
      </c>
      <c r="W19" s="1351">
        <f>J19</f>
        <v>100</v>
      </c>
      <c r="X19" s="1338"/>
      <c r="Y19" s="3660"/>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667"/>
      <c r="Q20" s="1349"/>
      <c r="R20" s="1350"/>
      <c r="S20" s="1351"/>
      <c r="T20" s="1350"/>
      <c r="U20" s="1351"/>
      <c r="V20" s="1350"/>
      <c r="W20" s="1351"/>
      <c r="X20" s="1338"/>
      <c r="Y20" s="3660"/>
      <c r="Z20" s="1352"/>
      <c r="AA20" s="1353">
        <v>1</v>
      </c>
      <c r="AB20" s="1353">
        <v>1</v>
      </c>
      <c r="AC20" s="1353">
        <v>1</v>
      </c>
    </row>
    <row r="21" spans="1:29" ht="40.5">
      <c r="A21" s="151"/>
      <c r="B21" s="1410" t="s">
        <v>2640</v>
      </c>
      <c r="C21" s="158" t="str">
        <f>估价对象房地状况!C8</f>
        <v>估价对象所在区域基础设施水平达到七通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67"/>
      <c r="Q21" s="2745" t="str">
        <f>B21</f>
        <v>基础设施水平</v>
      </c>
      <c r="R21" s="1350" t="s">
        <v>65</v>
      </c>
      <c r="S21" s="1351">
        <f>F21</f>
        <v>100</v>
      </c>
      <c r="T21" s="1350" t="s">
        <v>65</v>
      </c>
      <c r="U21" s="1351">
        <f>H21</f>
        <v>100</v>
      </c>
      <c r="V21" s="1350" t="s">
        <v>65</v>
      </c>
      <c r="W21" s="1351">
        <f>J21</f>
        <v>100</v>
      </c>
      <c r="X21" s="2747"/>
      <c r="Y21" s="3660"/>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2"/>
      <c r="L22" s="2300"/>
      <c r="M22" s="2295"/>
      <c r="N22" s="2295"/>
      <c r="O22" s="2295"/>
      <c r="P22" s="3667"/>
      <c r="Q22" s="2745"/>
      <c r="R22" s="1350"/>
      <c r="S22" s="1351"/>
      <c r="T22" s="1350"/>
      <c r="U22" s="1351"/>
      <c r="V22" s="1350"/>
      <c r="W22" s="1351"/>
      <c r="X22" s="2747"/>
      <c r="Y22" s="3660"/>
      <c r="Z22" s="2746"/>
      <c r="AA22" s="1353">
        <v>1</v>
      </c>
      <c r="AB22" s="1353">
        <v>1</v>
      </c>
      <c r="AC22" s="1353">
        <v>1</v>
      </c>
    </row>
    <row r="23" spans="1:29" ht="162">
      <c r="A23" s="151"/>
      <c r="B23" s="1354" t="s">
        <v>73</v>
      </c>
      <c r="C23" s="158"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67"/>
      <c r="Q23" s="1349" t="str">
        <f>B23</f>
        <v>自然及人文环境</v>
      </c>
      <c r="R23" s="1350" t="s">
        <v>104</v>
      </c>
      <c r="S23" s="1351">
        <f>F23</f>
        <v>100</v>
      </c>
      <c r="T23" s="1350" t="s">
        <v>104</v>
      </c>
      <c r="U23" s="1351">
        <f>H23</f>
        <v>100</v>
      </c>
      <c r="V23" s="1350" t="s">
        <v>104</v>
      </c>
      <c r="W23" s="1351">
        <f>J23</f>
        <v>100</v>
      </c>
      <c r="X23" s="1338"/>
      <c r="Y23" s="3660"/>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667"/>
      <c r="Q24" s="1349"/>
      <c r="R24" s="1350"/>
      <c r="S24" s="1351"/>
      <c r="T24" s="1350"/>
      <c r="U24" s="1351"/>
      <c r="V24" s="1350"/>
      <c r="W24" s="1351"/>
      <c r="X24" s="1338"/>
      <c r="Y24" s="3660"/>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67"/>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60"/>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67"/>
      <c r="Q26" s="1349" t="str">
        <f t="shared" si="11"/>
        <v>朝向</v>
      </c>
      <c r="R26" s="1350" t="s">
        <v>104</v>
      </c>
      <c r="S26" s="1351">
        <f t="shared" si="12"/>
        <v>100</v>
      </c>
      <c r="T26" s="1350" t="s">
        <v>104</v>
      </c>
      <c r="U26" s="1351">
        <f t="shared" si="13"/>
        <v>100</v>
      </c>
      <c r="V26" s="1350" t="s">
        <v>104</v>
      </c>
      <c r="W26" s="1351">
        <f t="shared" si="14"/>
        <v>100</v>
      </c>
      <c r="X26" s="1338"/>
      <c r="Y26" s="3660"/>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667"/>
      <c r="Q27" s="7">
        <f t="shared" si="11"/>
        <v>111</v>
      </c>
      <c r="R27" s="1340" t="s">
        <v>104</v>
      </c>
      <c r="S27" s="1341">
        <f t="shared" si="12"/>
        <v>100</v>
      </c>
      <c r="T27" s="1340" t="s">
        <v>104</v>
      </c>
      <c r="U27" s="1341">
        <f t="shared" si="13"/>
        <v>100</v>
      </c>
      <c r="V27" s="1340" t="s">
        <v>104</v>
      </c>
      <c r="W27" s="1341">
        <f t="shared" si="14"/>
        <v>100</v>
      </c>
      <c r="X27" s="287"/>
      <c r="Y27" s="3660"/>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67"/>
      <c r="Q28" s="1349">
        <f t="shared" si="11"/>
        <v>111</v>
      </c>
      <c r="R28" s="1350" t="s">
        <v>104</v>
      </c>
      <c r="S28" s="1351">
        <f t="shared" si="12"/>
        <v>100</v>
      </c>
      <c r="T28" s="1350" t="s">
        <v>104</v>
      </c>
      <c r="U28" s="1351">
        <f t="shared" si="13"/>
        <v>100</v>
      </c>
      <c r="V28" s="1350" t="s">
        <v>104</v>
      </c>
      <c r="W28" s="1351">
        <f t="shared" si="14"/>
        <v>100</v>
      </c>
      <c r="X28" s="1338"/>
      <c r="Y28" s="3660"/>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67"/>
      <c r="Q29" s="1349">
        <f t="shared" si="11"/>
        <v>111</v>
      </c>
      <c r="R29" s="1350" t="s">
        <v>104</v>
      </c>
      <c r="S29" s="1351">
        <f t="shared" si="12"/>
        <v>100</v>
      </c>
      <c r="T29" s="1350" t="s">
        <v>104</v>
      </c>
      <c r="U29" s="1351">
        <f t="shared" si="13"/>
        <v>100</v>
      </c>
      <c r="V29" s="1350" t="s">
        <v>104</v>
      </c>
      <c r="W29" s="1351">
        <f t="shared" si="14"/>
        <v>100</v>
      </c>
      <c r="X29" s="1338"/>
      <c r="Y29" s="3660"/>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67"/>
      <c r="Q30" s="1349">
        <f t="shared" si="11"/>
        <v>111</v>
      </c>
      <c r="R30" s="1350" t="s">
        <v>104</v>
      </c>
      <c r="S30" s="1351">
        <f t="shared" si="12"/>
        <v>100</v>
      </c>
      <c r="T30" s="1350" t="s">
        <v>104</v>
      </c>
      <c r="U30" s="1351">
        <f t="shared" si="13"/>
        <v>100</v>
      </c>
      <c r="V30" s="1350" t="s">
        <v>104</v>
      </c>
      <c r="W30" s="1351">
        <f t="shared" si="14"/>
        <v>100</v>
      </c>
      <c r="X30" s="1338"/>
      <c r="Y30" s="3660"/>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67"/>
      <c r="Q31" s="1349">
        <f t="shared" si="11"/>
        <v>111</v>
      </c>
      <c r="R31" s="1350" t="s">
        <v>104</v>
      </c>
      <c r="S31" s="1351">
        <f t="shared" si="12"/>
        <v>100</v>
      </c>
      <c r="T31" s="1350" t="s">
        <v>104</v>
      </c>
      <c r="U31" s="1351">
        <f t="shared" si="13"/>
        <v>100</v>
      </c>
      <c r="V31" s="1350" t="s">
        <v>104</v>
      </c>
      <c r="W31" s="1351">
        <f t="shared" si="14"/>
        <v>100</v>
      </c>
      <c r="X31" s="1338"/>
      <c r="Y31" s="3660"/>
      <c r="Z31" s="1352">
        <f t="shared" si="18"/>
        <v>111</v>
      </c>
      <c r="AA31" s="1353">
        <f t="shared" si="15"/>
        <v>1</v>
      </c>
      <c r="AB31" s="1353">
        <f t="shared" si="16"/>
        <v>1</v>
      </c>
      <c r="AC31" s="1353">
        <f t="shared" si="17"/>
        <v>1</v>
      </c>
    </row>
    <row r="32" spans="1:29" ht="15">
      <c r="A32" s="155" t="s">
        <v>999</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300"/>
      <c r="M32" s="2295"/>
      <c r="N32" s="2295"/>
      <c r="O32" s="2295"/>
      <c r="P32" s="3661" t="s">
        <v>70</v>
      </c>
      <c r="Q32" s="1349" t="str">
        <f t="shared" si="11"/>
        <v>建筑类型</v>
      </c>
      <c r="R32" s="1350" t="s">
        <v>104</v>
      </c>
      <c r="S32" s="1351">
        <f t="shared" si="12"/>
        <v>100</v>
      </c>
      <c r="T32" s="1350" t="s">
        <v>104</v>
      </c>
      <c r="U32" s="1351">
        <f t="shared" si="13"/>
        <v>100</v>
      </c>
      <c r="V32" s="1350" t="s">
        <v>104</v>
      </c>
      <c r="W32" s="1351">
        <f t="shared" si="14"/>
        <v>100</v>
      </c>
      <c r="X32" s="1338"/>
      <c r="Y32" s="3664"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62"/>
      <c r="Q33" s="1357" t="str">
        <f t="shared" si="11"/>
        <v>项目建筑规模</v>
      </c>
      <c r="R33" s="1358" t="s">
        <v>104</v>
      </c>
      <c r="S33" s="1359" t="e">
        <f t="shared" si="12"/>
        <v>#N/A</v>
      </c>
      <c r="T33" s="1358" t="s">
        <v>104</v>
      </c>
      <c r="U33" s="1359" t="e">
        <f t="shared" si="13"/>
        <v>#N/A</v>
      </c>
      <c r="V33" s="1358" t="s">
        <v>104</v>
      </c>
      <c r="W33" s="1359" t="e">
        <f t="shared" si="14"/>
        <v>#N/A</v>
      </c>
      <c r="X33" s="1360"/>
      <c r="Y33" s="3664"/>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62"/>
      <c r="Q34" s="1349" t="str">
        <f t="shared" si="11"/>
        <v>建筑结构</v>
      </c>
      <c r="R34" s="1350" t="s">
        <v>104</v>
      </c>
      <c r="S34" s="1351">
        <f t="shared" si="12"/>
        <v>100</v>
      </c>
      <c r="T34" s="1350" t="s">
        <v>104</v>
      </c>
      <c r="U34" s="1351">
        <f t="shared" si="13"/>
        <v>100</v>
      </c>
      <c r="V34" s="1350" t="s">
        <v>104</v>
      </c>
      <c r="W34" s="1351">
        <f t="shared" si="14"/>
        <v>100</v>
      </c>
      <c r="X34" s="1338"/>
      <c r="Y34" s="3664"/>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62"/>
      <c r="Q35" s="1349" t="str">
        <f t="shared" si="11"/>
        <v>建筑品质</v>
      </c>
      <c r="R35" s="1350" t="s">
        <v>104</v>
      </c>
      <c r="S35" s="1351">
        <f t="shared" si="12"/>
        <v>100</v>
      </c>
      <c r="T35" s="1350" t="s">
        <v>104</v>
      </c>
      <c r="U35" s="1351">
        <f t="shared" si="13"/>
        <v>100</v>
      </c>
      <c r="V35" s="1350" t="s">
        <v>104</v>
      </c>
      <c r="W35" s="1351">
        <f t="shared" si="14"/>
        <v>100</v>
      </c>
      <c r="X35" s="1338"/>
      <c r="Y35" s="3664"/>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62"/>
      <c r="Q36" s="1349" t="str">
        <f t="shared" si="11"/>
        <v>公共部分装修</v>
      </c>
      <c r="R36" s="1350" t="s">
        <v>104</v>
      </c>
      <c r="S36" s="1351">
        <f t="shared" si="12"/>
        <v>100</v>
      </c>
      <c r="T36" s="1350" t="s">
        <v>104</v>
      </c>
      <c r="U36" s="1351">
        <f t="shared" si="13"/>
        <v>100</v>
      </c>
      <c r="V36" s="1350" t="s">
        <v>104</v>
      </c>
      <c r="W36" s="1351">
        <f t="shared" si="14"/>
        <v>100</v>
      </c>
      <c r="X36" s="1338"/>
      <c r="Y36" s="3664"/>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96"/>
      <c r="M37" s="2258"/>
      <c r="N37" s="2258"/>
      <c r="O37" s="2258"/>
      <c r="P37" s="3662"/>
      <c r="Q37" s="7" t="str">
        <f t="shared" si="11"/>
        <v>成新度</v>
      </c>
      <c r="R37" s="1340" t="s">
        <v>104</v>
      </c>
      <c r="S37" s="1341" t="e">
        <f t="shared" si="12"/>
        <v>#N/A</v>
      </c>
      <c r="T37" s="1340" t="s">
        <v>104</v>
      </c>
      <c r="U37" s="1341" t="e">
        <f t="shared" si="13"/>
        <v>#N/A</v>
      </c>
      <c r="V37" s="1340" t="s">
        <v>104</v>
      </c>
      <c r="W37" s="1341" t="e">
        <f t="shared" si="14"/>
        <v>#N/A</v>
      </c>
      <c r="X37" s="287"/>
      <c r="Y37" s="3664"/>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62" t="s">
        <v>70</v>
      </c>
      <c r="Q38" s="1349" t="str">
        <f t="shared" si="11"/>
        <v>物业管理</v>
      </c>
      <c r="R38" s="1350" t="s">
        <v>104</v>
      </c>
      <c r="S38" s="1351">
        <f t="shared" si="12"/>
        <v>100</v>
      </c>
      <c r="T38" s="1350" t="s">
        <v>104</v>
      </c>
      <c r="U38" s="1351">
        <f t="shared" si="13"/>
        <v>100</v>
      </c>
      <c r="V38" s="1350" t="s">
        <v>104</v>
      </c>
      <c r="W38" s="1351">
        <f t="shared" si="14"/>
        <v>100</v>
      </c>
      <c r="X38" s="1338"/>
      <c r="Y38" s="3664" t="s">
        <v>70</v>
      </c>
      <c r="Z38" s="1352" t="str">
        <f t="shared" si="18"/>
        <v>物业管理</v>
      </c>
      <c r="AA38" s="1353">
        <f t="shared" si="15"/>
        <v>1</v>
      </c>
      <c r="AB38" s="1353">
        <f t="shared" si="16"/>
        <v>1</v>
      </c>
      <c r="AC38" s="1353">
        <f t="shared" si="17"/>
        <v>1</v>
      </c>
    </row>
    <row r="39" spans="1:29" ht="15">
      <c r="A39" s="161"/>
      <c r="B39" s="12" t="s">
        <v>2641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62"/>
      <c r="Q39" s="1349" t="str">
        <f t="shared" si="11"/>
        <v>市政基础设施</v>
      </c>
      <c r="R39" s="1350" t="s">
        <v>104</v>
      </c>
      <c r="S39" s="1351">
        <f t="shared" si="12"/>
        <v>100</v>
      </c>
      <c r="T39" s="1350" t="s">
        <v>104</v>
      </c>
      <c r="U39" s="1351">
        <f t="shared" si="13"/>
        <v>100</v>
      </c>
      <c r="V39" s="1350" t="s">
        <v>104</v>
      </c>
      <c r="W39" s="1351">
        <f t="shared" si="14"/>
        <v>100</v>
      </c>
      <c r="X39" s="1338"/>
      <c r="Y39" s="3664"/>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62"/>
      <c r="Q40" s="1349" t="str">
        <f t="shared" si="11"/>
        <v>房型</v>
      </c>
      <c r="R40" s="1350" t="s">
        <v>104</v>
      </c>
      <c r="S40" s="1351">
        <f t="shared" si="12"/>
        <v>100</v>
      </c>
      <c r="T40" s="1350" t="s">
        <v>104</v>
      </c>
      <c r="U40" s="1351">
        <f t="shared" si="13"/>
        <v>100</v>
      </c>
      <c r="V40" s="1350" t="s">
        <v>104</v>
      </c>
      <c r="W40" s="1351">
        <f t="shared" si="14"/>
        <v>100</v>
      </c>
      <c r="X40" s="1338"/>
      <c r="Y40" s="3664"/>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662"/>
      <c r="Q41" s="1357" t="str">
        <f t="shared" si="11"/>
        <v>单套/主力户型建筑面积</v>
      </c>
      <c r="R41" s="1358" t="s">
        <v>104</v>
      </c>
      <c r="S41" s="1359">
        <f t="shared" si="12"/>
        <v>100</v>
      </c>
      <c r="T41" s="1358" t="s">
        <v>104</v>
      </c>
      <c r="U41" s="1359">
        <f t="shared" si="13"/>
        <v>100</v>
      </c>
      <c r="V41" s="1358" t="s">
        <v>104</v>
      </c>
      <c r="W41" s="1359">
        <f t="shared" si="14"/>
        <v>100</v>
      </c>
      <c r="X41" s="1360"/>
      <c r="Y41" s="3664"/>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62"/>
      <c r="Q42" s="1349" t="str">
        <f t="shared" si="11"/>
        <v>内部装修</v>
      </c>
      <c r="R42" s="1350" t="s">
        <v>104</v>
      </c>
      <c r="S42" s="1351">
        <f t="shared" si="12"/>
        <v>100</v>
      </c>
      <c r="T42" s="1350" t="s">
        <v>104</v>
      </c>
      <c r="U42" s="1351">
        <f t="shared" si="13"/>
        <v>100</v>
      </c>
      <c r="V42" s="1350" t="s">
        <v>104</v>
      </c>
      <c r="W42" s="1351">
        <f t="shared" si="14"/>
        <v>100</v>
      </c>
      <c r="X42" s="1338"/>
      <c r="Y42" s="3664"/>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62"/>
      <c r="Q43" s="1349" t="str">
        <f t="shared" si="11"/>
        <v>内部装修维护情况</v>
      </c>
      <c r="R43" s="1350" t="s">
        <v>104</v>
      </c>
      <c r="S43" s="1351">
        <f t="shared" si="12"/>
        <v>100</v>
      </c>
      <c r="T43" s="1350" t="s">
        <v>104</v>
      </c>
      <c r="U43" s="1351">
        <f t="shared" si="13"/>
        <v>100</v>
      </c>
      <c r="V43" s="1350" t="s">
        <v>104</v>
      </c>
      <c r="W43" s="1351">
        <f t="shared" si="14"/>
        <v>100</v>
      </c>
      <c r="X43" s="1338"/>
      <c r="Y43" s="3664"/>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662"/>
      <c r="Q44" s="7">
        <f t="shared" si="11"/>
        <v>111</v>
      </c>
      <c r="R44" s="1340" t="s">
        <v>104</v>
      </c>
      <c r="S44" s="1341">
        <f t="shared" si="12"/>
        <v>100</v>
      </c>
      <c r="T44" s="1340" t="s">
        <v>104</v>
      </c>
      <c r="U44" s="1341">
        <f t="shared" si="13"/>
        <v>100</v>
      </c>
      <c r="V44" s="1340" t="s">
        <v>104</v>
      </c>
      <c r="W44" s="1341">
        <f t="shared" si="14"/>
        <v>100</v>
      </c>
      <c r="X44" s="287"/>
      <c r="Y44" s="3664"/>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62"/>
      <c r="Q45" s="1349">
        <f t="shared" si="11"/>
        <v>111</v>
      </c>
      <c r="R45" s="1350" t="s">
        <v>104</v>
      </c>
      <c r="S45" s="1351">
        <f t="shared" si="12"/>
        <v>100</v>
      </c>
      <c r="T45" s="1350" t="s">
        <v>104</v>
      </c>
      <c r="U45" s="1351">
        <f t="shared" si="13"/>
        <v>100</v>
      </c>
      <c r="V45" s="1350" t="s">
        <v>104</v>
      </c>
      <c r="W45" s="1351">
        <f t="shared" si="14"/>
        <v>100</v>
      </c>
      <c r="X45" s="1338"/>
      <c r="Y45" s="3664"/>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63"/>
      <c r="Q46" s="1349">
        <f t="shared" si="11"/>
        <v>111</v>
      </c>
      <c r="R46" s="1350" t="s">
        <v>103</v>
      </c>
      <c r="S46" s="1351">
        <f t="shared" si="12"/>
        <v>100</v>
      </c>
      <c r="T46" s="1350" t="s">
        <v>103</v>
      </c>
      <c r="U46" s="1351">
        <f t="shared" si="13"/>
        <v>100</v>
      </c>
      <c r="V46" s="1350" t="s">
        <v>103</v>
      </c>
      <c r="W46" s="1351">
        <f t="shared" si="14"/>
        <v>100</v>
      </c>
      <c r="X46" s="1338"/>
      <c r="Y46" s="3665"/>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57" t="str">
        <f>A47</f>
        <v>成交单价（元/平方米）</v>
      </c>
      <c r="Q47" s="3657"/>
      <c r="R47" s="3658">
        <f>E47</f>
        <v>0</v>
      </c>
      <c r="S47" s="3658"/>
      <c r="T47" s="3658">
        <f>G47</f>
        <v>0</v>
      </c>
      <c r="U47" s="3658"/>
      <c r="V47" s="3658">
        <f>I47</f>
        <v>0</v>
      </c>
      <c r="W47" s="3658"/>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363"/>
      <c r="Y48" s="1363"/>
      <c r="Z48" s="1363"/>
      <c r="AA48" s="1363"/>
      <c r="AB48" s="1363"/>
      <c r="AC48" s="1363"/>
    </row>
    <row r="49" spans="1:29" ht="15.75" thickBot="1">
      <c r="A49" s="115" t="s">
        <v>3013</v>
      </c>
      <c r="B49" s="116"/>
      <c r="C49" s="2841" t="e">
        <f>R49</f>
        <v>#DIV/0!</v>
      </c>
      <c r="D49" s="2842"/>
      <c r="E49" s="2842"/>
      <c r="F49" s="2842"/>
      <c r="G49" s="2842"/>
      <c r="H49" s="2842"/>
      <c r="I49" s="2842"/>
      <c r="J49" s="2842"/>
      <c r="K49" s="1366"/>
      <c r="L49" s="2302"/>
      <c r="M49" s="2303"/>
      <c r="N49" s="2303"/>
      <c r="O49" s="2303"/>
      <c r="P49" s="3654" t="str">
        <f>A49</f>
        <v>估价对象XX用房的比较价值（楼面单价，元/平方米）</v>
      </c>
      <c r="Q49" s="3655"/>
      <c r="R49" s="3656" t="e">
        <f>IF(F1="售价",ROUND(AVERAGE(R48:V48),0),ROUND(AVERAGE(R48:V48),1))</f>
        <v>#DIV/0!</v>
      </c>
      <c r="S49" s="3656"/>
      <c r="T49" s="3656"/>
      <c r="U49" s="3656"/>
      <c r="V49" s="3656"/>
      <c r="W49" s="365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2793</v>
      </c>
      <c r="B58" s="847"/>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1013</v>
      </c>
      <c r="D78" s="919" t="s">
        <v>1014</v>
      </c>
      <c r="E78" s="919" t="s">
        <v>1015</v>
      </c>
      <c r="F78" s="919" t="s">
        <v>1016</v>
      </c>
      <c r="G78" s="919" t="s">
        <v>1017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1013</v>
      </c>
      <c r="D80" s="919" t="s">
        <v>1014</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2643</v>
      </c>
      <c r="C82" s="177" t="s">
        <v>2644</v>
      </c>
      <c r="D82" s="177" t="s">
        <v>2648</v>
      </c>
      <c r="E82" s="177" t="s">
        <v>2645</v>
      </c>
      <c r="F82" s="177" t="s">
        <v>2646</v>
      </c>
      <c r="G82" s="177" t="s">
        <v>2647</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424</v>
      </c>
      <c r="D124" s="919" t="s">
        <v>425</v>
      </c>
      <c r="E124" s="919" t="s">
        <v>426</v>
      </c>
      <c r="F124" s="919" t="s">
        <v>427</v>
      </c>
      <c r="G124" s="919" t="s">
        <v>428</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6" t="s">
        <v>2296</v>
      </c>
      <c r="D138" s="1776" t="s">
        <v>2297</v>
      </c>
      <c r="E138" s="2148" t="s">
        <v>2298</v>
      </c>
      <c r="F138" s="2149" t="s">
        <v>2299</v>
      </c>
      <c r="G138" s="1776" t="s">
        <v>2297</v>
      </c>
      <c r="H138" s="2150" t="s">
        <v>2298</v>
      </c>
      <c r="I138" s="2151"/>
      <c r="J138" s="1776"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6">
        <f>ROUNDUP((J139-1)/2,0)</f>
        <v>10</v>
      </c>
      <c r="K140" s="2167">
        <v>100</v>
      </c>
    </row>
    <row r="141" spans="1:17" ht="15">
      <c r="B141" s="2160">
        <v>4</v>
      </c>
      <c r="C141" s="2161">
        <v>102</v>
      </c>
      <c r="D141" s="2162"/>
      <c r="E141" s="2163"/>
      <c r="F141" s="2164">
        <v>101.5</v>
      </c>
      <c r="G141" s="2162"/>
      <c r="H141" s="2165"/>
      <c r="I141" s="2166" t="s">
        <v>2305</v>
      </c>
      <c r="J141" s="646">
        <v>1</v>
      </c>
      <c r="K141" s="2168">
        <f>ROUND(100+(J141-J140)*K139*100,1)</f>
        <v>96.4</v>
      </c>
    </row>
    <row r="142" spans="1:17" ht="15">
      <c r="B142" s="2160">
        <v>3</v>
      </c>
      <c r="C142" s="2161">
        <v>103</v>
      </c>
      <c r="D142" s="2162"/>
      <c r="E142" s="2163"/>
      <c r="F142" s="2164">
        <v>101</v>
      </c>
      <c r="G142" s="2162"/>
      <c r="H142" s="2165"/>
      <c r="I142" s="2166" t="s">
        <v>2306</v>
      </c>
      <c r="J142" s="646">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8" t="s">
        <v>2308</v>
      </c>
      <c r="E144" s="2163">
        <v>102</v>
      </c>
      <c r="F144" s="2170">
        <v>100</v>
      </c>
      <c r="G144" s="1158"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172</v>
      </c>
      <c r="B2" s="2843" t="e">
        <f ca="1">IF(C2="——",ROUND(C49*D3/10000,0),ROUND(C49*D3/10000,0)-D2)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173</v>
      </c>
      <c r="B3" s="950" t="e">
        <f ca="1">IF(C2="——",C49,ROUND(B2*10000/D3,0))</f>
        <v>#DIV/0!</v>
      </c>
      <c r="C3" s="142" t="s">
        <v>167</v>
      </c>
      <c r="D3" s="741">
        <f>IF(D1="",'数据-汇总表'!E3,SUMIF('数据-汇总表'!$C19:$C33,D1,'数据-汇总表'!$E19:$E33))</f>
        <v>28973.439999999999</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72" t="s">
        <v>54</v>
      </c>
      <c r="D4" s="3673"/>
      <c r="E4" s="3674" t="s">
        <v>55</v>
      </c>
      <c r="F4" s="3675"/>
      <c r="G4" s="3672" t="s">
        <v>56</v>
      </c>
      <c r="H4" s="3673"/>
      <c r="I4" s="3672" t="s">
        <v>57</v>
      </c>
      <c r="J4" s="3673"/>
      <c r="K4" s="187" t="s">
        <v>58</v>
      </c>
      <c r="L4" s="2294"/>
      <c r="M4" s="2295"/>
      <c r="N4" s="2295"/>
      <c r="O4" s="2295"/>
      <c r="P4" s="3676" t="s">
        <v>53</v>
      </c>
      <c r="Q4" s="3677"/>
      <c r="R4" s="3682" t="s">
        <v>55</v>
      </c>
      <c r="S4" s="3683"/>
      <c r="T4" s="3682" t="s">
        <v>56</v>
      </c>
      <c r="U4" s="3683"/>
      <c r="V4" s="3688" t="s">
        <v>57</v>
      </c>
      <c r="W4" s="3688"/>
      <c r="X4" s="1338"/>
      <c r="Y4" s="3682" t="s">
        <v>53</v>
      </c>
      <c r="Z4" s="3683"/>
      <c r="AA4" s="3669" t="s">
        <v>55</v>
      </c>
      <c r="AB4" s="3688" t="s">
        <v>56</v>
      </c>
      <c r="AC4" s="3669" t="s">
        <v>57</v>
      </c>
    </row>
    <row r="5" spans="1:29">
      <c r="A5" s="146"/>
      <c r="B5" s="147"/>
      <c r="C5" s="3691" t="s">
        <v>59</v>
      </c>
      <c r="D5" s="3692"/>
      <c r="E5" s="3698" t="s">
        <v>60</v>
      </c>
      <c r="F5" s="3699"/>
      <c r="G5" s="3691" t="s">
        <v>61</v>
      </c>
      <c r="H5" s="3692"/>
      <c r="I5" s="3691" t="s">
        <v>62</v>
      </c>
      <c r="J5" s="3692"/>
      <c r="K5" s="187"/>
      <c r="L5" s="2294"/>
      <c r="M5" s="2295"/>
      <c r="N5" s="2295"/>
      <c r="O5" s="2295"/>
      <c r="P5" s="3678"/>
      <c r="Q5" s="3679"/>
      <c r="R5" s="3684"/>
      <c r="S5" s="3685"/>
      <c r="T5" s="3684"/>
      <c r="U5" s="3685"/>
      <c r="V5" s="3688"/>
      <c r="W5" s="3688"/>
      <c r="X5" s="1338"/>
      <c r="Y5" s="3684"/>
      <c r="Z5" s="3685"/>
      <c r="AA5" s="3670"/>
      <c r="AB5" s="3688"/>
      <c r="AC5" s="3670"/>
    </row>
    <row r="6" spans="1:29" ht="14.25" thickBot="1">
      <c r="A6" s="148"/>
      <c r="B6" s="149"/>
      <c r="C6" s="3689" t="s">
        <v>63</v>
      </c>
      <c r="D6" s="3690"/>
      <c r="E6" s="3696" t="s">
        <v>63</v>
      </c>
      <c r="F6" s="3697"/>
      <c r="G6" s="3689" t="s">
        <v>63</v>
      </c>
      <c r="H6" s="3690"/>
      <c r="I6" s="3689" t="s">
        <v>63</v>
      </c>
      <c r="J6" s="3690"/>
      <c r="K6" s="187" t="s">
        <v>117</v>
      </c>
      <c r="L6" s="2294"/>
      <c r="M6" s="2295"/>
      <c r="N6" s="2295"/>
      <c r="O6" s="2295"/>
      <c r="P6" s="3680"/>
      <c r="Q6" s="3681"/>
      <c r="R6" s="3684"/>
      <c r="S6" s="3685"/>
      <c r="T6" s="3686"/>
      <c r="U6" s="3687"/>
      <c r="V6" s="3688"/>
      <c r="W6" s="3688"/>
      <c r="X6" s="1338"/>
      <c r="Y6" s="3686"/>
      <c r="Z6" s="3687"/>
      <c r="AA6" s="3671"/>
      <c r="AB6" s="3688"/>
      <c r="AC6" s="3671"/>
    </row>
    <row r="7" spans="1:29" s="40" customFormat="1" ht="15" thickBot="1">
      <c r="A7" s="1012" t="s">
        <v>64</v>
      </c>
      <c r="B7" s="1013"/>
      <c r="C7" s="1014">
        <f>'数据-取费表'!B2</f>
        <v>42986</v>
      </c>
      <c r="D7" s="753">
        <v>100</v>
      </c>
      <c r="E7" s="1015"/>
      <c r="F7" s="755">
        <f>SUMIF(58:58,YEAR(E7)&amp;"-"&amp;MONTH(E7),59:59)</f>
        <v>0</v>
      </c>
      <c r="G7" s="1015"/>
      <c r="H7" s="753">
        <f>SUMIF(58:58,YEAR(G7)&amp;"-"&amp;MONTH(G7),59:59)</f>
        <v>0</v>
      </c>
      <c r="I7" s="1015"/>
      <c r="J7" s="753">
        <f>SUMIF(58:58,YEAR(I7)&amp;"-"&amp;MONTH(I7),59:59)</f>
        <v>0</v>
      </c>
      <c r="K7" s="1017"/>
      <c r="L7" s="2296"/>
      <c r="M7" s="2258"/>
      <c r="N7" s="2258"/>
      <c r="O7" s="2258"/>
      <c r="P7" s="3693" t="s">
        <v>64</v>
      </c>
      <c r="Q7" s="3695"/>
      <c r="R7" s="1340" t="s">
        <v>65</v>
      </c>
      <c r="S7" s="1341">
        <f t="shared" ref="S7:S15" si="0">F7</f>
        <v>0</v>
      </c>
      <c r="T7" s="1340" t="s">
        <v>65</v>
      </c>
      <c r="U7" s="1341">
        <f t="shared" ref="U7:U15" si="1">H7</f>
        <v>0</v>
      </c>
      <c r="V7" s="1340" t="s">
        <v>65</v>
      </c>
      <c r="W7" s="1341">
        <f t="shared" ref="W7:W15" si="2">J7</f>
        <v>0</v>
      </c>
      <c r="X7" s="287"/>
      <c r="Y7" s="3693" t="s">
        <v>64</v>
      </c>
      <c r="Z7" s="3694"/>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6"/>
      <c r="M8" s="2258"/>
      <c r="N8" s="2258"/>
      <c r="O8" s="2258"/>
      <c r="P8" s="3693" t="s">
        <v>1018</v>
      </c>
      <c r="Q8" s="3694"/>
      <c r="R8" s="1340" t="s">
        <v>65</v>
      </c>
      <c r="S8" s="1341">
        <f t="shared" si="0"/>
        <v>0</v>
      </c>
      <c r="T8" s="1340" t="s">
        <v>65</v>
      </c>
      <c r="U8" s="1341">
        <f t="shared" si="1"/>
        <v>0</v>
      </c>
      <c r="V8" s="1340" t="s">
        <v>65</v>
      </c>
      <c r="W8" s="1341">
        <f t="shared" si="2"/>
        <v>0</v>
      </c>
      <c r="X8" s="287"/>
      <c r="Y8" s="3693" t="s">
        <v>1018</v>
      </c>
      <c r="Z8" s="3694"/>
      <c r="AA8" s="1342" t="e">
        <f t="shared" ref="AA8:AA46" si="3">D8/F8</f>
        <v>#DIV/0!</v>
      </c>
      <c r="AB8" s="1342" t="e">
        <f t="shared" ref="AB8:AB46" si="4">D8/H8</f>
        <v>#DIV/0!</v>
      </c>
      <c r="AC8" s="1342" t="e">
        <f t="shared" ref="AC8:AC46" si="5">D8/J8</f>
        <v>#DIV/0!</v>
      </c>
    </row>
    <row r="9" spans="1:29" s="40" customFormat="1" ht="14.25">
      <c r="A9" s="1019" t="s">
        <v>1019</v>
      </c>
      <c r="B9" s="62" t="s">
        <v>1020</v>
      </c>
      <c r="C9" s="1344"/>
      <c r="D9" s="424">
        <v>100</v>
      </c>
      <c r="E9" s="1345"/>
      <c r="F9" s="760">
        <f>SUMIF(63:63,E9,64:64)-SUMIF(63:63,C9,64:64)+100</f>
        <v>100</v>
      </c>
      <c r="G9" s="1345"/>
      <c r="H9" s="424">
        <f>SUMIF(63:63,G9,64:64)-SUMIF(63:63,C9,64:64)+100</f>
        <v>100</v>
      </c>
      <c r="I9" s="1345"/>
      <c r="J9" s="424">
        <f>SUMIF(63:63,I9,64:64)-SUMIF(63:63,C9,64:64)+100</f>
        <v>100</v>
      </c>
      <c r="K9" s="1017"/>
      <c r="L9" s="2296"/>
      <c r="M9" s="2258"/>
      <c r="N9" s="2258"/>
      <c r="O9" s="2258"/>
      <c r="P9" s="3668" t="s">
        <v>67</v>
      </c>
      <c r="Q9" s="7" t="str">
        <f t="shared" ref="Q9:Q15" si="6">B9</f>
        <v>用途</v>
      </c>
      <c r="R9" s="1340" t="s">
        <v>65</v>
      </c>
      <c r="S9" s="1341">
        <f t="shared" si="0"/>
        <v>100</v>
      </c>
      <c r="T9" s="1340" t="s">
        <v>65</v>
      </c>
      <c r="U9" s="1341">
        <f t="shared" si="1"/>
        <v>100</v>
      </c>
      <c r="V9" s="1340" t="s">
        <v>65</v>
      </c>
      <c r="W9" s="1341">
        <f t="shared" si="2"/>
        <v>100</v>
      </c>
      <c r="X9" s="287"/>
      <c r="Y9" s="3473"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97"/>
      <c r="M10" s="2298"/>
      <c r="N10" s="2298"/>
      <c r="O10" s="2298"/>
      <c r="P10" s="3668"/>
      <c r="Q10" s="7" t="str">
        <f t="shared" si="6"/>
        <v>土地使用年限（年）</v>
      </c>
      <c r="R10" s="1340" t="s">
        <v>65</v>
      </c>
      <c r="S10" s="1341">
        <f t="shared" si="0"/>
        <v>100</v>
      </c>
      <c r="T10" s="1340" t="s">
        <v>65</v>
      </c>
      <c r="U10" s="1341">
        <f t="shared" si="1"/>
        <v>100</v>
      </c>
      <c r="V10" s="1340" t="s">
        <v>65</v>
      </c>
      <c r="W10" s="1341">
        <f t="shared" si="2"/>
        <v>100</v>
      </c>
      <c r="X10" s="287"/>
      <c r="Y10" s="3473"/>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9"/>
      <c r="M11" s="2295"/>
      <c r="N11" s="2295"/>
      <c r="O11" s="2295"/>
      <c r="P11" s="3668"/>
      <c r="Q11" s="7" t="str">
        <f t="shared" si="6"/>
        <v>容积率</v>
      </c>
      <c r="R11" s="1340" t="s">
        <v>65</v>
      </c>
      <c r="S11" s="1341" t="e">
        <f t="shared" si="0"/>
        <v>#N/A</v>
      </c>
      <c r="T11" s="1340" t="s">
        <v>65</v>
      </c>
      <c r="U11" s="1341" t="e">
        <f t="shared" si="1"/>
        <v>#N/A</v>
      </c>
      <c r="V11" s="1340" t="s">
        <v>65</v>
      </c>
      <c r="W11" s="1341" t="e">
        <f t="shared" si="2"/>
        <v>#N/A</v>
      </c>
      <c r="X11" s="287"/>
      <c r="Y11" s="3473"/>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68"/>
      <c r="Q12" s="7">
        <f t="shared" si="6"/>
        <v>111</v>
      </c>
      <c r="R12" s="1340" t="s">
        <v>65</v>
      </c>
      <c r="S12" s="1341">
        <f t="shared" si="0"/>
        <v>100</v>
      </c>
      <c r="T12" s="1340" t="s">
        <v>65</v>
      </c>
      <c r="U12" s="1341">
        <f t="shared" si="1"/>
        <v>100</v>
      </c>
      <c r="V12" s="1340" t="s">
        <v>65</v>
      </c>
      <c r="W12" s="1341">
        <f t="shared" si="2"/>
        <v>100</v>
      </c>
      <c r="X12" s="287"/>
      <c r="Y12" s="3473"/>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68"/>
      <c r="Q13" s="7">
        <f t="shared" si="6"/>
        <v>111</v>
      </c>
      <c r="R13" s="1340" t="s">
        <v>65</v>
      </c>
      <c r="S13" s="1341">
        <f t="shared" si="0"/>
        <v>100</v>
      </c>
      <c r="T13" s="1340" t="s">
        <v>65</v>
      </c>
      <c r="U13" s="1341">
        <f t="shared" si="1"/>
        <v>100</v>
      </c>
      <c r="V13" s="1340" t="s">
        <v>65</v>
      </c>
      <c r="W13" s="1341">
        <f t="shared" si="2"/>
        <v>100</v>
      </c>
      <c r="X13" s="287"/>
      <c r="Y13" s="3473"/>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68"/>
      <c r="Q14" s="7">
        <f t="shared" si="6"/>
        <v>111</v>
      </c>
      <c r="R14" s="1340" t="s">
        <v>65</v>
      </c>
      <c r="S14" s="1341">
        <f t="shared" si="0"/>
        <v>100</v>
      </c>
      <c r="T14" s="1340" t="s">
        <v>65</v>
      </c>
      <c r="U14" s="1341">
        <f t="shared" si="1"/>
        <v>100</v>
      </c>
      <c r="V14" s="1340" t="s">
        <v>65</v>
      </c>
      <c r="W14" s="1341">
        <f t="shared" si="2"/>
        <v>100</v>
      </c>
      <c r="X14" s="287"/>
      <c r="Y14" s="3473"/>
      <c r="Z14" s="288">
        <f t="shared" si="7"/>
        <v>111</v>
      </c>
      <c r="AA14" s="1342">
        <f t="shared" si="3"/>
        <v>1</v>
      </c>
      <c r="AB14" s="1342">
        <f t="shared" si="4"/>
        <v>1</v>
      </c>
      <c r="AC14" s="1342">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5"/>
      <c r="L15" s="2300"/>
      <c r="M15" s="2295"/>
      <c r="N15" s="2295"/>
      <c r="O15" s="2295"/>
      <c r="P15" s="3666" t="s">
        <v>69</v>
      </c>
      <c r="Q15" s="1349" t="str">
        <f t="shared" si="6"/>
        <v>商业繁华度</v>
      </c>
      <c r="R15" s="1350" t="s">
        <v>65</v>
      </c>
      <c r="S15" s="1351">
        <f t="shared" si="0"/>
        <v>100</v>
      </c>
      <c r="T15" s="1350" t="s">
        <v>65</v>
      </c>
      <c r="U15" s="1351">
        <f t="shared" si="1"/>
        <v>100</v>
      </c>
      <c r="V15" s="1350" t="s">
        <v>65</v>
      </c>
      <c r="W15" s="1351">
        <f t="shared" si="2"/>
        <v>100</v>
      </c>
      <c r="X15" s="1338"/>
      <c r="Y15" s="3659"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295"/>
      <c r="P16" s="3667"/>
      <c r="Q16" s="1349"/>
      <c r="R16" s="1350"/>
      <c r="S16" s="1351"/>
      <c r="T16" s="1350"/>
      <c r="U16" s="1351"/>
      <c r="V16" s="1350"/>
      <c r="W16" s="1351"/>
      <c r="X16" s="1338"/>
      <c r="Y16" s="3660"/>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0"/>
      <c r="F17" s="795">
        <f>SUMIF(78:78,E18,79:79)-SUMIF(78:78,C18,79:79)+100</f>
        <v>100</v>
      </c>
      <c r="G17" s="101"/>
      <c r="H17" s="797">
        <f>SUMIF(78:78,G18,79:79)-SUMIF(78:78,C18,79:79)+100</f>
        <v>100</v>
      </c>
      <c r="I17" s="100"/>
      <c r="J17" s="797">
        <f>SUMIF(78:78,I18,79:79)-SUMIF(78:78,C18,79:79)+100</f>
        <v>100</v>
      </c>
      <c r="K17" s="955"/>
      <c r="L17" s="2300"/>
      <c r="M17" s="2295"/>
      <c r="N17" s="2295"/>
      <c r="O17" s="2295"/>
      <c r="P17" s="3667"/>
      <c r="Q17" s="1349" t="str">
        <f>B17</f>
        <v>交通便捷度</v>
      </c>
      <c r="R17" s="1350" t="s">
        <v>65</v>
      </c>
      <c r="S17" s="1351">
        <f>F17</f>
        <v>100</v>
      </c>
      <c r="T17" s="1350" t="s">
        <v>65</v>
      </c>
      <c r="U17" s="1351">
        <f>H17</f>
        <v>100</v>
      </c>
      <c r="V17" s="1350" t="s">
        <v>65</v>
      </c>
      <c r="W17" s="1351">
        <f>J17</f>
        <v>100</v>
      </c>
      <c r="X17" s="1338"/>
      <c r="Y17" s="3660"/>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295"/>
      <c r="P18" s="3667"/>
      <c r="Q18" s="1349"/>
      <c r="R18" s="1350"/>
      <c r="S18" s="1351"/>
      <c r="T18" s="1350"/>
      <c r="U18" s="1351"/>
      <c r="V18" s="1350"/>
      <c r="W18" s="1351"/>
      <c r="X18" s="1338"/>
      <c r="Y18" s="3660"/>
      <c r="Z18" s="1352"/>
      <c r="AA18" s="1353">
        <v>1</v>
      </c>
      <c r="AB18" s="1353">
        <v>1</v>
      </c>
      <c r="AC18" s="1353">
        <v>1</v>
      </c>
    </row>
    <row r="19" spans="1:29" ht="189">
      <c r="A19" s="151"/>
      <c r="B19" s="1354" t="s">
        <v>2649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5"/>
      <c r="F19" s="800">
        <f>SUMIF(80:80,E20,81:81)-SUMIF(80:80,C20,81:81)+100</f>
        <v>100</v>
      </c>
      <c r="G19" s="106"/>
      <c r="H19" s="792">
        <f>SUMIF(80:80,G20,81:81)-SUMIF(80:80,C20,81:81)+100</f>
        <v>100</v>
      </c>
      <c r="I19" s="105"/>
      <c r="J19" s="792">
        <f>SUMIF(80:80,I20,81:81)-SUMIF(80:80,C20,81:81)+100</f>
        <v>100</v>
      </c>
      <c r="K19" s="955"/>
      <c r="L19" s="2300"/>
      <c r="M19" s="2295"/>
      <c r="N19" s="2295"/>
      <c r="O19" s="2295"/>
      <c r="P19" s="3667"/>
      <c r="Q19" s="1349" t="str">
        <f>B19</f>
        <v>公共配套设施</v>
      </c>
      <c r="R19" s="1350" t="s">
        <v>65</v>
      </c>
      <c r="S19" s="1351">
        <f>F19</f>
        <v>100</v>
      </c>
      <c r="T19" s="1350" t="s">
        <v>65</v>
      </c>
      <c r="U19" s="1351">
        <f>H19</f>
        <v>100</v>
      </c>
      <c r="V19" s="1350" t="s">
        <v>65</v>
      </c>
      <c r="W19" s="1351">
        <f>J19</f>
        <v>100</v>
      </c>
      <c r="X19" s="1338"/>
      <c r="Y19" s="3660"/>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295"/>
      <c r="P20" s="3667"/>
      <c r="Q20" s="1349"/>
      <c r="R20" s="1350"/>
      <c r="S20" s="1351"/>
      <c r="T20" s="1350"/>
      <c r="U20" s="1351"/>
      <c r="V20" s="1350"/>
      <c r="W20" s="1351"/>
      <c r="X20" s="1338"/>
      <c r="Y20" s="3660"/>
      <c r="Z20" s="1352"/>
      <c r="AA20" s="1353">
        <v>1</v>
      </c>
      <c r="AB20" s="1353">
        <v>1</v>
      </c>
      <c r="AC20" s="1353">
        <v>1</v>
      </c>
    </row>
    <row r="21" spans="1:29" ht="40.5">
      <c r="A21" s="151"/>
      <c r="B21" s="1410" t="s">
        <v>2650</v>
      </c>
      <c r="C21" s="158" t="str">
        <f>估价对象房地状况!C8</f>
        <v>估价对象所在区域基础设施水平达到七通</v>
      </c>
      <c r="D21" s="797">
        <v>100</v>
      </c>
      <c r="E21" s="105"/>
      <c r="F21" s="800">
        <f>SUMIF(82:82,E22,83:83)-SUMIF(82:82,C22,83:83)+100</f>
        <v>100</v>
      </c>
      <c r="G21" s="106"/>
      <c r="H21" s="792">
        <f>SUMIF(82:82,G22,83:83)-SUMIF(82:82,C22,83:83)+100</f>
        <v>100</v>
      </c>
      <c r="I21" s="105"/>
      <c r="J21" s="792">
        <f>SUMIF(82:82,I22,83:83)-SUMIF(82:82,C22,83:83)+100</f>
        <v>100</v>
      </c>
      <c r="K21" s="955"/>
      <c r="L21" s="2300"/>
      <c r="M21" s="2295"/>
      <c r="N21" s="2295"/>
      <c r="O21" s="2295"/>
      <c r="P21" s="3667"/>
      <c r="Q21" s="2745" t="str">
        <f>B21</f>
        <v>基础设施水平</v>
      </c>
      <c r="R21" s="1350" t="s">
        <v>65</v>
      </c>
      <c r="S21" s="1351">
        <f>F21</f>
        <v>100</v>
      </c>
      <c r="T21" s="1350" t="s">
        <v>65</v>
      </c>
      <c r="U21" s="1351">
        <f>H21</f>
        <v>100</v>
      </c>
      <c r="V21" s="1350" t="s">
        <v>65</v>
      </c>
      <c r="W21" s="1351">
        <f>J21</f>
        <v>100</v>
      </c>
      <c r="X21" s="2747"/>
      <c r="Y21" s="3660"/>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295"/>
      <c r="P22" s="3667"/>
      <c r="Q22" s="2745"/>
      <c r="R22" s="1350"/>
      <c r="S22" s="1351"/>
      <c r="T22" s="1350"/>
      <c r="U22" s="1351"/>
      <c r="V22" s="1350"/>
      <c r="W22" s="1351"/>
      <c r="X22" s="2747"/>
      <c r="Y22" s="3660"/>
      <c r="Z22" s="2746"/>
      <c r="AA22" s="1353">
        <v>1</v>
      </c>
      <c r="AB22" s="1353">
        <v>1</v>
      </c>
      <c r="AC22" s="1353">
        <v>1</v>
      </c>
    </row>
    <row r="23" spans="1:29" ht="162">
      <c r="A23" s="151"/>
      <c r="B23" s="1354" t="s">
        <v>73</v>
      </c>
      <c r="C23" s="19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0"/>
      <c r="F23" s="795">
        <f>SUMIF(84:84,E24,85:85)-SUMIF(84:84,C24,85:85)+100</f>
        <v>100</v>
      </c>
      <c r="G23" s="101"/>
      <c r="H23" s="792">
        <f>SUMIF(84:84,G24,85:85)-SUMIF(84:84,C24,85:85)+100</f>
        <v>100</v>
      </c>
      <c r="I23" s="100"/>
      <c r="J23" s="792">
        <f>SUMIF(84:84,I24,85:85)-SUMIF(84:84,C24,85:85)+100</f>
        <v>100</v>
      </c>
      <c r="K23" s="955"/>
      <c r="L23" s="2300"/>
      <c r="M23" s="2295"/>
      <c r="N23" s="2295"/>
      <c r="O23" s="2295"/>
      <c r="P23" s="3667"/>
      <c r="Q23" s="1349" t="str">
        <f>B23</f>
        <v>自然及人文环境</v>
      </c>
      <c r="R23" s="1350" t="s">
        <v>65</v>
      </c>
      <c r="S23" s="1351">
        <f>F23</f>
        <v>100</v>
      </c>
      <c r="T23" s="1350" t="s">
        <v>65</v>
      </c>
      <c r="U23" s="1351">
        <f>H23</f>
        <v>100</v>
      </c>
      <c r="V23" s="1350" t="s">
        <v>65</v>
      </c>
      <c r="W23" s="1351">
        <f>J23</f>
        <v>100</v>
      </c>
      <c r="X23" s="1338"/>
      <c r="Y23" s="3660"/>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300"/>
      <c r="M24" s="2295"/>
      <c r="N24" s="2295"/>
      <c r="O24" s="2295"/>
      <c r="P24" s="3667"/>
      <c r="Q24" s="1349"/>
      <c r="R24" s="1350"/>
      <c r="S24" s="1351"/>
      <c r="T24" s="1350"/>
      <c r="U24" s="1351"/>
      <c r="V24" s="1350"/>
      <c r="W24" s="1351"/>
      <c r="X24" s="1338"/>
      <c r="Y24" s="3660"/>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300"/>
      <c r="M25" s="2295"/>
      <c r="N25" s="2295"/>
      <c r="O25" s="2295"/>
      <c r="P25" s="3667"/>
      <c r="Q25" s="1349" t="str">
        <f t="shared" ref="Q25:Q46" si="11">B25</f>
        <v>临街状况</v>
      </c>
      <c r="R25" s="1350" t="s">
        <v>65</v>
      </c>
      <c r="S25" s="1351">
        <f>F25</f>
        <v>100</v>
      </c>
      <c r="T25" s="1350" t="s">
        <v>65</v>
      </c>
      <c r="U25" s="1351">
        <f>H25</f>
        <v>100</v>
      </c>
      <c r="V25" s="1350" t="s">
        <v>65</v>
      </c>
      <c r="W25" s="1351">
        <f>J25</f>
        <v>100</v>
      </c>
      <c r="X25" s="1338"/>
      <c r="Y25" s="3660"/>
      <c r="Z25" s="1352" t="str">
        <f>Q25</f>
        <v>临街状况</v>
      </c>
      <c r="AA25" s="1353">
        <f t="shared" si="3"/>
        <v>1</v>
      </c>
      <c r="AB25" s="1353">
        <f t="shared" si="4"/>
        <v>1</v>
      </c>
      <c r="AC25" s="1353">
        <f t="shared" si="5"/>
        <v>1</v>
      </c>
    </row>
    <row r="26" spans="1:29" ht="14.25">
      <c r="A26" s="151"/>
      <c r="B26" s="1355" t="s">
        <v>1021</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67"/>
      <c r="Q26" s="1349" t="str">
        <f t="shared" si="11"/>
        <v>平面位置/可视性</v>
      </c>
      <c r="R26" s="1350" t="s">
        <v>65</v>
      </c>
      <c r="S26" s="1351">
        <f>F26</f>
        <v>100</v>
      </c>
      <c r="T26" s="1350" t="s">
        <v>65</v>
      </c>
      <c r="U26" s="1351">
        <f>H26</f>
        <v>100</v>
      </c>
      <c r="V26" s="1350" t="s">
        <v>65</v>
      </c>
      <c r="W26" s="1351">
        <f>J26</f>
        <v>100</v>
      </c>
      <c r="X26" s="1338"/>
      <c r="Y26" s="3660"/>
      <c r="Z26" s="1352" t="str">
        <f>Q26</f>
        <v>平面位置/可视性</v>
      </c>
      <c r="AA26" s="1353">
        <f t="shared" si="3"/>
        <v>1</v>
      </c>
      <c r="AB26" s="1353">
        <f t="shared" si="4"/>
        <v>1</v>
      </c>
      <c r="AC26" s="1353">
        <f t="shared" si="5"/>
        <v>1</v>
      </c>
    </row>
    <row r="27" spans="1:29" s="40" customFormat="1" ht="15">
      <c r="A27" s="1028"/>
      <c r="B27" s="1354" t="s">
        <v>1022</v>
      </c>
      <c r="C27" s="1385"/>
      <c r="D27" s="804">
        <v>100</v>
      </c>
      <c r="E27" s="1385"/>
      <c r="F27" s="805">
        <f>SUMIF(90:90,E27,91:91)-SUMIF(90:90,C27,91:91)+100</f>
        <v>100</v>
      </c>
      <c r="G27" s="1385"/>
      <c r="H27" s="804">
        <f>SUMIF(90:90,G27,91:91)-SUMIF(90:90,C27,91:91)+100</f>
        <v>100</v>
      </c>
      <c r="I27" s="1385"/>
      <c r="J27" s="804">
        <f>SUMIF(90:90,I27,91:91)-SUMIF(90:90,C27,91:91)+100</f>
        <v>100</v>
      </c>
      <c r="K27" s="953"/>
      <c r="L27" s="2296"/>
      <c r="M27" s="2258"/>
      <c r="N27" s="2258"/>
      <c r="O27" s="2258"/>
      <c r="P27" s="3667"/>
      <c r="Q27" s="7" t="str">
        <f t="shared" si="11"/>
        <v>人流量</v>
      </c>
      <c r="R27" s="1340" t="s">
        <v>65</v>
      </c>
      <c r="S27" s="1341">
        <f>F27</f>
        <v>100</v>
      </c>
      <c r="T27" s="1340" t="s">
        <v>65</v>
      </c>
      <c r="U27" s="1341">
        <f>H27</f>
        <v>100</v>
      </c>
      <c r="V27" s="1340" t="s">
        <v>65</v>
      </c>
      <c r="W27" s="1341">
        <f>J27</f>
        <v>100</v>
      </c>
      <c r="X27" s="287"/>
      <c r="Y27" s="3660"/>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67"/>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60"/>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67"/>
      <c r="Q29" s="1349">
        <f t="shared" si="11"/>
        <v>111</v>
      </c>
      <c r="R29" s="1350" t="s">
        <v>65</v>
      </c>
      <c r="S29" s="1351">
        <f t="shared" si="12"/>
        <v>100</v>
      </c>
      <c r="T29" s="1350" t="s">
        <v>65</v>
      </c>
      <c r="U29" s="1351">
        <f t="shared" si="13"/>
        <v>100</v>
      </c>
      <c r="V29" s="1350" t="s">
        <v>65</v>
      </c>
      <c r="W29" s="1351">
        <f t="shared" si="14"/>
        <v>100</v>
      </c>
      <c r="X29" s="1338"/>
      <c r="Y29" s="3660"/>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67"/>
      <c r="Q30" s="1349">
        <f t="shared" si="11"/>
        <v>111</v>
      </c>
      <c r="R30" s="1350" t="s">
        <v>65</v>
      </c>
      <c r="S30" s="1351">
        <f t="shared" si="12"/>
        <v>100</v>
      </c>
      <c r="T30" s="1350" t="s">
        <v>65</v>
      </c>
      <c r="U30" s="1351">
        <f t="shared" si="13"/>
        <v>100</v>
      </c>
      <c r="V30" s="1350" t="s">
        <v>65</v>
      </c>
      <c r="W30" s="1351">
        <f t="shared" si="14"/>
        <v>100</v>
      </c>
      <c r="X30" s="1338"/>
      <c r="Y30" s="3660"/>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67"/>
      <c r="Q31" s="1349">
        <f t="shared" si="11"/>
        <v>111</v>
      </c>
      <c r="R31" s="1350" t="s">
        <v>65</v>
      </c>
      <c r="S31" s="1351">
        <f t="shared" si="12"/>
        <v>100</v>
      </c>
      <c r="T31" s="1350" t="s">
        <v>65</v>
      </c>
      <c r="U31" s="1351">
        <f t="shared" si="13"/>
        <v>100</v>
      </c>
      <c r="V31" s="1350" t="s">
        <v>65</v>
      </c>
      <c r="W31" s="1351">
        <f t="shared" si="14"/>
        <v>100</v>
      </c>
      <c r="X31" s="1338"/>
      <c r="Y31" s="3660"/>
      <c r="Z31" s="1352">
        <f t="shared" si="15"/>
        <v>111</v>
      </c>
      <c r="AA31" s="1353">
        <f t="shared" si="3"/>
        <v>1</v>
      </c>
      <c r="AB31" s="1353">
        <f t="shared" si="4"/>
        <v>1</v>
      </c>
      <c r="AC31" s="1353">
        <f t="shared" si="5"/>
        <v>1</v>
      </c>
    </row>
    <row r="32" spans="1:29" ht="15">
      <c r="A32" s="155" t="s">
        <v>1023</v>
      </c>
      <c r="B32" s="62" t="s">
        <v>1024</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300"/>
      <c r="M32" s="2295"/>
      <c r="N32" s="2295"/>
      <c r="O32" s="2295"/>
      <c r="P32" s="3661" t="s">
        <v>1025</v>
      </c>
      <c r="Q32" s="1349" t="str">
        <f t="shared" si="11"/>
        <v>商业类型</v>
      </c>
      <c r="R32" s="1350" t="s">
        <v>65</v>
      </c>
      <c r="S32" s="1351">
        <f t="shared" si="12"/>
        <v>100</v>
      </c>
      <c r="T32" s="1350" t="s">
        <v>65</v>
      </c>
      <c r="U32" s="1351">
        <f t="shared" si="13"/>
        <v>100</v>
      </c>
      <c r="V32" s="1350" t="s">
        <v>65</v>
      </c>
      <c r="W32" s="1351">
        <f t="shared" si="14"/>
        <v>100</v>
      </c>
      <c r="X32" s="1338"/>
      <c r="Y32" s="3664" t="s">
        <v>1025</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62"/>
      <c r="Q33" s="1357" t="str">
        <f t="shared" si="11"/>
        <v>项目建筑规模</v>
      </c>
      <c r="R33" s="1358" t="s">
        <v>65</v>
      </c>
      <c r="S33" s="1359" t="e">
        <f t="shared" si="12"/>
        <v>#N/A</v>
      </c>
      <c r="T33" s="1358" t="s">
        <v>65</v>
      </c>
      <c r="U33" s="1359" t="e">
        <f t="shared" si="13"/>
        <v>#N/A</v>
      </c>
      <c r="V33" s="1358" t="s">
        <v>65</v>
      </c>
      <c r="W33" s="1359" t="e">
        <f t="shared" si="14"/>
        <v>#N/A</v>
      </c>
      <c r="X33" s="1360"/>
      <c r="Y33" s="3664"/>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300"/>
      <c r="M34" s="2295"/>
      <c r="N34" s="2295"/>
      <c r="O34" s="2295"/>
      <c r="P34" s="3662"/>
      <c r="Q34" s="1349" t="str">
        <f t="shared" si="11"/>
        <v>建筑结构</v>
      </c>
      <c r="R34" s="1350" t="s">
        <v>65</v>
      </c>
      <c r="S34" s="1351">
        <f t="shared" si="12"/>
        <v>100</v>
      </c>
      <c r="T34" s="1350" t="s">
        <v>65</v>
      </c>
      <c r="U34" s="1351">
        <f t="shared" si="13"/>
        <v>100</v>
      </c>
      <c r="V34" s="1350" t="s">
        <v>65</v>
      </c>
      <c r="W34" s="1351">
        <f t="shared" si="14"/>
        <v>100</v>
      </c>
      <c r="X34" s="1338"/>
      <c r="Y34" s="3664"/>
      <c r="Z34" s="1352" t="str">
        <f t="shared" si="15"/>
        <v>建筑结构</v>
      </c>
      <c r="AA34" s="1353">
        <f t="shared" si="3"/>
        <v>1</v>
      </c>
      <c r="AB34" s="1353">
        <f t="shared" si="4"/>
        <v>1</v>
      </c>
      <c r="AC34" s="1353">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300"/>
      <c r="M35" s="2295"/>
      <c r="N35" s="2295"/>
      <c r="O35" s="2295"/>
      <c r="P35" s="3662"/>
      <c r="Q35" s="1349" t="str">
        <f t="shared" si="11"/>
        <v>公共部分装修</v>
      </c>
      <c r="R35" s="1350" t="s">
        <v>65</v>
      </c>
      <c r="S35" s="1351">
        <f t="shared" si="12"/>
        <v>100</v>
      </c>
      <c r="T35" s="1350" t="s">
        <v>65</v>
      </c>
      <c r="U35" s="1351">
        <f t="shared" si="13"/>
        <v>100</v>
      </c>
      <c r="V35" s="1350" t="s">
        <v>65</v>
      </c>
      <c r="W35" s="1351">
        <f t="shared" si="14"/>
        <v>100</v>
      </c>
      <c r="X35" s="1338"/>
      <c r="Y35" s="3664"/>
      <c r="Z35" s="1352" t="str">
        <f t="shared" si="15"/>
        <v>公共部分装修</v>
      </c>
      <c r="AA35" s="1353">
        <f t="shared" si="3"/>
        <v>1</v>
      </c>
      <c r="AB35" s="1353">
        <f t="shared" si="4"/>
        <v>1</v>
      </c>
      <c r="AC35" s="1353">
        <f t="shared" si="5"/>
        <v>1</v>
      </c>
    </row>
    <row r="36" spans="1:29" ht="15">
      <c r="A36" s="161"/>
      <c r="B36" s="12" t="s">
        <v>1027</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300"/>
      <c r="M36" s="2295"/>
      <c r="N36" s="2295"/>
      <c r="O36" s="2295"/>
      <c r="P36" s="3662"/>
      <c r="Q36" s="1349" t="str">
        <f t="shared" si="11"/>
        <v>成新度</v>
      </c>
      <c r="R36" s="1350" t="s">
        <v>65</v>
      </c>
      <c r="S36" s="1351" t="e">
        <f t="shared" si="12"/>
        <v>#N/A</v>
      </c>
      <c r="T36" s="1350" t="s">
        <v>65</v>
      </c>
      <c r="U36" s="1351" t="e">
        <f t="shared" si="13"/>
        <v>#N/A</v>
      </c>
      <c r="V36" s="1350" t="s">
        <v>65</v>
      </c>
      <c r="W36" s="1351" t="e">
        <f t="shared" si="14"/>
        <v>#N/A</v>
      </c>
      <c r="X36" s="1338"/>
      <c r="Y36" s="3664"/>
      <c r="Z36" s="1352" t="str">
        <f t="shared" si="15"/>
        <v>成新度</v>
      </c>
      <c r="AA36" s="1353" t="e">
        <f t="shared" si="3"/>
        <v>#N/A</v>
      </c>
      <c r="AB36" s="1353" t="e">
        <f t="shared" si="4"/>
        <v>#N/A</v>
      </c>
      <c r="AC36" s="1353" t="e">
        <f t="shared" si="5"/>
        <v>#N/A</v>
      </c>
    </row>
    <row r="37" spans="1:29" s="40" customFormat="1" ht="15">
      <c r="A37" s="1039"/>
      <c r="B37" s="12" t="s">
        <v>2651</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96"/>
      <c r="M37" s="2258"/>
      <c r="N37" s="2258"/>
      <c r="O37" s="2258"/>
      <c r="P37" s="3662"/>
      <c r="Q37" s="7" t="str">
        <f t="shared" si="11"/>
        <v>市政基础设施</v>
      </c>
      <c r="R37" s="1340" t="s">
        <v>65</v>
      </c>
      <c r="S37" s="1341">
        <f t="shared" si="12"/>
        <v>100</v>
      </c>
      <c r="T37" s="1340" t="s">
        <v>65</v>
      </c>
      <c r="U37" s="1341">
        <f t="shared" si="13"/>
        <v>100</v>
      </c>
      <c r="V37" s="1340" t="s">
        <v>65</v>
      </c>
      <c r="W37" s="1341">
        <f t="shared" si="14"/>
        <v>100</v>
      </c>
      <c r="X37" s="287"/>
      <c r="Y37" s="3664"/>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300"/>
      <c r="M38" s="2295"/>
      <c r="N38" s="2295"/>
      <c r="O38" s="2295"/>
      <c r="P38" s="3662" t="s">
        <v>1028</v>
      </c>
      <c r="Q38" s="1349" t="str">
        <f t="shared" si="11"/>
        <v>业态</v>
      </c>
      <c r="R38" s="1350" t="s">
        <v>65</v>
      </c>
      <c r="S38" s="1351">
        <f t="shared" si="12"/>
        <v>100</v>
      </c>
      <c r="T38" s="1350" t="s">
        <v>65</v>
      </c>
      <c r="U38" s="1351">
        <f t="shared" si="13"/>
        <v>100</v>
      </c>
      <c r="V38" s="1350" t="s">
        <v>65</v>
      </c>
      <c r="W38" s="1351">
        <f t="shared" si="14"/>
        <v>100</v>
      </c>
      <c r="X38" s="1338"/>
      <c r="Y38" s="3664" t="s">
        <v>1028</v>
      </c>
      <c r="Z38" s="1352" t="str">
        <f t="shared" si="15"/>
        <v>业态</v>
      </c>
      <c r="AA38" s="1353">
        <f t="shared" si="3"/>
        <v>1</v>
      </c>
      <c r="AB38" s="1353">
        <f t="shared" si="4"/>
        <v>1</v>
      </c>
      <c r="AC38" s="1353">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300"/>
      <c r="M39" s="2295"/>
      <c r="N39" s="2295"/>
      <c r="O39" s="2295"/>
      <c r="P39" s="3662"/>
      <c r="Q39" s="1349" t="str">
        <f t="shared" si="11"/>
        <v>层高</v>
      </c>
      <c r="R39" s="1350" t="s">
        <v>65</v>
      </c>
      <c r="S39" s="1351">
        <f t="shared" si="12"/>
        <v>100</v>
      </c>
      <c r="T39" s="1350" t="s">
        <v>65</v>
      </c>
      <c r="U39" s="1351">
        <f t="shared" si="13"/>
        <v>100</v>
      </c>
      <c r="V39" s="1350" t="s">
        <v>65</v>
      </c>
      <c r="W39" s="1351">
        <f t="shared" si="14"/>
        <v>100</v>
      </c>
      <c r="X39" s="1338"/>
      <c r="Y39" s="3664"/>
      <c r="Z39" s="1352" t="str">
        <f t="shared" si="15"/>
        <v>层高</v>
      </c>
      <c r="AA39" s="1353">
        <f t="shared" si="3"/>
        <v>1</v>
      </c>
      <c r="AB39" s="1353">
        <f t="shared" si="4"/>
        <v>1</v>
      </c>
      <c r="AC39" s="1353">
        <f t="shared" si="5"/>
        <v>1</v>
      </c>
    </row>
    <row r="40" spans="1:29" ht="14.25">
      <c r="A40" s="161"/>
      <c r="B40" s="12" t="s">
        <v>1030</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300"/>
      <c r="M40" s="2295"/>
      <c r="N40" s="2295"/>
      <c r="O40" s="2295"/>
      <c r="P40" s="3662"/>
      <c r="Q40" s="1349" t="str">
        <f t="shared" si="11"/>
        <v>单套建筑面积</v>
      </c>
      <c r="R40" s="1350" t="s">
        <v>65</v>
      </c>
      <c r="S40" s="1351">
        <f t="shared" si="12"/>
        <v>100</v>
      </c>
      <c r="T40" s="1350" t="s">
        <v>65</v>
      </c>
      <c r="U40" s="1351">
        <f t="shared" si="13"/>
        <v>100</v>
      </c>
      <c r="V40" s="1350" t="s">
        <v>65</v>
      </c>
      <c r="W40" s="1351">
        <f t="shared" si="14"/>
        <v>100</v>
      </c>
      <c r="X40" s="1338"/>
      <c r="Y40" s="3664"/>
      <c r="Z40" s="1352" t="str">
        <f t="shared" si="15"/>
        <v>单套建筑面积</v>
      </c>
      <c r="AA40" s="1353">
        <f t="shared" si="3"/>
        <v>1</v>
      </c>
      <c r="AB40" s="1353">
        <f t="shared" si="4"/>
        <v>1</v>
      </c>
      <c r="AC40" s="1353">
        <f t="shared" si="5"/>
        <v>1</v>
      </c>
    </row>
    <row r="41" spans="1:29" s="1037" customFormat="1" ht="15">
      <c r="A41" s="1041"/>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9"/>
      <c r="M41" s="2301"/>
      <c r="N41" s="2301"/>
      <c r="O41" s="2301"/>
      <c r="P41" s="3662"/>
      <c r="Q41" s="1357" t="str">
        <f t="shared" si="11"/>
        <v>进深比</v>
      </c>
      <c r="R41" s="1358" t="s">
        <v>65</v>
      </c>
      <c r="S41" s="1359">
        <f t="shared" si="12"/>
        <v>100</v>
      </c>
      <c r="T41" s="1358" t="s">
        <v>65</v>
      </c>
      <c r="U41" s="1359">
        <f t="shared" si="13"/>
        <v>100</v>
      </c>
      <c r="V41" s="1358" t="s">
        <v>65</v>
      </c>
      <c r="W41" s="1359">
        <f t="shared" si="14"/>
        <v>100</v>
      </c>
      <c r="X41" s="1360"/>
      <c r="Y41" s="3664"/>
      <c r="Z41" s="1361" t="str">
        <f t="shared" si="15"/>
        <v>进深比</v>
      </c>
      <c r="AA41" s="1353">
        <f t="shared" si="3"/>
        <v>1</v>
      </c>
      <c r="AB41" s="1353">
        <f t="shared" si="4"/>
        <v>1</v>
      </c>
      <c r="AC41" s="1353">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300"/>
      <c r="M42" s="2295"/>
      <c r="N42" s="2295"/>
      <c r="O42" s="2295"/>
      <c r="P42" s="3662"/>
      <c r="Q42" s="1349" t="str">
        <f t="shared" si="11"/>
        <v>内部装修</v>
      </c>
      <c r="R42" s="1350" t="s">
        <v>65</v>
      </c>
      <c r="S42" s="1351">
        <f t="shared" si="12"/>
        <v>100</v>
      </c>
      <c r="T42" s="1350" t="s">
        <v>65</v>
      </c>
      <c r="U42" s="1351">
        <f t="shared" si="13"/>
        <v>100</v>
      </c>
      <c r="V42" s="1350" t="s">
        <v>65</v>
      </c>
      <c r="W42" s="1351">
        <f t="shared" si="14"/>
        <v>100</v>
      </c>
      <c r="X42" s="1338"/>
      <c r="Y42" s="3664"/>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300"/>
      <c r="M43" s="2295"/>
      <c r="N43" s="2295"/>
      <c r="O43" s="2295"/>
      <c r="P43" s="3662"/>
      <c r="Q43" s="1349" t="str">
        <f t="shared" si="11"/>
        <v>内部装修维护情况</v>
      </c>
      <c r="R43" s="1350" t="s">
        <v>65</v>
      </c>
      <c r="S43" s="1351">
        <f t="shared" si="12"/>
        <v>100</v>
      </c>
      <c r="T43" s="1350" t="s">
        <v>65</v>
      </c>
      <c r="U43" s="1351">
        <f t="shared" si="13"/>
        <v>100</v>
      </c>
      <c r="V43" s="1350" t="s">
        <v>65</v>
      </c>
      <c r="W43" s="1351">
        <f t="shared" si="14"/>
        <v>100</v>
      </c>
      <c r="X43" s="1338"/>
      <c r="Y43" s="3664"/>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62"/>
      <c r="Q44" s="7">
        <f t="shared" si="11"/>
        <v>111</v>
      </c>
      <c r="R44" s="1340" t="s">
        <v>65</v>
      </c>
      <c r="S44" s="1341">
        <f t="shared" si="12"/>
        <v>100</v>
      </c>
      <c r="T44" s="1340" t="s">
        <v>65</v>
      </c>
      <c r="U44" s="1341">
        <f t="shared" si="13"/>
        <v>100</v>
      </c>
      <c r="V44" s="1340" t="s">
        <v>65</v>
      </c>
      <c r="W44" s="1341">
        <f t="shared" si="14"/>
        <v>100</v>
      </c>
      <c r="X44" s="287"/>
      <c r="Y44" s="3664"/>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62"/>
      <c r="Q45" s="1349">
        <f t="shared" si="11"/>
        <v>111</v>
      </c>
      <c r="R45" s="1350" t="s">
        <v>65</v>
      </c>
      <c r="S45" s="1351">
        <f t="shared" si="12"/>
        <v>100</v>
      </c>
      <c r="T45" s="1350" t="s">
        <v>65</v>
      </c>
      <c r="U45" s="1351">
        <f t="shared" si="13"/>
        <v>100</v>
      </c>
      <c r="V45" s="1350" t="s">
        <v>65</v>
      </c>
      <c r="W45" s="1351">
        <f t="shared" si="14"/>
        <v>100</v>
      </c>
      <c r="X45" s="1338"/>
      <c r="Y45" s="3664"/>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63"/>
      <c r="Q46" s="1349">
        <f t="shared" si="11"/>
        <v>111</v>
      </c>
      <c r="R46" s="1350" t="s">
        <v>65</v>
      </c>
      <c r="S46" s="1351">
        <f t="shared" si="12"/>
        <v>100</v>
      </c>
      <c r="T46" s="1350" t="s">
        <v>65</v>
      </c>
      <c r="U46" s="1351">
        <f t="shared" si="13"/>
        <v>100</v>
      </c>
      <c r="V46" s="1350" t="s">
        <v>65</v>
      </c>
      <c r="W46" s="1351">
        <f t="shared" si="14"/>
        <v>100</v>
      </c>
      <c r="X46" s="1338"/>
      <c r="Y46" s="3665"/>
      <c r="Z46" s="1352">
        <f t="shared" si="15"/>
        <v>111</v>
      </c>
      <c r="AA46" s="1353">
        <f t="shared" si="3"/>
        <v>1</v>
      </c>
      <c r="AB46" s="1353">
        <f t="shared" si="4"/>
        <v>1</v>
      </c>
      <c r="AC46" s="1353">
        <f t="shared" si="5"/>
        <v>1</v>
      </c>
    </row>
    <row r="47" spans="1:29" ht="15">
      <c r="A47" s="163" t="s">
        <v>1033</v>
      </c>
      <c r="B47" s="164"/>
      <c r="C47" s="2832" t="s">
        <v>23</v>
      </c>
      <c r="D47" s="2833"/>
      <c r="E47" s="2834"/>
      <c r="F47" s="2835"/>
      <c r="G47" s="2836"/>
      <c r="H47" s="2837"/>
      <c r="I47" s="2834"/>
      <c r="J47" s="2837"/>
      <c r="K47" s="1391"/>
      <c r="L47" s="2302"/>
      <c r="M47" s="2303"/>
      <c r="N47" s="2295"/>
      <c r="O47" s="2303"/>
      <c r="P47" s="3657" t="str">
        <f>A47</f>
        <v>成交单价（元/平方米）</v>
      </c>
      <c r="Q47" s="3657"/>
      <c r="R47" s="3688">
        <f>E47</f>
        <v>0</v>
      </c>
      <c r="S47" s="3688"/>
      <c r="T47" s="3688">
        <f>G47</f>
        <v>0</v>
      </c>
      <c r="U47" s="3688"/>
      <c r="V47" s="3688">
        <f>I47</f>
        <v>0</v>
      </c>
      <c r="W47" s="3688"/>
      <c r="X47" s="1363"/>
      <c r="Y47" s="1364"/>
      <c r="Z47" s="1363"/>
      <c r="AA47" s="1363"/>
      <c r="AB47" s="1363"/>
      <c r="AC47" s="1363"/>
    </row>
    <row r="48" spans="1:29" ht="15.75" thickBot="1">
      <c r="A48" s="165" t="s">
        <v>1034</v>
      </c>
      <c r="B48" s="166"/>
      <c r="C48" s="2838" t="e">
        <f>R49</f>
        <v>#DIV/0!</v>
      </c>
      <c r="D48" s="2839"/>
      <c r="E48" s="2840" t="e">
        <f>R48</f>
        <v>#DIV/0!</v>
      </c>
      <c r="F48" s="2840"/>
      <c r="G48" s="2838" t="e">
        <f>T48</f>
        <v>#DIV/0!</v>
      </c>
      <c r="H48" s="2839"/>
      <c r="I48" s="2840" t="e">
        <f>V48</f>
        <v>#DIV/0!</v>
      </c>
      <c r="J48" s="2839"/>
      <c r="K48" s="1392"/>
      <c r="L48" s="2302"/>
      <c r="M48" s="2303"/>
      <c r="N48" s="2295"/>
      <c r="O48" s="230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363"/>
      <c r="Y48" s="1363"/>
      <c r="Z48" s="1363"/>
      <c r="AA48" s="1363"/>
      <c r="AB48" s="1363"/>
      <c r="AC48" s="1363"/>
    </row>
    <row r="49" spans="1:29" ht="15.75" thickBot="1">
      <c r="A49" s="115" t="s">
        <v>3013</v>
      </c>
      <c r="B49" s="116"/>
      <c r="C49" s="2842" t="e">
        <f>R49</f>
        <v>#DIV/0!</v>
      </c>
      <c r="D49" s="2842"/>
      <c r="E49" s="2842"/>
      <c r="F49" s="2842"/>
      <c r="G49" s="2842"/>
      <c r="H49" s="2842"/>
      <c r="I49" s="2842"/>
      <c r="J49" s="2842"/>
      <c r="K49" s="1393"/>
      <c r="L49" s="2302"/>
      <c r="M49" s="2303"/>
      <c r="N49" s="2295"/>
      <c r="O49" s="2303"/>
      <c r="P49" s="3654" t="str">
        <f>A49</f>
        <v>估价对象XX用房的比较价值（楼面单价，元/平方米）</v>
      </c>
      <c r="Q49" s="3655"/>
      <c r="R49" s="3656" t="e">
        <f>IF(F1="售价",ROUND(AVERAGE(R48:V48),0),ROUND(AVERAGE(R48:V48),1))</f>
        <v>#DIV/0!</v>
      </c>
      <c r="S49" s="3656"/>
      <c r="T49" s="3656"/>
      <c r="U49" s="3656"/>
      <c r="V49" s="3656"/>
      <c r="W49" s="365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2789</v>
      </c>
      <c r="B58" s="847"/>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1036</v>
      </c>
      <c r="B60" s="1046"/>
      <c r="C60" s="858"/>
      <c r="D60" s="859"/>
      <c r="E60" s="859"/>
      <c r="F60" s="859"/>
      <c r="G60" s="859"/>
      <c r="H60" s="859"/>
      <c r="I60" s="859"/>
      <c r="J60" s="859"/>
      <c r="K60" s="859"/>
      <c r="L60" s="859"/>
      <c r="M60" s="860"/>
      <c r="N60" s="859"/>
      <c r="O60" s="860"/>
      <c r="P60" s="1375"/>
      <c r="Q60" s="121"/>
    </row>
    <row r="61" spans="1:29" s="40" customFormat="1">
      <c r="A61" s="1047" t="s">
        <v>1037</v>
      </c>
      <c r="B61" s="1044"/>
      <c r="C61" s="1048" t="s">
        <v>1038</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1039</v>
      </c>
      <c r="B63" s="286" t="s">
        <v>1040</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1041</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1042</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1043</v>
      </c>
      <c r="B76" s="286" t="s">
        <v>1044</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1050</v>
      </c>
      <c r="C78" s="919" t="s">
        <v>424</v>
      </c>
      <c r="D78" s="919" t="s">
        <v>425</v>
      </c>
      <c r="E78" s="919" t="s">
        <v>426</v>
      </c>
      <c r="F78" s="919" t="s">
        <v>427</v>
      </c>
      <c r="G78" s="919" t="s">
        <v>428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424</v>
      </c>
      <c r="D80" s="919" t="s">
        <v>425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2652</v>
      </c>
      <c r="C82" s="213" t="s">
        <v>2653</v>
      </c>
      <c r="D82" s="213" t="s">
        <v>2654</v>
      </c>
      <c r="E82" s="213" t="s">
        <v>2655</v>
      </c>
      <c r="F82" s="213" t="s">
        <v>2656</v>
      </c>
      <c r="G82" s="213" t="s">
        <v>2657</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1051</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1053</v>
      </c>
      <c r="B100" s="286" t="s">
        <v>1054</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1055</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1056</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1057</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1059</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1060</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1061</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1062</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1063</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1064</v>
      </c>
      <c r="C124" s="181" t="s">
        <v>1045</v>
      </c>
      <c r="D124" s="181" t="s">
        <v>1046</v>
      </c>
      <c r="E124" s="181" t="s">
        <v>1047</v>
      </c>
      <c r="F124" s="181" t="s">
        <v>1048</v>
      </c>
      <c r="G124" s="181" t="s">
        <v>1049</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3" t="e">
        <f ca="1">IF(C2="——",ROUND(C50*D3/10000,0),ROUND(C50*D3/10000,0)-D2)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1070</v>
      </c>
      <c r="B3" s="950" t="e">
        <f ca="1">IF(C2="——",C50,ROUND(B2*10000/D3,0))</f>
        <v>#DIV/0!</v>
      </c>
      <c r="C3" s="142" t="s">
        <v>1071</v>
      </c>
      <c r="D3" s="741">
        <f>IF(D1="",'数据-汇总表'!E3,SUMIF('数据-汇总表'!$C19:$C33,D1,'数据-汇总表'!$E19:$E33))</f>
        <v>28973.439999999999</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1072</v>
      </c>
      <c r="B4" s="144"/>
      <c r="C4" s="3672" t="s">
        <v>1073</v>
      </c>
      <c r="D4" s="3673"/>
      <c r="E4" s="3674" t="s">
        <v>1074</v>
      </c>
      <c r="F4" s="3675"/>
      <c r="G4" s="3672" t="s">
        <v>1075</v>
      </c>
      <c r="H4" s="3673"/>
      <c r="I4" s="3672" t="s">
        <v>1076</v>
      </c>
      <c r="J4" s="3673"/>
      <c r="K4" s="187" t="s">
        <v>1077</v>
      </c>
      <c r="L4" s="2294"/>
      <c r="M4" s="2295"/>
      <c r="N4" s="2295"/>
      <c r="O4" s="2295"/>
      <c r="P4" s="3706" t="s">
        <v>1072</v>
      </c>
      <c r="Q4" s="3707"/>
      <c r="R4" s="3710" t="s">
        <v>1074</v>
      </c>
      <c r="S4" s="3711"/>
      <c r="T4" s="3710" t="s">
        <v>1075</v>
      </c>
      <c r="U4" s="3711"/>
      <c r="V4" s="3712" t="s">
        <v>1076</v>
      </c>
      <c r="W4" s="3712"/>
      <c r="X4" s="2334"/>
      <c r="Y4" s="3710" t="s">
        <v>1072</v>
      </c>
      <c r="Z4" s="3711"/>
      <c r="AA4" s="3714" t="s">
        <v>1074</v>
      </c>
      <c r="AB4" s="3714" t="s">
        <v>1075</v>
      </c>
      <c r="AC4" s="3703" t="s">
        <v>1076</v>
      </c>
    </row>
    <row r="5" spans="1:29">
      <c r="A5" s="146"/>
      <c r="B5" s="147"/>
      <c r="C5" s="3691" t="s">
        <v>1078</v>
      </c>
      <c r="D5" s="3692"/>
      <c r="E5" s="3698" t="s">
        <v>1079</v>
      </c>
      <c r="F5" s="3699"/>
      <c r="G5" s="3691" t="s">
        <v>1080</v>
      </c>
      <c r="H5" s="3692"/>
      <c r="I5" s="3691" t="s">
        <v>1081</v>
      </c>
      <c r="J5" s="3692"/>
      <c r="K5" s="187"/>
      <c r="L5" s="2294"/>
      <c r="M5" s="2295"/>
      <c r="N5" s="2295"/>
      <c r="O5" s="2295"/>
      <c r="P5" s="3708"/>
      <c r="Q5" s="3679"/>
      <c r="R5" s="3684"/>
      <c r="S5" s="3685"/>
      <c r="T5" s="3684"/>
      <c r="U5" s="3685"/>
      <c r="V5" s="3688"/>
      <c r="W5" s="3688"/>
      <c r="X5" s="2220"/>
      <c r="Y5" s="3684"/>
      <c r="Z5" s="3685"/>
      <c r="AA5" s="3670"/>
      <c r="AB5" s="3670"/>
      <c r="AC5" s="3704"/>
    </row>
    <row r="6" spans="1:29" ht="14.25" thickBot="1">
      <c r="A6" s="148"/>
      <c r="B6" s="149"/>
      <c r="C6" s="3689" t="s">
        <v>1082</v>
      </c>
      <c r="D6" s="3690"/>
      <c r="E6" s="3696" t="s">
        <v>1082</v>
      </c>
      <c r="F6" s="3697"/>
      <c r="G6" s="3689" t="s">
        <v>1082</v>
      </c>
      <c r="H6" s="3690"/>
      <c r="I6" s="3689" t="s">
        <v>1082</v>
      </c>
      <c r="J6" s="3690"/>
      <c r="K6" s="187" t="s">
        <v>1083</v>
      </c>
      <c r="L6" s="2294"/>
      <c r="M6" s="2295"/>
      <c r="N6" s="2295"/>
      <c r="O6" s="2295"/>
      <c r="P6" s="3709"/>
      <c r="Q6" s="3681"/>
      <c r="R6" s="3684"/>
      <c r="S6" s="3685"/>
      <c r="T6" s="3686"/>
      <c r="U6" s="3687"/>
      <c r="V6" s="3688"/>
      <c r="W6" s="3688"/>
      <c r="X6" s="2220"/>
      <c r="Y6" s="3686"/>
      <c r="Z6" s="3687"/>
      <c r="AA6" s="3671"/>
      <c r="AB6" s="3671"/>
      <c r="AC6" s="3705"/>
    </row>
    <row r="7" spans="1:29" s="40" customFormat="1" ht="15" thickBot="1">
      <c r="A7" s="1012" t="s">
        <v>1084</v>
      </c>
      <c r="B7" s="1013"/>
      <c r="C7" s="752">
        <f>'数据-取费表'!B2</f>
        <v>42986</v>
      </c>
      <c r="D7" s="753">
        <v>100</v>
      </c>
      <c r="E7" s="1015"/>
      <c r="F7" s="755">
        <f>SUMIF(59:59,YEAR(E7)&amp;"-"&amp;MONTH(E7),60:60)</f>
        <v>0</v>
      </c>
      <c r="G7" s="1015"/>
      <c r="H7" s="753">
        <f>SUMIF(59:59,YEAR(G7)&amp;"-"&amp;MONTH(G7),60:60)</f>
        <v>0</v>
      </c>
      <c r="I7" s="1015"/>
      <c r="J7" s="753">
        <f>SUMIF(59:59,YEAR(I7)&amp;"-"&amp;MONTH(I7),60:60)</f>
        <v>0</v>
      </c>
      <c r="K7" s="1017"/>
      <c r="L7" s="2296"/>
      <c r="M7" s="2258"/>
      <c r="N7" s="2258"/>
      <c r="O7" s="2258"/>
      <c r="P7" s="3713" t="s">
        <v>1084</v>
      </c>
      <c r="Q7" s="3695"/>
      <c r="R7" s="1340" t="s">
        <v>65</v>
      </c>
      <c r="S7" s="1341">
        <f t="shared" ref="S7:S15" si="0">F7</f>
        <v>0</v>
      </c>
      <c r="T7" s="1340" t="s">
        <v>65</v>
      </c>
      <c r="U7" s="1341">
        <f t="shared" ref="U7:U15" si="1">H7</f>
        <v>0</v>
      </c>
      <c r="V7" s="1340" t="s">
        <v>65</v>
      </c>
      <c r="W7" s="1341">
        <f t="shared" ref="W7:W15" si="2">J7</f>
        <v>0</v>
      </c>
      <c r="X7" s="287"/>
      <c r="Y7" s="3693" t="s">
        <v>1084</v>
      </c>
      <c r="Z7" s="3694"/>
      <c r="AA7" s="1342" t="e">
        <f>D7/F7</f>
        <v>#DIV/0!</v>
      </c>
      <c r="AB7" s="1342" t="e">
        <f>D7/H7</f>
        <v>#DIV/0!</v>
      </c>
      <c r="AC7" s="2335" t="e">
        <f>D7/J7</f>
        <v>#DIV/0!</v>
      </c>
    </row>
    <row r="8" spans="1:29" s="40" customFormat="1" ht="15" thickBot="1">
      <c r="A8" s="1012" t="s">
        <v>1085</v>
      </c>
      <c r="B8" s="1013"/>
      <c r="C8" s="1018" t="s">
        <v>1086</v>
      </c>
      <c r="D8" s="753">
        <v>100</v>
      </c>
      <c r="E8" s="1018"/>
      <c r="F8" s="755">
        <f>SUMIF(62:62,E8,63:63)-SUMIF(62:62,C8,63:63)+100</f>
        <v>0</v>
      </c>
      <c r="G8" s="1018"/>
      <c r="H8" s="753">
        <f>SUMIF(62:62,G8,63:63)-SUMIF(62:62,C8,63:63)+100</f>
        <v>0</v>
      </c>
      <c r="I8" s="1018"/>
      <c r="J8" s="753">
        <f>SUMIF(62:62,I8,63:63)-SUMIF(62:62,C8,63:63)+100</f>
        <v>0</v>
      </c>
      <c r="K8" s="1017"/>
      <c r="L8" s="2296"/>
      <c r="M8" s="2258"/>
      <c r="N8" s="2258"/>
      <c r="O8" s="2258"/>
      <c r="P8" s="3713" t="s">
        <v>1018</v>
      </c>
      <c r="Q8" s="3694"/>
      <c r="R8" s="1340" t="s">
        <v>65</v>
      </c>
      <c r="S8" s="1341">
        <f t="shared" si="0"/>
        <v>0</v>
      </c>
      <c r="T8" s="1340" t="s">
        <v>65</v>
      </c>
      <c r="U8" s="1341">
        <f t="shared" si="1"/>
        <v>0</v>
      </c>
      <c r="V8" s="1340" t="s">
        <v>65</v>
      </c>
      <c r="W8" s="1341">
        <f t="shared" si="2"/>
        <v>0</v>
      </c>
      <c r="X8" s="287"/>
      <c r="Y8" s="3693" t="s">
        <v>1018</v>
      </c>
      <c r="Z8" s="3694"/>
      <c r="AA8" s="1342" t="e">
        <f t="shared" ref="AA8:AA47" si="3">D8/F8</f>
        <v>#DIV/0!</v>
      </c>
      <c r="AB8" s="1342" t="e">
        <f t="shared" ref="AB8:AB47" si="4">D8/H8</f>
        <v>#DIV/0!</v>
      </c>
      <c r="AC8" s="2335" t="e">
        <f t="shared" ref="AC8:AC47" si="5">D8/J8</f>
        <v>#DIV/0!</v>
      </c>
    </row>
    <row r="9" spans="1:29" s="40" customFormat="1" ht="14.25">
      <c r="A9" s="1019" t="s">
        <v>1019</v>
      </c>
      <c r="B9" s="62" t="s">
        <v>1020</v>
      </c>
      <c r="C9" s="1344"/>
      <c r="D9" s="424">
        <v>100</v>
      </c>
      <c r="E9" s="1346"/>
      <c r="F9" s="424">
        <f>SUMIF(64:64,E9,65:65)-SUMIF(64:64,C9,65:65)+100</f>
        <v>100</v>
      </c>
      <c r="G9" s="1345"/>
      <c r="H9" s="424">
        <f>SUMIF(64:64,G9,65:65)-SUMIF(64:64,C9,65:65)+100</f>
        <v>100</v>
      </c>
      <c r="I9" s="1345"/>
      <c r="J9" s="424">
        <f>SUMIF(64:64,I9,65:65)-SUMIF(64:64,C9,65:65)+100</f>
        <v>100</v>
      </c>
      <c r="K9" s="1017"/>
      <c r="L9" s="2296"/>
      <c r="M9" s="2258"/>
      <c r="N9" s="2258"/>
      <c r="O9" s="2258"/>
      <c r="P9" s="3668" t="s">
        <v>67</v>
      </c>
      <c r="Q9" s="2211" t="str">
        <f t="shared" ref="Q9:Q15" si="6">B9</f>
        <v>用途</v>
      </c>
      <c r="R9" s="1340" t="s">
        <v>65</v>
      </c>
      <c r="S9" s="1341">
        <f t="shared" si="0"/>
        <v>100</v>
      </c>
      <c r="T9" s="1340" t="s">
        <v>65</v>
      </c>
      <c r="U9" s="1341">
        <f t="shared" si="1"/>
        <v>100</v>
      </c>
      <c r="V9" s="1340" t="s">
        <v>65</v>
      </c>
      <c r="W9" s="1341">
        <f t="shared" si="2"/>
        <v>100</v>
      </c>
      <c r="X9" s="287"/>
      <c r="Y9" s="3473" t="s">
        <v>67</v>
      </c>
      <c r="Z9" s="2210" t="str">
        <f t="shared" ref="Z9:Z15" si="7">Q9</f>
        <v>用途</v>
      </c>
      <c r="AA9" s="1342">
        <f t="shared" si="3"/>
        <v>1</v>
      </c>
      <c r="AB9" s="1342">
        <f t="shared" si="4"/>
        <v>1</v>
      </c>
      <c r="AC9" s="2335">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7"/>
      <c r="M10" s="2298"/>
      <c r="N10" s="2298"/>
      <c r="O10" s="2298"/>
      <c r="P10" s="3668"/>
      <c r="Q10" s="2211" t="str">
        <f t="shared" si="6"/>
        <v>土地使用年限（年）</v>
      </c>
      <c r="R10" s="1340" t="s">
        <v>65</v>
      </c>
      <c r="S10" s="1341">
        <f t="shared" si="0"/>
        <v>100</v>
      </c>
      <c r="T10" s="1340" t="s">
        <v>65</v>
      </c>
      <c r="U10" s="1341">
        <f t="shared" si="1"/>
        <v>100</v>
      </c>
      <c r="V10" s="1340" t="s">
        <v>65</v>
      </c>
      <c r="W10" s="1341">
        <f t="shared" si="2"/>
        <v>100</v>
      </c>
      <c r="X10" s="287"/>
      <c r="Y10" s="3473"/>
      <c r="Z10" s="2210" t="str">
        <f t="shared" si="7"/>
        <v>土地使用年限（年）</v>
      </c>
      <c r="AA10" s="1342">
        <f t="shared" si="3"/>
        <v>1</v>
      </c>
      <c r="AB10" s="1342">
        <f t="shared" si="4"/>
        <v>1</v>
      </c>
      <c r="AC10" s="2335">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9"/>
      <c r="M11" s="2295"/>
      <c r="N11" s="2295"/>
      <c r="O11" s="2295"/>
      <c r="P11" s="3668"/>
      <c r="Q11" s="2211" t="str">
        <f t="shared" si="6"/>
        <v>容积率</v>
      </c>
      <c r="R11" s="1340" t="s">
        <v>65</v>
      </c>
      <c r="S11" s="1341" t="e">
        <f t="shared" si="0"/>
        <v>#N/A</v>
      </c>
      <c r="T11" s="1340" t="s">
        <v>65</v>
      </c>
      <c r="U11" s="1341" t="e">
        <f t="shared" si="1"/>
        <v>#N/A</v>
      </c>
      <c r="V11" s="1340" t="s">
        <v>65</v>
      </c>
      <c r="W11" s="1341" t="e">
        <f t="shared" si="2"/>
        <v>#N/A</v>
      </c>
      <c r="X11" s="287"/>
      <c r="Y11" s="3473"/>
      <c r="Z11" s="2210" t="str">
        <f t="shared" si="7"/>
        <v>容积率</v>
      </c>
      <c r="AA11" s="1342" t="e">
        <f t="shared" si="3"/>
        <v>#N/A</v>
      </c>
      <c r="AB11" s="1342" t="e">
        <f t="shared" si="4"/>
        <v>#N/A</v>
      </c>
      <c r="AC11" s="2335"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68"/>
      <c r="Q12" s="2211">
        <f t="shared" si="6"/>
        <v>111</v>
      </c>
      <c r="R12" s="1340" t="s">
        <v>65</v>
      </c>
      <c r="S12" s="1341">
        <f t="shared" si="0"/>
        <v>100</v>
      </c>
      <c r="T12" s="1340" t="s">
        <v>65</v>
      </c>
      <c r="U12" s="1341">
        <f t="shared" si="1"/>
        <v>100</v>
      </c>
      <c r="V12" s="1340" t="s">
        <v>65</v>
      </c>
      <c r="W12" s="1341">
        <f t="shared" si="2"/>
        <v>100</v>
      </c>
      <c r="X12" s="287"/>
      <c r="Y12" s="3473"/>
      <c r="Z12" s="2210">
        <f t="shared" si="7"/>
        <v>111</v>
      </c>
      <c r="AA12" s="1342">
        <f>D12/F12</f>
        <v>1</v>
      </c>
      <c r="AB12" s="1342">
        <f>D12/H12</f>
        <v>1</v>
      </c>
      <c r="AC12" s="2335">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68"/>
      <c r="Q13" s="2211">
        <f t="shared" si="6"/>
        <v>111</v>
      </c>
      <c r="R13" s="1340" t="s">
        <v>65</v>
      </c>
      <c r="S13" s="1341">
        <f t="shared" si="0"/>
        <v>100</v>
      </c>
      <c r="T13" s="1340" t="s">
        <v>65</v>
      </c>
      <c r="U13" s="1341">
        <f t="shared" si="1"/>
        <v>100</v>
      </c>
      <c r="V13" s="1340" t="s">
        <v>65</v>
      </c>
      <c r="W13" s="1341">
        <f t="shared" si="2"/>
        <v>100</v>
      </c>
      <c r="X13" s="287"/>
      <c r="Y13" s="3473"/>
      <c r="Z13" s="2210">
        <f t="shared" si="7"/>
        <v>111</v>
      </c>
      <c r="AA13" s="1342">
        <f t="shared" si="3"/>
        <v>1</v>
      </c>
      <c r="AB13" s="1342">
        <f t="shared" si="4"/>
        <v>1</v>
      </c>
      <c r="AC13" s="2335">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68"/>
      <c r="Q14" s="2211">
        <f t="shared" si="6"/>
        <v>111</v>
      </c>
      <c r="R14" s="1340" t="s">
        <v>65</v>
      </c>
      <c r="S14" s="1341">
        <f t="shared" si="0"/>
        <v>100</v>
      </c>
      <c r="T14" s="1340" t="s">
        <v>65</v>
      </c>
      <c r="U14" s="1341">
        <f t="shared" si="1"/>
        <v>100</v>
      </c>
      <c r="V14" s="1340" t="s">
        <v>65</v>
      </c>
      <c r="W14" s="1341">
        <f t="shared" si="2"/>
        <v>100</v>
      </c>
      <c r="X14" s="287"/>
      <c r="Y14" s="3473"/>
      <c r="Z14" s="2210">
        <f t="shared" si="7"/>
        <v>111</v>
      </c>
      <c r="AA14" s="1342">
        <f t="shared" si="3"/>
        <v>1</v>
      </c>
      <c r="AB14" s="1342">
        <f t="shared" si="4"/>
        <v>1</v>
      </c>
      <c r="AC14" s="2335">
        <f t="shared" si="5"/>
        <v>1</v>
      </c>
    </row>
    <row r="15" spans="1:29" ht="121.5">
      <c r="A15" s="155" t="s">
        <v>69</v>
      </c>
      <c r="B15" s="1031" t="s">
        <v>142</v>
      </c>
      <c r="C15" s="208" t="str">
        <f>估价对象房地状况!C5</f>
        <v>估价对象位于怀柔区杨宋镇，目前投用项目有中影基地、星美影视城、百汇演艺学校等类似用房以及相关行业酒店等配套设施，产业聚集度较好</v>
      </c>
      <c r="D15" s="783">
        <v>100</v>
      </c>
      <c r="E15" s="96"/>
      <c r="F15" s="783">
        <f>SUMIF(77:77,E16,78:78)-SUMIF(77:77,C16,78:78)+100</f>
        <v>100</v>
      </c>
      <c r="G15" s="95"/>
      <c r="H15" s="783">
        <f>SUMIF(77:77,G16,78:78)-SUMIF(77:77,C16,78:78)+100</f>
        <v>100</v>
      </c>
      <c r="I15" s="95"/>
      <c r="J15" s="783">
        <f>SUMIF(77:77,I16,78:78)-SUMIF(77:77,C16,78:78)+100</f>
        <v>100</v>
      </c>
      <c r="K15" s="955"/>
      <c r="L15" s="2300"/>
      <c r="M15" s="2295"/>
      <c r="N15" s="2295"/>
      <c r="O15" s="2295"/>
      <c r="P15" s="3666" t="s">
        <v>69</v>
      </c>
      <c r="Q15" s="2218" t="str">
        <f t="shared" si="6"/>
        <v>办公集聚程度</v>
      </c>
      <c r="R15" s="1350" t="s">
        <v>65</v>
      </c>
      <c r="S15" s="1351">
        <f t="shared" si="0"/>
        <v>100</v>
      </c>
      <c r="T15" s="1350" t="s">
        <v>65</v>
      </c>
      <c r="U15" s="1351">
        <f t="shared" si="1"/>
        <v>100</v>
      </c>
      <c r="V15" s="1350" t="s">
        <v>65</v>
      </c>
      <c r="W15" s="1351">
        <f t="shared" si="2"/>
        <v>100</v>
      </c>
      <c r="X15" s="2220"/>
      <c r="Y15" s="3659" t="s">
        <v>69</v>
      </c>
      <c r="Z15" s="2219" t="str">
        <f t="shared" si="7"/>
        <v>办公集聚程度</v>
      </c>
      <c r="AA15" s="1353">
        <f t="shared" si="3"/>
        <v>1</v>
      </c>
      <c r="AB15" s="1353">
        <f t="shared" si="4"/>
        <v>1</v>
      </c>
      <c r="AC15" s="2336">
        <f t="shared" si="5"/>
        <v>1</v>
      </c>
    </row>
    <row r="16" spans="1:29" ht="14.25">
      <c r="A16" s="151"/>
      <c r="B16" s="209"/>
      <c r="C16" s="192"/>
      <c r="D16" s="790"/>
      <c r="E16" s="97"/>
      <c r="F16" s="790"/>
      <c r="G16" s="192"/>
      <c r="H16" s="792"/>
      <c r="I16" s="97"/>
      <c r="J16" s="790"/>
      <c r="K16" s="189"/>
      <c r="L16" s="2300"/>
      <c r="M16" s="2295"/>
      <c r="N16" s="2295"/>
      <c r="O16" s="2295"/>
      <c r="P16" s="3667"/>
      <c r="Q16" s="2218"/>
      <c r="R16" s="1350"/>
      <c r="S16" s="1351"/>
      <c r="T16" s="1350"/>
      <c r="U16" s="1351"/>
      <c r="V16" s="1350"/>
      <c r="W16" s="1351"/>
      <c r="X16" s="2220"/>
      <c r="Y16" s="3660"/>
      <c r="Z16" s="2219"/>
      <c r="AA16" s="1353">
        <v>1</v>
      </c>
      <c r="AB16" s="1353">
        <v>1</v>
      </c>
      <c r="AC16" s="2336">
        <v>1</v>
      </c>
    </row>
    <row r="17" spans="1:29" ht="148.5">
      <c r="A17" s="151"/>
      <c r="B17" s="1032" t="s">
        <v>72</v>
      </c>
      <c r="C17" s="210"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SUMIF(79:79,E18,80:80)-SUMIF(79:79,C18,80:80)+100</f>
        <v>100</v>
      </c>
      <c r="G17" s="100"/>
      <c r="H17" s="797">
        <f>SUMIF(79:79,G18,80:80)-SUMIF(79:79,C18,80:80)+100</f>
        <v>100</v>
      </c>
      <c r="I17" s="100"/>
      <c r="J17" s="797">
        <f>SUMIF(79:79,I18,80:80)-SUMIF(79:79,C18,80:80)+100</f>
        <v>100</v>
      </c>
      <c r="K17" s="955"/>
      <c r="L17" s="2300"/>
      <c r="M17" s="2295"/>
      <c r="N17" s="2295"/>
      <c r="O17" s="2295"/>
      <c r="P17" s="3667"/>
      <c r="Q17" s="2218" t="str">
        <f>B17</f>
        <v>交通便捷度</v>
      </c>
      <c r="R17" s="1350" t="s">
        <v>65</v>
      </c>
      <c r="S17" s="1351">
        <f>F17</f>
        <v>100</v>
      </c>
      <c r="T17" s="1350" t="s">
        <v>65</v>
      </c>
      <c r="U17" s="1351">
        <f>H17</f>
        <v>100</v>
      </c>
      <c r="V17" s="1350" t="s">
        <v>65</v>
      </c>
      <c r="W17" s="1351">
        <f>J17</f>
        <v>100</v>
      </c>
      <c r="X17" s="2220"/>
      <c r="Y17" s="3660"/>
      <c r="Z17" s="2219" t="str">
        <f>Q17</f>
        <v>交通便捷度</v>
      </c>
      <c r="AA17" s="1353">
        <f t="shared" si="3"/>
        <v>1</v>
      </c>
      <c r="AB17" s="1353">
        <f t="shared" si="4"/>
        <v>1</v>
      </c>
      <c r="AC17" s="2336">
        <f t="shared" si="5"/>
        <v>1</v>
      </c>
    </row>
    <row r="18" spans="1:29" ht="14.25">
      <c r="A18" s="151"/>
      <c r="B18" s="1033"/>
      <c r="C18" s="193"/>
      <c r="D18" s="792"/>
      <c r="E18" s="104"/>
      <c r="F18" s="792"/>
      <c r="G18" s="103"/>
      <c r="H18" s="790"/>
      <c r="I18" s="103"/>
      <c r="J18" s="790"/>
      <c r="K18" s="189"/>
      <c r="L18" s="2300"/>
      <c r="M18" s="2295"/>
      <c r="N18" s="2295"/>
      <c r="O18" s="2295"/>
      <c r="P18" s="3667"/>
      <c r="Q18" s="2218"/>
      <c r="R18" s="1350"/>
      <c r="S18" s="1351"/>
      <c r="T18" s="1350"/>
      <c r="U18" s="1351"/>
      <c r="V18" s="1350"/>
      <c r="W18" s="1351"/>
      <c r="X18" s="2220"/>
      <c r="Y18" s="3660"/>
      <c r="Z18" s="2219"/>
      <c r="AA18" s="1353">
        <v>1</v>
      </c>
      <c r="AB18" s="1353">
        <v>1</v>
      </c>
      <c r="AC18" s="2336">
        <v>1</v>
      </c>
    </row>
    <row r="19" spans="1:29" ht="189">
      <c r="A19" s="151"/>
      <c r="B19" s="1032" t="s">
        <v>2658</v>
      </c>
      <c r="C19" s="210"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SUMIF(81:81,E20,82:82)-SUMIF(81:81,C20,82:82)+100</f>
        <v>100</v>
      </c>
      <c r="G19" s="105"/>
      <c r="H19" s="792">
        <f>SUMIF(81:81,G20,82:82)-SUMIF(81:81,C20,82:82)+100</f>
        <v>100</v>
      </c>
      <c r="I19" s="105"/>
      <c r="J19" s="792">
        <f>SUMIF(81:81,I20,82:82)-SUMIF(81:81,C20,82:82)+100</f>
        <v>100</v>
      </c>
      <c r="K19" s="955"/>
      <c r="L19" s="2300"/>
      <c r="M19" s="2295"/>
      <c r="N19" s="2295"/>
      <c r="O19" s="2295"/>
      <c r="P19" s="3667"/>
      <c r="Q19" s="2218" t="str">
        <f>B19</f>
        <v>公共配套设施</v>
      </c>
      <c r="R19" s="1350" t="s">
        <v>65</v>
      </c>
      <c r="S19" s="1351">
        <f>F19</f>
        <v>100</v>
      </c>
      <c r="T19" s="1350" t="s">
        <v>65</v>
      </c>
      <c r="U19" s="1351">
        <f>H19</f>
        <v>100</v>
      </c>
      <c r="V19" s="1350" t="s">
        <v>65</v>
      </c>
      <c r="W19" s="1351">
        <f>J19</f>
        <v>100</v>
      </c>
      <c r="X19" s="2220"/>
      <c r="Y19" s="3660"/>
      <c r="Z19" s="2219" t="str">
        <f>Q19</f>
        <v>公共配套设施</v>
      </c>
      <c r="AA19" s="1353">
        <f t="shared" si="3"/>
        <v>1</v>
      </c>
      <c r="AB19" s="1353">
        <f t="shared" si="4"/>
        <v>1</v>
      </c>
      <c r="AC19" s="2336">
        <f t="shared" si="5"/>
        <v>1</v>
      </c>
    </row>
    <row r="20" spans="1:29" ht="14.25">
      <c r="A20" s="151"/>
      <c r="B20" s="1033"/>
      <c r="C20" s="192"/>
      <c r="D20" s="790"/>
      <c r="E20" s="99"/>
      <c r="F20" s="790"/>
      <c r="G20" s="98"/>
      <c r="H20" s="790"/>
      <c r="I20" s="98"/>
      <c r="J20" s="790"/>
      <c r="K20" s="189"/>
      <c r="L20" s="2300"/>
      <c r="M20" s="2295"/>
      <c r="N20" s="2295"/>
      <c r="O20" s="2295"/>
      <c r="P20" s="3667"/>
      <c r="Q20" s="2218"/>
      <c r="R20" s="1350"/>
      <c r="S20" s="1351"/>
      <c r="T20" s="1350"/>
      <c r="U20" s="1351"/>
      <c r="V20" s="1350"/>
      <c r="W20" s="1351"/>
      <c r="X20" s="2220"/>
      <c r="Y20" s="3660"/>
      <c r="Z20" s="2219"/>
      <c r="AA20" s="1353">
        <v>1</v>
      </c>
      <c r="AB20" s="1353">
        <v>1</v>
      </c>
      <c r="AC20" s="2336">
        <v>1</v>
      </c>
    </row>
    <row r="21" spans="1:29" ht="40.5">
      <c r="A21" s="151"/>
      <c r="B21" s="1034" t="s">
        <v>2659</v>
      </c>
      <c r="C21" s="210" t="str">
        <f>估价对象房地状况!C8</f>
        <v>估价对象所在区域基础设施水平达到七通</v>
      </c>
      <c r="D21" s="792">
        <v>100</v>
      </c>
      <c r="E21" s="106"/>
      <c r="F21" s="797">
        <f>SUMIF(83:83,E22,84:84)-SUMIF(83:83,C22,84:84)+100</f>
        <v>100</v>
      </c>
      <c r="G21" s="105"/>
      <c r="H21" s="792">
        <f>SUMIF(83:83,G22,84:84)-SUMIF(83:83,C22,84:84)+100</f>
        <v>100</v>
      </c>
      <c r="I21" s="105"/>
      <c r="J21" s="792">
        <f>SUMIF(83:83,I22,84:84)-SUMIF(83:83,C22,84:84)+100</f>
        <v>100</v>
      </c>
      <c r="K21" s="955"/>
      <c r="L21" s="2300"/>
      <c r="M21" s="2295"/>
      <c r="N21" s="2295"/>
      <c r="O21" s="2295"/>
      <c r="P21" s="3667"/>
      <c r="Q21" s="2745" t="str">
        <f>B21</f>
        <v>基础设施水平</v>
      </c>
      <c r="R21" s="1350" t="s">
        <v>65</v>
      </c>
      <c r="S21" s="1351">
        <f>F21</f>
        <v>100</v>
      </c>
      <c r="T21" s="1350" t="s">
        <v>65</v>
      </c>
      <c r="U21" s="1351">
        <f>H21</f>
        <v>100</v>
      </c>
      <c r="V21" s="1350" t="s">
        <v>65</v>
      </c>
      <c r="W21" s="1351">
        <f>J21</f>
        <v>100</v>
      </c>
      <c r="X21" s="2747"/>
      <c r="Y21" s="3660"/>
      <c r="Z21" s="2746" t="str">
        <f>Q21</f>
        <v>基础设施水平</v>
      </c>
      <c r="AA21" s="1353">
        <f t="shared" ref="AA21" si="8">D21/F21</f>
        <v>1</v>
      </c>
      <c r="AB21" s="1353">
        <f t="shared" ref="AB21" si="9">D21/H21</f>
        <v>1</v>
      </c>
      <c r="AC21" s="2336">
        <f t="shared" ref="AC21" si="10">D21/J21</f>
        <v>1</v>
      </c>
    </row>
    <row r="22" spans="1:29" ht="14.25">
      <c r="A22" s="151"/>
      <c r="B22" s="1034"/>
      <c r="C22" s="193"/>
      <c r="D22" s="790"/>
      <c r="E22" s="97"/>
      <c r="F22" s="790"/>
      <c r="G22" s="192"/>
      <c r="H22" s="790"/>
      <c r="I22" s="192"/>
      <c r="J22" s="790"/>
      <c r="K22" s="2765"/>
      <c r="L22" s="2300"/>
      <c r="M22" s="2295"/>
      <c r="N22" s="2295"/>
      <c r="O22" s="2295"/>
      <c r="P22" s="3667"/>
      <c r="Q22" s="2745"/>
      <c r="R22" s="1350"/>
      <c r="S22" s="1351"/>
      <c r="T22" s="1350"/>
      <c r="U22" s="1351"/>
      <c r="V22" s="1350"/>
      <c r="W22" s="1351"/>
      <c r="X22" s="2747"/>
      <c r="Y22" s="3660"/>
      <c r="Z22" s="2746"/>
      <c r="AA22" s="1353">
        <v>1</v>
      </c>
      <c r="AB22" s="1353">
        <v>1</v>
      </c>
      <c r="AC22" s="2336">
        <v>1</v>
      </c>
    </row>
    <row r="23" spans="1:29" ht="162">
      <c r="A23" s="151"/>
      <c r="B23" s="1032" t="s">
        <v>143</v>
      </c>
      <c r="C23" s="21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SUMIF(85:85,E24,86:86)-SUMIF(85:85,C24,86:86)+100</f>
        <v>100</v>
      </c>
      <c r="G23" s="100"/>
      <c r="H23" s="792">
        <f>SUMIF(85:85,G24,86:86)-SUMIF(85:85,C24,86:86)+100</f>
        <v>100</v>
      </c>
      <c r="I23" s="100"/>
      <c r="J23" s="792">
        <f>SUMIF(85:85,I24,86:86)-SUMIF(85:85,C24,86:86)+100</f>
        <v>100</v>
      </c>
      <c r="K23" s="955"/>
      <c r="L23" s="2300"/>
      <c r="M23" s="2295"/>
      <c r="N23" s="2295"/>
      <c r="O23" s="2295"/>
      <c r="P23" s="3667"/>
      <c r="Q23" s="2218" t="str">
        <f>B23</f>
        <v>环境质量</v>
      </c>
      <c r="R23" s="1350" t="s">
        <v>65</v>
      </c>
      <c r="S23" s="1351">
        <f>F23</f>
        <v>100</v>
      </c>
      <c r="T23" s="1350" t="s">
        <v>65</v>
      </c>
      <c r="U23" s="1351">
        <f>H23</f>
        <v>100</v>
      </c>
      <c r="V23" s="1350" t="s">
        <v>65</v>
      </c>
      <c r="W23" s="1351">
        <f>J23</f>
        <v>100</v>
      </c>
      <c r="X23" s="2220"/>
      <c r="Y23" s="3660"/>
      <c r="Z23" s="2219" t="str">
        <f>Q23</f>
        <v>环境质量</v>
      </c>
      <c r="AA23" s="1353">
        <f t="shared" si="3"/>
        <v>1</v>
      </c>
      <c r="AB23" s="1353">
        <f t="shared" si="4"/>
        <v>1</v>
      </c>
      <c r="AC23" s="2336">
        <f t="shared" si="5"/>
        <v>1</v>
      </c>
    </row>
    <row r="24" spans="1:29" ht="14.25">
      <c r="A24" s="151"/>
      <c r="B24" s="1034"/>
      <c r="C24" s="192"/>
      <c r="D24" s="790"/>
      <c r="E24" s="99"/>
      <c r="F24" s="790"/>
      <c r="G24" s="98"/>
      <c r="H24" s="790"/>
      <c r="I24" s="98"/>
      <c r="J24" s="790"/>
      <c r="K24" s="189"/>
      <c r="L24" s="2300"/>
      <c r="M24" s="2295"/>
      <c r="N24" s="2295"/>
      <c r="O24" s="2295"/>
      <c r="P24" s="3667"/>
      <c r="Q24" s="2218"/>
      <c r="R24" s="1350"/>
      <c r="S24" s="1351"/>
      <c r="T24" s="1350"/>
      <c r="U24" s="1351"/>
      <c r="V24" s="1350"/>
      <c r="W24" s="1351"/>
      <c r="X24" s="2220"/>
      <c r="Y24" s="3660"/>
      <c r="Z24" s="2219"/>
      <c r="AA24" s="1353">
        <v>1</v>
      </c>
      <c r="AB24" s="1353">
        <v>1</v>
      </c>
      <c r="AC24" s="2336">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300"/>
      <c r="M25" s="2295"/>
      <c r="N25" s="2295"/>
      <c r="O25" s="2295"/>
      <c r="P25" s="3667"/>
      <c r="Q25" s="2218" t="str">
        <f>B25</f>
        <v>毗邻道路的类型与等级</v>
      </c>
      <c r="R25" s="1350" t="s">
        <v>65</v>
      </c>
      <c r="S25" s="1351">
        <f>F25</f>
        <v>100</v>
      </c>
      <c r="T25" s="1350" t="s">
        <v>65</v>
      </c>
      <c r="U25" s="1351">
        <f>H25</f>
        <v>100</v>
      </c>
      <c r="V25" s="1350" t="s">
        <v>65</v>
      </c>
      <c r="W25" s="1351">
        <f>J25</f>
        <v>100</v>
      </c>
      <c r="X25" s="2220"/>
      <c r="Y25" s="3660"/>
      <c r="Z25" s="2219" t="str">
        <f>Q25</f>
        <v>毗邻道路的类型与等级</v>
      </c>
      <c r="AA25" s="1353">
        <f t="shared" si="3"/>
        <v>1</v>
      </c>
      <c r="AB25" s="1353">
        <f t="shared" si="4"/>
        <v>1</v>
      </c>
      <c r="AC25" s="2336">
        <f t="shared" si="5"/>
        <v>1</v>
      </c>
    </row>
    <row r="26" spans="1:29" ht="14.25">
      <c r="A26" s="146"/>
      <c r="B26" s="1033"/>
      <c r="C26" s="195"/>
      <c r="D26" s="777"/>
      <c r="E26" s="182"/>
      <c r="F26" s="777"/>
      <c r="G26" s="195"/>
      <c r="H26" s="777"/>
      <c r="I26" s="182"/>
      <c r="J26" s="777"/>
      <c r="K26" s="189"/>
      <c r="L26" s="2300"/>
      <c r="M26" s="2295"/>
      <c r="N26" s="2295"/>
      <c r="O26" s="2295"/>
      <c r="P26" s="3667"/>
      <c r="Q26" s="2218"/>
      <c r="R26" s="1350"/>
      <c r="S26" s="1351"/>
      <c r="T26" s="1350"/>
      <c r="U26" s="1351"/>
      <c r="V26" s="1350"/>
      <c r="W26" s="1351"/>
      <c r="X26" s="2220"/>
      <c r="Y26" s="3660"/>
      <c r="Z26" s="2219"/>
      <c r="AA26" s="1353">
        <v>1</v>
      </c>
      <c r="AB26" s="1353">
        <v>1</v>
      </c>
      <c r="AC26" s="2336">
        <v>1</v>
      </c>
    </row>
    <row r="27" spans="1:29" ht="15">
      <c r="A27" s="151"/>
      <c r="B27" s="1033" t="s">
        <v>1087</v>
      </c>
      <c r="C27" s="195"/>
      <c r="D27" s="777">
        <v>100</v>
      </c>
      <c r="E27" s="182"/>
      <c r="F27" s="777">
        <f>SUMIF(89:89,E27,90:90)-SUMIF(89:89,C27,90:90)+100</f>
        <v>100</v>
      </c>
      <c r="G27" s="195"/>
      <c r="H27" s="777">
        <f>SUMIF(89:89,G27,90:90)-SUMIF(89:89,C27,90:90)+100</f>
        <v>100</v>
      </c>
      <c r="I27" s="182"/>
      <c r="J27" s="777">
        <f>SUMIF(89:89,I27,90:90)-SUMIF(89:89,C27,90:90)+100</f>
        <v>100</v>
      </c>
      <c r="K27" s="953"/>
      <c r="L27" s="2300"/>
      <c r="M27" s="2295"/>
      <c r="N27" s="2295"/>
      <c r="O27" s="2295"/>
      <c r="P27" s="3667"/>
      <c r="Q27" s="2218" t="str">
        <f t="shared" ref="Q27:Q47" si="11">B27</f>
        <v>楼层</v>
      </c>
      <c r="R27" s="1350" t="s">
        <v>65</v>
      </c>
      <c r="S27" s="1351">
        <f>F27</f>
        <v>100</v>
      </c>
      <c r="T27" s="1350" t="s">
        <v>65</v>
      </c>
      <c r="U27" s="1351">
        <f>H27</f>
        <v>100</v>
      </c>
      <c r="V27" s="1350" t="s">
        <v>65</v>
      </c>
      <c r="W27" s="1351">
        <f>J27</f>
        <v>100</v>
      </c>
      <c r="X27" s="2220"/>
      <c r="Y27" s="3660"/>
      <c r="Z27" s="2219" t="str">
        <f>Q27</f>
        <v>楼层</v>
      </c>
      <c r="AA27" s="1353">
        <f t="shared" si="3"/>
        <v>1</v>
      </c>
      <c r="AB27" s="1353">
        <f t="shared" si="4"/>
        <v>1</v>
      </c>
      <c r="AC27" s="2336">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96"/>
      <c r="M28" s="2258"/>
      <c r="N28" s="2258"/>
      <c r="O28" s="2258"/>
      <c r="P28" s="3667"/>
      <c r="Q28" s="2211" t="str">
        <f t="shared" si="11"/>
        <v>朝向</v>
      </c>
      <c r="R28" s="1340" t="s">
        <v>65</v>
      </c>
      <c r="S28" s="1341">
        <f>F28</f>
        <v>100</v>
      </c>
      <c r="T28" s="1340" t="s">
        <v>65</v>
      </c>
      <c r="U28" s="1341">
        <f>H28</f>
        <v>100</v>
      </c>
      <c r="V28" s="1340" t="s">
        <v>65</v>
      </c>
      <c r="W28" s="1341">
        <f>J28</f>
        <v>100</v>
      </c>
      <c r="X28" s="287"/>
      <c r="Y28" s="3660"/>
      <c r="Z28" s="2210" t="str">
        <f>Q28</f>
        <v>朝向</v>
      </c>
      <c r="AA28" s="1353">
        <f>D28/F28</f>
        <v>1</v>
      </c>
      <c r="AB28" s="1353">
        <f>D28/H28</f>
        <v>1</v>
      </c>
      <c r="AC28" s="2336">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67"/>
      <c r="Q29" s="2218">
        <f t="shared" si="11"/>
        <v>111</v>
      </c>
      <c r="R29" s="1350" t="s">
        <v>65</v>
      </c>
      <c r="S29" s="1351">
        <f t="shared" ref="S29:S47" si="12">F29</f>
        <v>100</v>
      </c>
      <c r="T29" s="1350" t="s">
        <v>65</v>
      </c>
      <c r="U29" s="1351">
        <f t="shared" ref="U29:U47" si="13">H29</f>
        <v>100</v>
      </c>
      <c r="V29" s="1350" t="s">
        <v>65</v>
      </c>
      <c r="W29" s="1351">
        <f t="shared" ref="W29:W47" si="14">J29</f>
        <v>100</v>
      </c>
      <c r="X29" s="2220"/>
      <c r="Y29" s="3660"/>
      <c r="Z29" s="2219">
        <f t="shared" ref="Z29:Z47" si="15">Q29</f>
        <v>111</v>
      </c>
      <c r="AA29" s="1353">
        <f t="shared" si="3"/>
        <v>1</v>
      </c>
      <c r="AB29" s="1353">
        <f t="shared" si="4"/>
        <v>1</v>
      </c>
      <c r="AC29" s="2336">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67"/>
      <c r="Q30" s="2218">
        <f t="shared" si="11"/>
        <v>111</v>
      </c>
      <c r="R30" s="1350" t="s">
        <v>65</v>
      </c>
      <c r="S30" s="1351">
        <f t="shared" si="12"/>
        <v>100</v>
      </c>
      <c r="T30" s="1350" t="s">
        <v>65</v>
      </c>
      <c r="U30" s="1351">
        <f t="shared" si="13"/>
        <v>100</v>
      </c>
      <c r="V30" s="1350" t="s">
        <v>65</v>
      </c>
      <c r="W30" s="1351">
        <f t="shared" si="14"/>
        <v>100</v>
      </c>
      <c r="X30" s="2220"/>
      <c r="Y30" s="3660"/>
      <c r="Z30" s="2219">
        <f t="shared" si="15"/>
        <v>111</v>
      </c>
      <c r="AA30" s="1353">
        <f t="shared" si="3"/>
        <v>1</v>
      </c>
      <c r="AB30" s="1353">
        <f t="shared" si="4"/>
        <v>1</v>
      </c>
      <c r="AC30" s="2336">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67"/>
      <c r="Q31" s="2218">
        <f t="shared" si="11"/>
        <v>111</v>
      </c>
      <c r="R31" s="1350" t="s">
        <v>65</v>
      </c>
      <c r="S31" s="1351">
        <f t="shared" si="12"/>
        <v>100</v>
      </c>
      <c r="T31" s="1350" t="s">
        <v>65</v>
      </c>
      <c r="U31" s="1351">
        <f t="shared" si="13"/>
        <v>100</v>
      </c>
      <c r="V31" s="1350" t="s">
        <v>65</v>
      </c>
      <c r="W31" s="1351">
        <f t="shared" si="14"/>
        <v>100</v>
      </c>
      <c r="X31" s="2220"/>
      <c r="Y31" s="3660"/>
      <c r="Z31" s="2219">
        <f t="shared" si="15"/>
        <v>111</v>
      </c>
      <c r="AA31" s="1353">
        <f t="shared" si="3"/>
        <v>1</v>
      </c>
      <c r="AB31" s="1353">
        <f t="shared" si="4"/>
        <v>1</v>
      </c>
      <c r="AC31" s="2336">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67"/>
      <c r="Q32" s="2218">
        <f t="shared" si="11"/>
        <v>111</v>
      </c>
      <c r="R32" s="1350" t="s">
        <v>65</v>
      </c>
      <c r="S32" s="1351">
        <f t="shared" si="12"/>
        <v>100</v>
      </c>
      <c r="T32" s="1350" t="s">
        <v>65</v>
      </c>
      <c r="U32" s="1351">
        <f t="shared" si="13"/>
        <v>100</v>
      </c>
      <c r="V32" s="1350" t="s">
        <v>65</v>
      </c>
      <c r="W32" s="1351">
        <f t="shared" si="14"/>
        <v>100</v>
      </c>
      <c r="X32" s="2220"/>
      <c r="Y32" s="3660"/>
      <c r="Z32" s="2219">
        <f t="shared" si="15"/>
        <v>111</v>
      </c>
      <c r="AA32" s="1353">
        <f t="shared" si="3"/>
        <v>1</v>
      </c>
      <c r="AB32" s="1353">
        <f t="shared" si="4"/>
        <v>1</v>
      </c>
      <c r="AC32" s="2336">
        <f t="shared" si="5"/>
        <v>1</v>
      </c>
    </row>
    <row r="33" spans="1:29" ht="15">
      <c r="A33" s="155" t="s">
        <v>1088</v>
      </c>
      <c r="B33" s="62" t="s">
        <v>1089</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300"/>
      <c r="M33" s="2295"/>
      <c r="N33" s="2295"/>
      <c r="O33" s="2295"/>
      <c r="P33" s="3661" t="s">
        <v>1090</v>
      </c>
      <c r="Q33" s="2218" t="str">
        <f t="shared" si="11"/>
        <v>建筑类型</v>
      </c>
      <c r="R33" s="1350" t="s">
        <v>65</v>
      </c>
      <c r="S33" s="1351">
        <f t="shared" si="12"/>
        <v>100</v>
      </c>
      <c r="T33" s="1350" t="s">
        <v>65</v>
      </c>
      <c r="U33" s="1351">
        <f t="shared" si="13"/>
        <v>100</v>
      </c>
      <c r="V33" s="1350" t="s">
        <v>65</v>
      </c>
      <c r="W33" s="1351">
        <f t="shared" si="14"/>
        <v>100</v>
      </c>
      <c r="X33" s="2220"/>
      <c r="Y33" s="3664" t="s">
        <v>1090</v>
      </c>
      <c r="Z33" s="2219" t="str">
        <f t="shared" si="15"/>
        <v>建筑类型</v>
      </c>
      <c r="AA33" s="1353">
        <f t="shared" si="3"/>
        <v>1</v>
      </c>
      <c r="AB33" s="1353">
        <f t="shared" si="4"/>
        <v>1</v>
      </c>
      <c r="AC33" s="2336">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662"/>
      <c r="Q34" s="1357" t="str">
        <f t="shared" si="11"/>
        <v>项目建筑规模</v>
      </c>
      <c r="R34" s="1358" t="s">
        <v>65</v>
      </c>
      <c r="S34" s="1359" t="e">
        <f t="shared" si="12"/>
        <v>#N/A</v>
      </c>
      <c r="T34" s="1358" t="s">
        <v>65</v>
      </c>
      <c r="U34" s="1359" t="e">
        <f t="shared" si="13"/>
        <v>#N/A</v>
      </c>
      <c r="V34" s="1358" t="s">
        <v>65</v>
      </c>
      <c r="W34" s="1359" t="e">
        <f t="shared" si="14"/>
        <v>#N/A</v>
      </c>
      <c r="X34" s="1360"/>
      <c r="Y34" s="3664"/>
      <c r="Z34" s="1361" t="str">
        <f t="shared" si="15"/>
        <v>项目建筑规模</v>
      </c>
      <c r="AA34" s="1353" t="e">
        <f t="shared" si="3"/>
        <v>#N/A</v>
      </c>
      <c r="AB34" s="1353"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300"/>
      <c r="M35" s="2295"/>
      <c r="N35" s="2295"/>
      <c r="O35" s="2295"/>
      <c r="P35" s="3662"/>
      <c r="Q35" s="2218" t="str">
        <f t="shared" si="11"/>
        <v>建筑结构</v>
      </c>
      <c r="R35" s="1350" t="s">
        <v>65</v>
      </c>
      <c r="S35" s="1351">
        <f t="shared" si="12"/>
        <v>100</v>
      </c>
      <c r="T35" s="1350" t="s">
        <v>65</v>
      </c>
      <c r="U35" s="1351">
        <f t="shared" si="13"/>
        <v>100</v>
      </c>
      <c r="V35" s="1350" t="s">
        <v>65</v>
      </c>
      <c r="W35" s="1351">
        <f t="shared" si="14"/>
        <v>100</v>
      </c>
      <c r="X35" s="2220"/>
      <c r="Y35" s="3664"/>
      <c r="Z35" s="2219" t="str">
        <f t="shared" si="15"/>
        <v>建筑结构</v>
      </c>
      <c r="AA35" s="1353">
        <f t="shared" si="3"/>
        <v>1</v>
      </c>
      <c r="AB35" s="1353">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300"/>
      <c r="M36" s="2295"/>
      <c r="N36" s="2295"/>
      <c r="O36" s="2295"/>
      <c r="P36" s="3662"/>
      <c r="Q36" s="2218" t="str">
        <f t="shared" si="11"/>
        <v>公共部分装修</v>
      </c>
      <c r="R36" s="1350" t="s">
        <v>65</v>
      </c>
      <c r="S36" s="1351">
        <f t="shared" si="12"/>
        <v>100</v>
      </c>
      <c r="T36" s="1350" t="s">
        <v>65</v>
      </c>
      <c r="U36" s="1351">
        <f t="shared" si="13"/>
        <v>100</v>
      </c>
      <c r="V36" s="1350" t="s">
        <v>65</v>
      </c>
      <c r="W36" s="1351">
        <f t="shared" si="14"/>
        <v>100</v>
      </c>
      <c r="X36" s="2220"/>
      <c r="Y36" s="3664"/>
      <c r="Z36" s="2219" t="str">
        <f t="shared" si="15"/>
        <v>公共部分装修</v>
      </c>
      <c r="AA36" s="1353">
        <f t="shared" si="3"/>
        <v>1</v>
      </c>
      <c r="AB36" s="1353">
        <f t="shared" si="4"/>
        <v>1</v>
      </c>
      <c r="AC36" s="2336">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300"/>
      <c r="M37" s="2295"/>
      <c r="N37" s="2295"/>
      <c r="O37" s="2295"/>
      <c r="P37" s="3662"/>
      <c r="Q37" s="2218" t="str">
        <f t="shared" si="11"/>
        <v>成新度</v>
      </c>
      <c r="R37" s="1350" t="s">
        <v>65</v>
      </c>
      <c r="S37" s="1351" t="e">
        <f t="shared" si="12"/>
        <v>#N/A</v>
      </c>
      <c r="T37" s="1350" t="s">
        <v>65</v>
      </c>
      <c r="U37" s="1351" t="e">
        <f t="shared" si="13"/>
        <v>#N/A</v>
      </c>
      <c r="V37" s="1350" t="s">
        <v>65</v>
      </c>
      <c r="W37" s="1351" t="e">
        <f t="shared" si="14"/>
        <v>#N/A</v>
      </c>
      <c r="X37" s="2220"/>
      <c r="Y37" s="3664"/>
      <c r="Z37" s="2219" t="str">
        <f t="shared" si="15"/>
        <v>成新度</v>
      </c>
      <c r="AA37" s="1353" t="e">
        <f t="shared" si="3"/>
        <v>#N/A</v>
      </c>
      <c r="AB37" s="1353" t="e">
        <f t="shared" si="4"/>
        <v>#N/A</v>
      </c>
      <c r="AC37" s="2336"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96"/>
      <c r="M38" s="2258"/>
      <c r="N38" s="2258"/>
      <c r="O38" s="2258"/>
      <c r="P38" s="3662"/>
      <c r="Q38" s="2211" t="str">
        <f t="shared" si="11"/>
        <v>写字楼等级</v>
      </c>
      <c r="R38" s="1340" t="s">
        <v>65</v>
      </c>
      <c r="S38" s="1341">
        <f t="shared" si="12"/>
        <v>100</v>
      </c>
      <c r="T38" s="1340" t="s">
        <v>65</v>
      </c>
      <c r="U38" s="1341">
        <f t="shared" si="13"/>
        <v>100</v>
      </c>
      <c r="V38" s="1340" t="s">
        <v>65</v>
      </c>
      <c r="W38" s="1341">
        <f t="shared" si="14"/>
        <v>100</v>
      </c>
      <c r="X38" s="287"/>
      <c r="Y38" s="3664"/>
      <c r="Z38" s="2210" t="str">
        <f t="shared" si="15"/>
        <v>写字楼等级</v>
      </c>
      <c r="AA38" s="1342">
        <f t="shared" si="3"/>
        <v>1</v>
      </c>
      <c r="AB38" s="1342">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300"/>
      <c r="M39" s="2295"/>
      <c r="N39" s="2295"/>
      <c r="O39" s="2295"/>
      <c r="P39" s="3662" t="s">
        <v>70</v>
      </c>
      <c r="Q39" s="2218" t="str">
        <f t="shared" si="11"/>
        <v>物业管理</v>
      </c>
      <c r="R39" s="1350" t="s">
        <v>65</v>
      </c>
      <c r="S39" s="1351">
        <f t="shared" si="12"/>
        <v>100</v>
      </c>
      <c r="T39" s="1350" t="s">
        <v>65</v>
      </c>
      <c r="U39" s="1351">
        <f t="shared" si="13"/>
        <v>100</v>
      </c>
      <c r="V39" s="1350" t="s">
        <v>65</v>
      </c>
      <c r="W39" s="1351">
        <f t="shared" si="14"/>
        <v>100</v>
      </c>
      <c r="X39" s="2220"/>
      <c r="Y39" s="3664" t="s">
        <v>70</v>
      </c>
      <c r="Z39" s="2219" t="str">
        <f t="shared" si="15"/>
        <v>物业管理</v>
      </c>
      <c r="AA39" s="1353">
        <f t="shared" si="3"/>
        <v>1</v>
      </c>
      <c r="AB39" s="1353">
        <f t="shared" si="4"/>
        <v>1</v>
      </c>
      <c r="AC39" s="2336">
        <f t="shared" si="5"/>
        <v>1</v>
      </c>
    </row>
    <row r="40" spans="1:29" ht="15">
      <c r="A40" s="161"/>
      <c r="B40" s="12" t="s">
        <v>2651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300"/>
      <c r="M40" s="2295"/>
      <c r="N40" s="2295"/>
      <c r="O40" s="2295"/>
      <c r="P40" s="3662"/>
      <c r="Q40" s="2218" t="str">
        <f t="shared" si="11"/>
        <v>市政基础设施</v>
      </c>
      <c r="R40" s="1350" t="s">
        <v>65</v>
      </c>
      <c r="S40" s="1351">
        <f t="shared" si="12"/>
        <v>100</v>
      </c>
      <c r="T40" s="1350" t="s">
        <v>65</v>
      </c>
      <c r="U40" s="1351">
        <f t="shared" si="13"/>
        <v>100</v>
      </c>
      <c r="V40" s="1350" t="s">
        <v>65</v>
      </c>
      <c r="W40" s="1351">
        <f t="shared" si="14"/>
        <v>100</v>
      </c>
      <c r="X40" s="2220"/>
      <c r="Y40" s="3664"/>
      <c r="Z40" s="2219" t="str">
        <f t="shared" si="15"/>
        <v>市政基础设施</v>
      </c>
      <c r="AA40" s="1353">
        <f t="shared" si="3"/>
        <v>1</v>
      </c>
      <c r="AB40" s="1353">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300"/>
      <c r="M41" s="2295"/>
      <c r="N41" s="2295"/>
      <c r="O41" s="2295"/>
      <c r="P41" s="3662"/>
      <c r="Q41" s="2218" t="str">
        <f t="shared" si="11"/>
        <v>层高</v>
      </c>
      <c r="R41" s="1350" t="s">
        <v>65</v>
      </c>
      <c r="S41" s="1351">
        <f t="shared" si="12"/>
        <v>100</v>
      </c>
      <c r="T41" s="1350" t="s">
        <v>65</v>
      </c>
      <c r="U41" s="1351">
        <f t="shared" si="13"/>
        <v>100</v>
      </c>
      <c r="V41" s="1350" t="s">
        <v>65</v>
      </c>
      <c r="W41" s="1351">
        <f t="shared" si="14"/>
        <v>100</v>
      </c>
      <c r="X41" s="2220"/>
      <c r="Y41" s="3664"/>
      <c r="Z41" s="2219" t="str">
        <f t="shared" si="15"/>
        <v>层高</v>
      </c>
      <c r="AA41" s="1353">
        <f t="shared" si="3"/>
        <v>1</v>
      </c>
      <c r="AB41" s="1353">
        <f t="shared" si="4"/>
        <v>1</v>
      </c>
      <c r="AC41" s="2336">
        <f t="shared" si="5"/>
        <v>1</v>
      </c>
    </row>
    <row r="42" spans="1:29" s="1037" customFormat="1" ht="14.25">
      <c r="A42" s="1041"/>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62"/>
      <c r="Q42" s="1357" t="str">
        <f t="shared" si="11"/>
        <v>单套建筑面积</v>
      </c>
      <c r="R42" s="1358" t="s">
        <v>65</v>
      </c>
      <c r="S42" s="1359">
        <f t="shared" si="12"/>
        <v>100</v>
      </c>
      <c r="T42" s="1358" t="s">
        <v>65</v>
      </c>
      <c r="U42" s="1359">
        <f t="shared" si="13"/>
        <v>100</v>
      </c>
      <c r="V42" s="1358" t="s">
        <v>65</v>
      </c>
      <c r="W42" s="1359">
        <f t="shared" si="14"/>
        <v>100</v>
      </c>
      <c r="X42" s="1360"/>
      <c r="Y42" s="3664"/>
      <c r="Z42" s="1361" t="str">
        <f t="shared" si="15"/>
        <v>单套建筑面积</v>
      </c>
      <c r="AA42" s="1353">
        <f t="shared" si="3"/>
        <v>1</v>
      </c>
      <c r="AB42" s="1353">
        <f t="shared" si="4"/>
        <v>1</v>
      </c>
      <c r="AC42" s="2336">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300"/>
      <c r="M43" s="2295"/>
      <c r="N43" s="2295"/>
      <c r="O43" s="2295"/>
      <c r="P43" s="3662"/>
      <c r="Q43" s="2218" t="str">
        <f t="shared" si="11"/>
        <v>内部装修</v>
      </c>
      <c r="R43" s="1350" t="s">
        <v>65</v>
      </c>
      <c r="S43" s="1351">
        <f t="shared" si="12"/>
        <v>100</v>
      </c>
      <c r="T43" s="1350" t="s">
        <v>65</v>
      </c>
      <c r="U43" s="1351">
        <f t="shared" si="13"/>
        <v>100</v>
      </c>
      <c r="V43" s="1350" t="s">
        <v>65</v>
      </c>
      <c r="W43" s="1351">
        <f t="shared" si="14"/>
        <v>100</v>
      </c>
      <c r="X43" s="2220"/>
      <c r="Y43" s="3664"/>
      <c r="Z43" s="2219" t="str">
        <f t="shared" si="15"/>
        <v>内部装修</v>
      </c>
      <c r="AA43" s="1353">
        <f t="shared" si="3"/>
        <v>1</v>
      </c>
      <c r="AB43" s="1353">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300"/>
      <c r="M44" s="2295"/>
      <c r="N44" s="2295"/>
      <c r="O44" s="2295"/>
      <c r="P44" s="3662"/>
      <c r="Q44" s="2218" t="str">
        <f t="shared" si="11"/>
        <v>内部装修维护情况</v>
      </c>
      <c r="R44" s="1350" t="s">
        <v>65</v>
      </c>
      <c r="S44" s="1351">
        <f t="shared" si="12"/>
        <v>100</v>
      </c>
      <c r="T44" s="1350" t="s">
        <v>65</v>
      </c>
      <c r="U44" s="1351">
        <f t="shared" si="13"/>
        <v>100</v>
      </c>
      <c r="V44" s="1350" t="s">
        <v>65</v>
      </c>
      <c r="W44" s="1351">
        <f t="shared" si="14"/>
        <v>100</v>
      </c>
      <c r="X44" s="2220"/>
      <c r="Y44" s="3664"/>
      <c r="Z44" s="2219" t="str">
        <f t="shared" si="15"/>
        <v>内部装修维护情况</v>
      </c>
      <c r="AA44" s="1353">
        <f t="shared" si="3"/>
        <v>1</v>
      </c>
      <c r="AB44" s="1353">
        <f t="shared" si="4"/>
        <v>1</v>
      </c>
      <c r="AC44" s="2336">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62"/>
      <c r="Q45" s="2211">
        <f t="shared" si="11"/>
        <v>111</v>
      </c>
      <c r="R45" s="1340" t="s">
        <v>65</v>
      </c>
      <c r="S45" s="1341">
        <f t="shared" si="12"/>
        <v>100</v>
      </c>
      <c r="T45" s="1340" t="s">
        <v>65</v>
      </c>
      <c r="U45" s="1341">
        <f t="shared" si="13"/>
        <v>100</v>
      </c>
      <c r="V45" s="1340" t="s">
        <v>65</v>
      </c>
      <c r="W45" s="1341">
        <f t="shared" si="14"/>
        <v>100</v>
      </c>
      <c r="X45" s="287"/>
      <c r="Y45" s="3664"/>
      <c r="Z45" s="2210">
        <f t="shared" si="15"/>
        <v>111</v>
      </c>
      <c r="AA45" s="1342">
        <f t="shared" si="3"/>
        <v>1</v>
      </c>
      <c r="AB45" s="1342">
        <f t="shared" si="4"/>
        <v>1</v>
      </c>
      <c r="AC45" s="2335">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62"/>
      <c r="Q46" s="2218">
        <f t="shared" si="11"/>
        <v>111</v>
      </c>
      <c r="R46" s="1350" t="s">
        <v>65</v>
      </c>
      <c r="S46" s="1351">
        <f t="shared" si="12"/>
        <v>100</v>
      </c>
      <c r="T46" s="1350" t="s">
        <v>65</v>
      </c>
      <c r="U46" s="1351">
        <f t="shared" si="13"/>
        <v>100</v>
      </c>
      <c r="V46" s="1350" t="s">
        <v>65</v>
      </c>
      <c r="W46" s="1351">
        <f t="shared" si="14"/>
        <v>100</v>
      </c>
      <c r="X46" s="2220"/>
      <c r="Y46" s="3664"/>
      <c r="Z46" s="2219">
        <f t="shared" si="15"/>
        <v>111</v>
      </c>
      <c r="AA46" s="1353">
        <f t="shared" si="3"/>
        <v>1</v>
      </c>
      <c r="AB46" s="1353">
        <f t="shared" si="4"/>
        <v>1</v>
      </c>
      <c r="AC46" s="2336">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63"/>
      <c r="Q47" s="2218">
        <f t="shared" si="11"/>
        <v>111</v>
      </c>
      <c r="R47" s="1350" t="s">
        <v>65</v>
      </c>
      <c r="S47" s="1351">
        <f t="shared" si="12"/>
        <v>100</v>
      </c>
      <c r="T47" s="1350" t="s">
        <v>65</v>
      </c>
      <c r="U47" s="1351">
        <f t="shared" si="13"/>
        <v>100</v>
      </c>
      <c r="V47" s="1350" t="s">
        <v>65</v>
      </c>
      <c r="W47" s="1351">
        <f t="shared" si="14"/>
        <v>100</v>
      </c>
      <c r="X47" s="2220"/>
      <c r="Y47" s="3665"/>
      <c r="Z47" s="2219">
        <f t="shared" si="15"/>
        <v>111</v>
      </c>
      <c r="AA47" s="1353">
        <f t="shared" si="3"/>
        <v>1</v>
      </c>
      <c r="AB47" s="1353">
        <f t="shared" si="4"/>
        <v>1</v>
      </c>
      <c r="AC47" s="2336">
        <f t="shared" si="5"/>
        <v>1</v>
      </c>
    </row>
    <row r="48" spans="1:29" ht="15">
      <c r="A48" s="163" t="s">
        <v>1033</v>
      </c>
      <c r="B48" s="164"/>
      <c r="C48" s="2832" t="s">
        <v>23</v>
      </c>
      <c r="D48" s="2833"/>
      <c r="E48" s="2834"/>
      <c r="F48" s="2835"/>
      <c r="G48" s="2836"/>
      <c r="H48" s="2837"/>
      <c r="I48" s="2834"/>
      <c r="J48" s="826"/>
      <c r="K48" s="1391"/>
      <c r="L48" s="2302"/>
      <c r="M48" s="2295"/>
      <c r="N48" s="2295"/>
      <c r="O48" s="2295"/>
      <c r="P48" s="3668" t="str">
        <f>A48</f>
        <v>成交单价（元/平方米）</v>
      </c>
      <c r="Q48" s="3657"/>
      <c r="R48" s="3658">
        <f>E48</f>
        <v>0</v>
      </c>
      <c r="S48" s="3658"/>
      <c r="T48" s="3658">
        <f>G48</f>
        <v>0</v>
      </c>
      <c r="U48" s="3658"/>
      <c r="V48" s="3658">
        <f>I48</f>
        <v>0</v>
      </c>
      <c r="W48" s="3658"/>
      <c r="X48" s="156"/>
      <c r="Y48" s="1364"/>
      <c r="Z48" s="156"/>
      <c r="AA48" s="156"/>
      <c r="AB48" s="156"/>
      <c r="AC48" s="209"/>
    </row>
    <row r="49" spans="1:29" ht="15.75" thickBot="1">
      <c r="A49" s="165" t="s">
        <v>1034</v>
      </c>
      <c r="B49" s="166"/>
      <c r="C49" s="2838" t="e">
        <f>R50</f>
        <v>#DIV/0!</v>
      </c>
      <c r="D49" s="2839"/>
      <c r="E49" s="2840" t="e">
        <f>R49</f>
        <v>#DIV/0!</v>
      </c>
      <c r="F49" s="2840"/>
      <c r="G49" s="2838" t="e">
        <f>T49</f>
        <v>#DIV/0!</v>
      </c>
      <c r="H49" s="2839"/>
      <c r="I49" s="2840" t="e">
        <f>V49</f>
        <v>#DIV/0!</v>
      </c>
      <c r="J49" s="830"/>
      <c r="K49" s="1392"/>
      <c r="L49" s="2302"/>
      <c r="M49" s="2295"/>
      <c r="N49" s="2295"/>
      <c r="O49" s="2295"/>
      <c r="P49" s="3668"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56"/>
      <c r="Y49" s="156"/>
      <c r="Z49" s="156"/>
      <c r="AA49" s="156"/>
      <c r="AB49" s="156"/>
      <c r="AC49" s="209"/>
    </row>
    <row r="50" spans="1:29" ht="15.75" thickBot="1">
      <c r="A50" s="115" t="s">
        <v>3013</v>
      </c>
      <c r="B50" s="116"/>
      <c r="C50" s="2842" t="e">
        <f>R50</f>
        <v>#DIV/0!</v>
      </c>
      <c r="D50" s="2842"/>
      <c r="E50" s="2842"/>
      <c r="F50" s="2842"/>
      <c r="G50" s="2842"/>
      <c r="H50" s="2842"/>
      <c r="I50" s="2842"/>
      <c r="J50" s="835"/>
      <c r="K50" s="1393"/>
      <c r="L50" s="2302"/>
      <c r="M50" s="2295"/>
      <c r="N50" s="2295"/>
      <c r="O50" s="2295"/>
      <c r="P50" s="3700" t="str">
        <f>A50</f>
        <v>估价对象XX用房的比较价值（楼面单价，元/平方米）</v>
      </c>
      <c r="Q50" s="3701"/>
      <c r="R50" s="3702" t="e">
        <f>IF(F1="售价",ROUND(AVERAGE(R49:V49),0),ROUND(AVERAGE(R49:V49),1))</f>
        <v>#DIV/0!</v>
      </c>
      <c r="S50" s="3702"/>
      <c r="T50" s="3702"/>
      <c r="U50" s="3702"/>
      <c r="V50" s="3702"/>
      <c r="W50" s="3702"/>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1003</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1004</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1005</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1035</v>
      </c>
      <c r="B58" s="1363"/>
      <c r="C58" s="1371"/>
      <c r="D58" s="1371"/>
      <c r="E58" s="1371"/>
      <c r="F58" s="1372"/>
      <c r="G58" s="1372"/>
      <c r="H58" s="1371"/>
      <c r="I58" s="1371"/>
      <c r="J58" s="1371"/>
      <c r="K58" s="1373"/>
      <c r="L58" s="2310"/>
      <c r="M58" s="2311"/>
      <c r="N58" s="2311"/>
      <c r="O58" s="2311"/>
      <c r="P58" s="2325"/>
      <c r="Q58" s="121"/>
    </row>
    <row r="59" spans="1:29" s="849" customFormat="1" ht="15">
      <c r="A59" s="846" t="s">
        <v>2790</v>
      </c>
      <c r="B59" s="847"/>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3"/>
      <c r="B60" s="1044"/>
      <c r="C60" s="3037">
        <v>100</v>
      </c>
      <c r="D60" s="853"/>
      <c r="E60" s="853"/>
      <c r="F60" s="853"/>
      <c r="G60" s="853"/>
      <c r="H60" s="853"/>
      <c r="I60" s="853"/>
      <c r="J60" s="853"/>
      <c r="K60" s="853"/>
      <c r="L60" s="853"/>
      <c r="M60" s="854"/>
      <c r="N60" s="853"/>
      <c r="O60" s="854"/>
      <c r="P60" s="2326"/>
    </row>
    <row r="61" spans="1:29" s="40" customFormat="1" ht="15" thickBot="1">
      <c r="A61" s="1045" t="s">
        <v>1036</v>
      </c>
      <c r="B61" s="1046"/>
      <c r="C61" s="858"/>
      <c r="D61" s="859"/>
      <c r="E61" s="859"/>
      <c r="F61" s="859"/>
      <c r="G61" s="859"/>
      <c r="H61" s="859"/>
      <c r="I61" s="859"/>
      <c r="J61" s="859"/>
      <c r="K61" s="859"/>
      <c r="L61" s="859"/>
      <c r="M61" s="860"/>
      <c r="N61" s="859"/>
      <c r="O61" s="860"/>
      <c r="P61" s="2326"/>
      <c r="Q61" s="121"/>
    </row>
    <row r="62" spans="1:29" s="40" customFormat="1">
      <c r="A62" s="1047" t="s">
        <v>1037</v>
      </c>
      <c r="B62" s="1044"/>
      <c r="C62" s="1048" t="s">
        <v>1038</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1039</v>
      </c>
      <c r="B64" s="286" t="s">
        <v>1040</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1041</v>
      </c>
      <c r="C66" s="880" t="s">
        <v>1006</v>
      </c>
      <c r="D66" s="880" t="s">
        <v>1007</v>
      </c>
      <c r="E66" s="880" t="s">
        <v>1008</v>
      </c>
      <c r="F66" s="880" t="s">
        <v>1009</v>
      </c>
      <c r="G66" s="880" t="s">
        <v>1010</v>
      </c>
      <c r="H66" s="880" t="s">
        <v>1011</v>
      </c>
      <c r="I66" s="880" t="s">
        <v>1012</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1042</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1043</v>
      </c>
      <c r="B77" s="286" t="s">
        <v>1093</v>
      </c>
      <c r="C77" s="914" t="s">
        <v>1013</v>
      </c>
      <c r="D77" s="914" t="s">
        <v>1014</v>
      </c>
      <c r="E77" s="914" t="s">
        <v>1015</v>
      </c>
      <c r="F77" s="914" t="s">
        <v>1016</v>
      </c>
      <c r="G77" s="914" t="s">
        <v>1017</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1050</v>
      </c>
      <c r="C79" s="919" t="s">
        <v>1013</v>
      </c>
      <c r="D79" s="919" t="s">
        <v>1014</v>
      </c>
      <c r="E79" s="919" t="s">
        <v>1015</v>
      </c>
      <c r="F79" s="919" t="s">
        <v>1102</v>
      </c>
      <c r="G79" s="919" t="s">
        <v>1017</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1013</v>
      </c>
      <c r="D81" s="919" t="s">
        <v>1014</v>
      </c>
      <c r="E81" s="919" t="s">
        <v>1015</v>
      </c>
      <c r="F81" s="919" t="s">
        <v>1016</v>
      </c>
      <c r="G81" s="919" t="s">
        <v>1017</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2660</v>
      </c>
      <c r="C83" s="213" t="s">
        <v>2653</v>
      </c>
      <c r="D83" s="213" t="s">
        <v>2654</v>
      </c>
      <c r="E83" s="213" t="s">
        <v>2655</v>
      </c>
      <c r="F83" s="213" t="s">
        <v>2656</v>
      </c>
      <c r="G83" s="213" t="s">
        <v>2657</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8"/>
      <c r="Q84" s="121"/>
    </row>
    <row r="85" spans="1:17" ht="15" thickTop="1">
      <c r="A85" s="173"/>
      <c r="B85" s="1052" t="s">
        <v>1094</v>
      </c>
      <c r="C85" s="919" t="s">
        <v>1013</v>
      </c>
      <c r="D85" s="919" t="s">
        <v>1014</v>
      </c>
      <c r="E85" s="919" t="s">
        <v>1015</v>
      </c>
      <c r="F85" s="919" t="s">
        <v>1016</v>
      </c>
      <c r="G85" s="919" t="s">
        <v>1017</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1095</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1053</v>
      </c>
      <c r="B101" s="286" t="s">
        <v>1096</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1055</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1056</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1057</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1097</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1098</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2635</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1060</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1061</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1063</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1064</v>
      </c>
      <c r="C125" s="919" t="s">
        <v>1013</v>
      </c>
      <c r="D125" s="919" t="s">
        <v>1014</v>
      </c>
      <c r="E125" s="919" t="s">
        <v>1015</v>
      </c>
      <c r="F125" s="919" t="s">
        <v>1016</v>
      </c>
      <c r="G125" s="919" t="s">
        <v>1017</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3" t="e">
        <f ca="1">IF(C2="——",ROUND(C43*D3/10000,0),ROUND(C43*D3/10000,0)-D2)</f>
        <v>#DIV/0!</v>
      </c>
      <c r="C2" s="3095"/>
      <c r="D2" s="2341"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1108</v>
      </c>
      <c r="B3" s="950" t="e">
        <f ca="1">IF(C2="——",C43,ROUND(B2*10000/D3,0))</f>
        <v>#DIV/0!</v>
      </c>
      <c r="C3" s="142" t="s">
        <v>1109</v>
      </c>
      <c r="D3" s="741">
        <f>IF(D1="",'数据-汇总表'!E3,SUMIF('数据-汇总表'!$C19:$C33,D1,'数据-汇总表'!$E19:$E33))</f>
        <v>28973.439999999999</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1110</v>
      </c>
      <c r="B4" s="144"/>
      <c r="C4" s="3672" t="s">
        <v>1111</v>
      </c>
      <c r="D4" s="3673"/>
      <c r="E4" s="3674" t="s">
        <v>1112</v>
      </c>
      <c r="F4" s="3675"/>
      <c r="G4" s="3672" t="s">
        <v>1113</v>
      </c>
      <c r="H4" s="3673"/>
      <c r="I4" s="3672" t="s">
        <v>1114</v>
      </c>
      <c r="J4" s="3673"/>
      <c r="K4" s="187" t="s">
        <v>1115</v>
      </c>
      <c r="L4" s="2294"/>
      <c r="M4" s="2295"/>
      <c r="N4" s="2295"/>
      <c r="O4" s="2295"/>
      <c r="P4" s="3676" t="s">
        <v>1110</v>
      </c>
      <c r="Q4" s="3677"/>
      <c r="R4" s="3682" t="s">
        <v>1112</v>
      </c>
      <c r="S4" s="3683"/>
      <c r="T4" s="3682" t="s">
        <v>1113</v>
      </c>
      <c r="U4" s="3683"/>
      <c r="V4" s="3688" t="s">
        <v>1114</v>
      </c>
      <c r="W4" s="3688"/>
      <c r="X4" s="1338"/>
      <c r="Y4" s="3682" t="s">
        <v>1110</v>
      </c>
      <c r="Z4" s="3683"/>
      <c r="AA4" s="3669" t="s">
        <v>1112</v>
      </c>
      <c r="AB4" s="3670" t="s">
        <v>1113</v>
      </c>
      <c r="AC4" s="3669" t="s">
        <v>1114</v>
      </c>
    </row>
    <row r="5" spans="1:29">
      <c r="A5" s="146"/>
      <c r="B5" s="147"/>
      <c r="C5" s="3691" t="s">
        <v>1116</v>
      </c>
      <c r="D5" s="3692"/>
      <c r="E5" s="3698" t="s">
        <v>1117</v>
      </c>
      <c r="F5" s="3699"/>
      <c r="G5" s="3691" t="s">
        <v>1118</v>
      </c>
      <c r="H5" s="3692"/>
      <c r="I5" s="3691" t="s">
        <v>1119</v>
      </c>
      <c r="J5" s="3692"/>
      <c r="K5" s="187"/>
      <c r="L5" s="2294"/>
      <c r="M5" s="2295"/>
      <c r="N5" s="2295"/>
      <c r="O5" s="2295"/>
      <c r="P5" s="3678"/>
      <c r="Q5" s="3679"/>
      <c r="R5" s="3684"/>
      <c r="S5" s="3685"/>
      <c r="T5" s="3684"/>
      <c r="U5" s="3685"/>
      <c r="V5" s="3688"/>
      <c r="W5" s="3688"/>
      <c r="X5" s="1338"/>
      <c r="Y5" s="3684"/>
      <c r="Z5" s="3685"/>
      <c r="AA5" s="3670"/>
      <c r="AB5" s="3670"/>
      <c r="AC5" s="3670"/>
    </row>
    <row r="6" spans="1:29" ht="14.25" thickBot="1">
      <c r="A6" s="148"/>
      <c r="B6" s="149"/>
      <c r="C6" s="3689" t="s">
        <v>1120</v>
      </c>
      <c r="D6" s="3690"/>
      <c r="E6" s="3696" t="s">
        <v>1120</v>
      </c>
      <c r="F6" s="3697"/>
      <c r="G6" s="3689" t="s">
        <v>1120</v>
      </c>
      <c r="H6" s="3690"/>
      <c r="I6" s="3689" t="s">
        <v>1120</v>
      </c>
      <c r="J6" s="3690"/>
      <c r="K6" s="187" t="s">
        <v>1121</v>
      </c>
      <c r="L6" s="2294"/>
      <c r="M6" s="2295"/>
      <c r="N6" s="2295"/>
      <c r="O6" s="2295"/>
      <c r="P6" s="3680"/>
      <c r="Q6" s="3681"/>
      <c r="R6" s="3684"/>
      <c r="S6" s="3685"/>
      <c r="T6" s="3686"/>
      <c r="U6" s="3687"/>
      <c r="V6" s="3688"/>
      <c r="W6" s="3688"/>
      <c r="X6" s="1338"/>
      <c r="Y6" s="3686"/>
      <c r="Z6" s="3687"/>
      <c r="AA6" s="3671"/>
      <c r="AB6" s="3671"/>
      <c r="AC6" s="3671"/>
    </row>
    <row r="7" spans="1:29" s="40" customFormat="1" ht="15" thickBot="1">
      <c r="A7" s="1012" t="s">
        <v>1122</v>
      </c>
      <c r="B7" s="1013"/>
      <c r="C7" s="752">
        <f>'数据-取费表'!B2</f>
        <v>42986</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693" t="s">
        <v>1122</v>
      </c>
      <c r="Q7" s="3695"/>
      <c r="R7" s="1340" t="s">
        <v>65</v>
      </c>
      <c r="S7" s="1341">
        <f t="shared" ref="S7:S15" si="0">F7</f>
        <v>0</v>
      </c>
      <c r="T7" s="1340" t="s">
        <v>65</v>
      </c>
      <c r="U7" s="1341">
        <f t="shared" ref="U7:U15" si="1">H7</f>
        <v>0</v>
      </c>
      <c r="V7" s="1340" t="s">
        <v>65</v>
      </c>
      <c r="W7" s="1341">
        <f t="shared" ref="W7:W15" si="2">J7</f>
        <v>0</v>
      </c>
      <c r="X7" s="287"/>
      <c r="Y7" s="3693" t="s">
        <v>1122</v>
      </c>
      <c r="Z7" s="3694"/>
      <c r="AA7" s="1342" t="e">
        <f>D7/F7</f>
        <v>#DIV/0!</v>
      </c>
      <c r="AB7" s="1342" t="e">
        <f>D7/H7</f>
        <v>#DIV/0!</v>
      </c>
      <c r="AC7" s="1342" t="e">
        <f>D7/J7</f>
        <v>#DIV/0!</v>
      </c>
    </row>
    <row r="8" spans="1:29" s="40" customFormat="1" ht="15" thickBot="1">
      <c r="A8" s="1012" t="s">
        <v>1123</v>
      </c>
      <c r="B8" s="1013"/>
      <c r="C8" s="1018" t="s">
        <v>155</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693" t="s">
        <v>1018</v>
      </c>
      <c r="Q8" s="3694"/>
      <c r="R8" s="1340" t="s">
        <v>65</v>
      </c>
      <c r="S8" s="1341">
        <f t="shared" si="0"/>
        <v>0</v>
      </c>
      <c r="T8" s="1340" t="s">
        <v>65</v>
      </c>
      <c r="U8" s="1341">
        <f t="shared" si="1"/>
        <v>0</v>
      </c>
      <c r="V8" s="1340" t="s">
        <v>65</v>
      </c>
      <c r="W8" s="1341">
        <f t="shared" si="2"/>
        <v>0</v>
      </c>
      <c r="X8" s="287"/>
      <c r="Y8" s="3693" t="s">
        <v>1018</v>
      </c>
      <c r="Z8" s="3694"/>
      <c r="AA8" s="1342" t="e">
        <f t="shared" ref="AA8:AA40" si="3">D8/F8</f>
        <v>#DIV/0!</v>
      </c>
      <c r="AB8" s="1342" t="e">
        <f t="shared" ref="AB8:AB40" si="4">D8/H8</f>
        <v>#DIV/0!</v>
      </c>
      <c r="AC8" s="1342" t="e">
        <f t="shared" ref="AC8:AC40" si="5">D8/J8</f>
        <v>#DIV/0!</v>
      </c>
    </row>
    <row r="9" spans="1:29" s="40" customFormat="1" ht="14.25">
      <c r="A9" s="1019" t="s">
        <v>1019</v>
      </c>
      <c r="B9" s="62" t="s">
        <v>1020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657" t="s">
        <v>67</v>
      </c>
      <c r="Q9" s="7" t="str">
        <f t="shared" ref="Q9:Q15" si="6">B9</f>
        <v>用途</v>
      </c>
      <c r="R9" s="1340" t="s">
        <v>65</v>
      </c>
      <c r="S9" s="1341">
        <f t="shared" si="0"/>
        <v>100</v>
      </c>
      <c r="T9" s="1340" t="s">
        <v>65</v>
      </c>
      <c r="U9" s="1341">
        <f t="shared" si="1"/>
        <v>100</v>
      </c>
      <c r="V9" s="1340" t="s">
        <v>65</v>
      </c>
      <c r="W9" s="1341">
        <f t="shared" si="2"/>
        <v>100</v>
      </c>
      <c r="X9" s="287"/>
      <c r="Y9" s="3473"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7"/>
      <c r="M10" s="2298"/>
      <c r="N10" s="2298"/>
      <c r="O10" s="2338"/>
      <c r="P10" s="3657"/>
      <c r="Q10" s="7" t="str">
        <f t="shared" si="6"/>
        <v>土地使用年限（年）</v>
      </c>
      <c r="R10" s="1340" t="s">
        <v>65</v>
      </c>
      <c r="S10" s="1341">
        <f t="shared" si="0"/>
        <v>100</v>
      </c>
      <c r="T10" s="1340" t="s">
        <v>65</v>
      </c>
      <c r="U10" s="1341">
        <f t="shared" si="1"/>
        <v>100</v>
      </c>
      <c r="V10" s="1340" t="s">
        <v>65</v>
      </c>
      <c r="W10" s="1341">
        <f t="shared" si="2"/>
        <v>100</v>
      </c>
      <c r="X10" s="287"/>
      <c r="Y10" s="3473"/>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9"/>
      <c r="M11" s="2295"/>
      <c r="N11" s="2295"/>
      <c r="O11" s="2339"/>
      <c r="P11" s="3657"/>
      <c r="Q11" s="7" t="str">
        <f t="shared" si="6"/>
        <v>容积率</v>
      </c>
      <c r="R11" s="1340" t="s">
        <v>65</v>
      </c>
      <c r="S11" s="1341" t="e">
        <f t="shared" si="0"/>
        <v>#N/A</v>
      </c>
      <c r="T11" s="1340" t="s">
        <v>65</v>
      </c>
      <c r="U11" s="1341" t="e">
        <f t="shared" si="1"/>
        <v>#N/A</v>
      </c>
      <c r="V11" s="1340" t="s">
        <v>65</v>
      </c>
      <c r="W11" s="1341" t="e">
        <f t="shared" si="2"/>
        <v>#N/A</v>
      </c>
      <c r="X11" s="287"/>
      <c r="Y11" s="3473"/>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657"/>
      <c r="Q12" s="7">
        <f t="shared" si="6"/>
        <v>111</v>
      </c>
      <c r="R12" s="1340" t="s">
        <v>65</v>
      </c>
      <c r="S12" s="1341">
        <f t="shared" si="0"/>
        <v>100</v>
      </c>
      <c r="T12" s="1340" t="s">
        <v>65</v>
      </c>
      <c r="U12" s="1341">
        <f t="shared" si="1"/>
        <v>100</v>
      </c>
      <c r="V12" s="1340" t="s">
        <v>65</v>
      </c>
      <c r="W12" s="1341">
        <f t="shared" si="2"/>
        <v>100</v>
      </c>
      <c r="X12" s="287"/>
      <c r="Y12" s="3473"/>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657"/>
      <c r="Q13" s="7">
        <f t="shared" si="6"/>
        <v>111</v>
      </c>
      <c r="R13" s="1340" t="s">
        <v>65</v>
      </c>
      <c r="S13" s="1341">
        <f t="shared" si="0"/>
        <v>100</v>
      </c>
      <c r="T13" s="1340" t="s">
        <v>65</v>
      </c>
      <c r="U13" s="1341">
        <f t="shared" si="1"/>
        <v>100</v>
      </c>
      <c r="V13" s="1340" t="s">
        <v>65</v>
      </c>
      <c r="W13" s="1341">
        <f t="shared" si="2"/>
        <v>100</v>
      </c>
      <c r="X13" s="287"/>
      <c r="Y13" s="3473"/>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657"/>
      <c r="Q14" s="7">
        <f t="shared" si="6"/>
        <v>111</v>
      </c>
      <c r="R14" s="1340" t="s">
        <v>65</v>
      </c>
      <c r="S14" s="1341">
        <f t="shared" si="0"/>
        <v>100</v>
      </c>
      <c r="T14" s="1340" t="s">
        <v>65</v>
      </c>
      <c r="U14" s="1341">
        <f t="shared" si="1"/>
        <v>100</v>
      </c>
      <c r="V14" s="1340" t="s">
        <v>65</v>
      </c>
      <c r="W14" s="1341">
        <f t="shared" si="2"/>
        <v>100</v>
      </c>
      <c r="X14" s="287"/>
      <c r="Y14" s="3473"/>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300"/>
      <c r="M15" s="2295"/>
      <c r="N15" s="2295"/>
      <c r="O15" s="2339"/>
      <c r="P15" s="3659" t="s">
        <v>69</v>
      </c>
      <c r="Q15" s="1349" t="str">
        <f t="shared" si="6"/>
        <v>产业集聚程度</v>
      </c>
      <c r="R15" s="1350" t="s">
        <v>65</v>
      </c>
      <c r="S15" s="1351">
        <f t="shared" si="0"/>
        <v>100</v>
      </c>
      <c r="T15" s="1350" t="s">
        <v>65</v>
      </c>
      <c r="U15" s="1351">
        <f t="shared" si="1"/>
        <v>100</v>
      </c>
      <c r="V15" s="1350" t="s">
        <v>65</v>
      </c>
      <c r="W15" s="1351">
        <f t="shared" si="2"/>
        <v>100</v>
      </c>
      <c r="X15" s="1338"/>
      <c r="Y15" s="3659"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660"/>
      <c r="Q16" s="1349"/>
      <c r="R16" s="1350"/>
      <c r="S16" s="1351"/>
      <c r="T16" s="1350"/>
      <c r="U16" s="1351"/>
      <c r="V16" s="1350"/>
      <c r="W16" s="1351"/>
      <c r="X16" s="1338"/>
      <c r="Y16" s="3660"/>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300"/>
      <c r="M17" s="2295"/>
      <c r="N17" s="2295"/>
      <c r="O17" s="2339"/>
      <c r="P17" s="3660"/>
      <c r="Q17" s="1349" t="str">
        <f>B17</f>
        <v>交通便捷度</v>
      </c>
      <c r="R17" s="1350" t="s">
        <v>65</v>
      </c>
      <c r="S17" s="1351">
        <f>F17</f>
        <v>100</v>
      </c>
      <c r="T17" s="1350" t="s">
        <v>65</v>
      </c>
      <c r="U17" s="1351">
        <f>H17</f>
        <v>100</v>
      </c>
      <c r="V17" s="1350" t="s">
        <v>65</v>
      </c>
      <c r="W17" s="1351">
        <f>J17</f>
        <v>100</v>
      </c>
      <c r="X17" s="1338"/>
      <c r="Y17" s="3660"/>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660"/>
      <c r="Q18" s="1349"/>
      <c r="R18" s="1350"/>
      <c r="S18" s="1351"/>
      <c r="T18" s="1350"/>
      <c r="U18" s="1351"/>
      <c r="V18" s="1350"/>
      <c r="W18" s="1351"/>
      <c r="X18" s="1338"/>
      <c r="Y18" s="3660"/>
      <c r="Z18" s="1352"/>
      <c r="AA18" s="1353">
        <v>1</v>
      </c>
      <c r="AB18" s="1353">
        <v>1</v>
      </c>
      <c r="AC18" s="1353">
        <v>1</v>
      </c>
    </row>
    <row r="19" spans="1:29" ht="40.5">
      <c r="A19" s="151"/>
      <c r="B19" s="1354" t="s">
        <v>2658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300"/>
      <c r="M19" s="2295"/>
      <c r="N19" s="2295"/>
      <c r="O19" s="2339"/>
      <c r="P19" s="3660"/>
      <c r="Q19" s="1349" t="str">
        <f>B19</f>
        <v>公共配套设施</v>
      </c>
      <c r="R19" s="1350" t="s">
        <v>65</v>
      </c>
      <c r="S19" s="1351">
        <f>F19</f>
        <v>100</v>
      </c>
      <c r="T19" s="1350" t="s">
        <v>65</v>
      </c>
      <c r="U19" s="1351">
        <f>H19</f>
        <v>100</v>
      </c>
      <c r="V19" s="1350" t="s">
        <v>65</v>
      </c>
      <c r="W19" s="1351">
        <f>J19</f>
        <v>100</v>
      </c>
      <c r="X19" s="1338"/>
      <c r="Y19" s="3660"/>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660"/>
      <c r="Q20" s="1349"/>
      <c r="R20" s="1350"/>
      <c r="S20" s="1351"/>
      <c r="T20" s="1350"/>
      <c r="U20" s="1351"/>
      <c r="V20" s="1350"/>
      <c r="W20" s="1351"/>
      <c r="X20" s="1338"/>
      <c r="Y20" s="3660"/>
      <c r="Z20" s="1352"/>
      <c r="AA20" s="1353">
        <v>1</v>
      </c>
      <c r="AB20" s="1353">
        <v>1</v>
      </c>
      <c r="AC20" s="1353">
        <v>1</v>
      </c>
    </row>
    <row r="21" spans="1:29" ht="40.5">
      <c r="A21" s="151"/>
      <c r="B21" s="1410" t="s">
        <v>2661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300"/>
      <c r="M21" s="2295"/>
      <c r="N21" s="2295"/>
      <c r="O21" s="2339"/>
      <c r="P21" s="3660"/>
      <c r="Q21" s="2745" t="str">
        <f>B21</f>
        <v>基础设施水平</v>
      </c>
      <c r="R21" s="1350" t="s">
        <v>65</v>
      </c>
      <c r="S21" s="1351">
        <f>F21</f>
        <v>100</v>
      </c>
      <c r="T21" s="1350" t="s">
        <v>65</v>
      </c>
      <c r="U21" s="1351">
        <f>H21</f>
        <v>100</v>
      </c>
      <c r="V21" s="1350" t="s">
        <v>65</v>
      </c>
      <c r="W21" s="1351">
        <f>J21</f>
        <v>100</v>
      </c>
      <c r="X21" s="2747"/>
      <c r="Y21" s="3660"/>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339"/>
      <c r="P22" s="3660"/>
      <c r="Q22" s="2745"/>
      <c r="R22" s="1350"/>
      <c r="S22" s="1351"/>
      <c r="T22" s="1350"/>
      <c r="U22" s="1351"/>
      <c r="V22" s="1350"/>
      <c r="W22" s="1351"/>
      <c r="X22" s="2747"/>
      <c r="Y22" s="3660"/>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300"/>
      <c r="M23" s="2295"/>
      <c r="N23" s="2295"/>
      <c r="O23" s="2339"/>
      <c r="P23" s="3660"/>
      <c r="Q23" s="1349" t="str">
        <f>B23</f>
        <v>环境质量</v>
      </c>
      <c r="R23" s="1350" t="s">
        <v>65</v>
      </c>
      <c r="S23" s="1351">
        <f>F23</f>
        <v>100</v>
      </c>
      <c r="T23" s="1350" t="s">
        <v>65</v>
      </c>
      <c r="U23" s="1351">
        <f>H23</f>
        <v>100</v>
      </c>
      <c r="V23" s="1350" t="s">
        <v>65</v>
      </c>
      <c r="W23" s="1351">
        <f>J23</f>
        <v>100</v>
      </c>
      <c r="X23" s="1338"/>
      <c r="Y23" s="3660"/>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660"/>
      <c r="Q24" s="1349"/>
      <c r="R24" s="1350"/>
      <c r="S24" s="1351"/>
      <c r="T24" s="1350"/>
      <c r="U24" s="1351"/>
      <c r="V24" s="1350"/>
      <c r="W24" s="1351"/>
      <c r="X24" s="1338"/>
      <c r="Y24" s="3660"/>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60"/>
      <c r="Q25" s="1349">
        <f>B25</f>
        <v>111</v>
      </c>
      <c r="R25" s="1350" t="s">
        <v>65</v>
      </c>
      <c r="S25" s="1351">
        <f>F25</f>
        <v>100</v>
      </c>
      <c r="T25" s="1350" t="s">
        <v>65</v>
      </c>
      <c r="U25" s="1351">
        <f>H25</f>
        <v>100</v>
      </c>
      <c r="V25" s="1350" t="s">
        <v>65</v>
      </c>
      <c r="W25" s="1351">
        <f>J25</f>
        <v>100</v>
      </c>
      <c r="X25" s="1338"/>
      <c r="Y25" s="3660"/>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60"/>
      <c r="Q26" s="1349">
        <f t="shared" ref="Q26:Q40" si="11">B26</f>
        <v>111</v>
      </c>
      <c r="R26" s="1350" t="s">
        <v>65</v>
      </c>
      <c r="S26" s="1351">
        <f>F26</f>
        <v>100</v>
      </c>
      <c r="T26" s="1350" t="s">
        <v>65</v>
      </c>
      <c r="U26" s="1351">
        <f>H26</f>
        <v>100</v>
      </c>
      <c r="V26" s="1350" t="s">
        <v>65</v>
      </c>
      <c r="W26" s="1351">
        <f>J26</f>
        <v>100</v>
      </c>
      <c r="X26" s="1338"/>
      <c r="Y26" s="3660"/>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96"/>
      <c r="M27" s="2258"/>
      <c r="N27" s="2258"/>
      <c r="O27" s="2337"/>
      <c r="P27" s="3660"/>
      <c r="Q27" s="7">
        <f t="shared" si="11"/>
        <v>111</v>
      </c>
      <c r="R27" s="1340" t="s">
        <v>65</v>
      </c>
      <c r="S27" s="1341">
        <f>F27</f>
        <v>100</v>
      </c>
      <c r="T27" s="1340" t="s">
        <v>65</v>
      </c>
      <c r="U27" s="1341">
        <f>H27</f>
        <v>100</v>
      </c>
      <c r="V27" s="1340" t="s">
        <v>65</v>
      </c>
      <c r="W27" s="1341">
        <f>J27</f>
        <v>100</v>
      </c>
      <c r="X27" s="287"/>
      <c r="Y27" s="3660"/>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660"/>
      <c r="Q28" s="1349">
        <f t="shared" si="11"/>
        <v>111</v>
      </c>
      <c r="R28" s="1350" t="s">
        <v>65</v>
      </c>
      <c r="S28" s="1351">
        <f t="shared" ref="S28:S40" si="12">F28</f>
        <v>100</v>
      </c>
      <c r="T28" s="1350" t="s">
        <v>65</v>
      </c>
      <c r="U28" s="1351">
        <f t="shared" ref="U28:U40" si="13">H28</f>
        <v>100</v>
      </c>
      <c r="V28" s="1350" t="s">
        <v>65</v>
      </c>
      <c r="W28" s="1351">
        <f t="shared" ref="W28:W40" si="14">J28</f>
        <v>100</v>
      </c>
      <c r="X28" s="1338"/>
      <c r="Y28" s="3660"/>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300"/>
      <c r="M29" s="2295"/>
      <c r="N29" s="2295"/>
      <c r="O29" s="2339"/>
      <c r="P29" s="3715" t="s">
        <v>1124</v>
      </c>
      <c r="Q29" s="1349" t="str">
        <f t="shared" si="11"/>
        <v>建筑类型</v>
      </c>
      <c r="R29" s="1350" t="s">
        <v>65</v>
      </c>
      <c r="S29" s="1351">
        <f t="shared" si="12"/>
        <v>100</v>
      </c>
      <c r="T29" s="1350" t="s">
        <v>65</v>
      </c>
      <c r="U29" s="1351">
        <f t="shared" si="13"/>
        <v>100</v>
      </c>
      <c r="V29" s="1350" t="s">
        <v>65</v>
      </c>
      <c r="W29" s="1351">
        <f t="shared" si="14"/>
        <v>100</v>
      </c>
      <c r="X29" s="1338"/>
      <c r="Y29" s="3664" t="s">
        <v>1124</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64"/>
      <c r="Q30" s="1357" t="str">
        <f t="shared" si="11"/>
        <v>项目建筑规模</v>
      </c>
      <c r="R30" s="1358" t="s">
        <v>65</v>
      </c>
      <c r="S30" s="1359" t="e">
        <f t="shared" si="12"/>
        <v>#N/A</v>
      </c>
      <c r="T30" s="1358" t="s">
        <v>65</v>
      </c>
      <c r="U30" s="1359" t="e">
        <f t="shared" si="13"/>
        <v>#N/A</v>
      </c>
      <c r="V30" s="1358" t="s">
        <v>65</v>
      </c>
      <c r="W30" s="1359" t="e">
        <f t="shared" si="14"/>
        <v>#N/A</v>
      </c>
      <c r="X30" s="1360"/>
      <c r="Y30" s="3664"/>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300"/>
      <c r="M31" s="2295"/>
      <c r="N31" s="2295"/>
      <c r="O31" s="2339"/>
      <c r="P31" s="3664"/>
      <c r="Q31" s="1349" t="str">
        <f t="shared" si="11"/>
        <v>建筑结构</v>
      </c>
      <c r="R31" s="1350" t="s">
        <v>65</v>
      </c>
      <c r="S31" s="1351">
        <f t="shared" si="12"/>
        <v>100</v>
      </c>
      <c r="T31" s="1350" t="s">
        <v>65</v>
      </c>
      <c r="U31" s="1351">
        <f t="shared" si="13"/>
        <v>100</v>
      </c>
      <c r="V31" s="1350" t="s">
        <v>65</v>
      </c>
      <c r="W31" s="1351">
        <f t="shared" si="14"/>
        <v>100</v>
      </c>
      <c r="X31" s="1338"/>
      <c r="Y31" s="3664"/>
      <c r="Z31" s="1352" t="str">
        <f t="shared" si="15"/>
        <v>建筑结构</v>
      </c>
      <c r="AA31" s="1353">
        <f t="shared" si="3"/>
        <v>1</v>
      </c>
      <c r="AB31" s="1353">
        <f t="shared" si="4"/>
        <v>1</v>
      </c>
      <c r="AC31" s="1353">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3"/>
      <c r="L32" s="2300"/>
      <c r="M32" s="2295"/>
      <c r="N32" s="2295"/>
      <c r="O32" s="2339"/>
      <c r="P32" s="3664"/>
      <c r="Q32" s="1349" t="str">
        <f t="shared" si="11"/>
        <v>公共部分装修</v>
      </c>
      <c r="R32" s="1350" t="s">
        <v>65</v>
      </c>
      <c r="S32" s="1351">
        <f t="shared" si="12"/>
        <v>100</v>
      </c>
      <c r="T32" s="1350" t="s">
        <v>65</v>
      </c>
      <c r="U32" s="1351">
        <f t="shared" si="13"/>
        <v>100</v>
      </c>
      <c r="V32" s="1350" t="s">
        <v>65</v>
      </c>
      <c r="W32" s="1351">
        <f t="shared" si="14"/>
        <v>100</v>
      </c>
      <c r="X32" s="1338"/>
      <c r="Y32" s="3664"/>
      <c r="Z32" s="1352" t="str">
        <f t="shared" si="15"/>
        <v>公共部分装修</v>
      </c>
      <c r="AA32" s="1353">
        <f t="shared" si="3"/>
        <v>1</v>
      </c>
      <c r="AB32" s="1353">
        <f t="shared" si="4"/>
        <v>1</v>
      </c>
      <c r="AC32" s="1353">
        <f t="shared" si="5"/>
        <v>1</v>
      </c>
    </row>
    <row r="33" spans="1:29" ht="15">
      <c r="A33" s="161"/>
      <c r="B33" s="12" t="s">
        <v>1027</v>
      </c>
      <c r="C33" s="810"/>
      <c r="D33" s="777">
        <v>100</v>
      </c>
      <c r="E33" s="815"/>
      <c r="F33" s="803" t="e">
        <f>LOOKUP(E33,98:98,99:99)-LOOKUP(C33,98:98,99:99)+100</f>
        <v>#N/A</v>
      </c>
      <c r="G33" s="815"/>
      <c r="H33" s="803" t="e">
        <f>LOOKUP(G33,98:98,99:99)-LOOKUP(C33,98:98,99:99)+100</f>
        <v>#N/A</v>
      </c>
      <c r="I33" s="815"/>
      <c r="J33" s="777" t="e">
        <f>LOOKUP(I33,98:98,99:99)-LOOKUP(C33,98:98,99:99)+100</f>
        <v>#N/A</v>
      </c>
      <c r="K33" s="953"/>
      <c r="L33" s="2300"/>
      <c r="M33" s="2295"/>
      <c r="N33" s="2295"/>
      <c r="O33" s="2339"/>
      <c r="P33" s="3664"/>
      <c r="Q33" s="1349" t="str">
        <f t="shared" si="11"/>
        <v>成新度</v>
      </c>
      <c r="R33" s="1350" t="s">
        <v>65</v>
      </c>
      <c r="S33" s="1351" t="e">
        <f t="shared" si="12"/>
        <v>#N/A</v>
      </c>
      <c r="T33" s="1350" t="s">
        <v>65</v>
      </c>
      <c r="U33" s="1351" t="e">
        <f t="shared" si="13"/>
        <v>#N/A</v>
      </c>
      <c r="V33" s="1350" t="s">
        <v>65</v>
      </c>
      <c r="W33" s="1351" t="e">
        <f t="shared" si="14"/>
        <v>#N/A</v>
      </c>
      <c r="X33" s="1338"/>
      <c r="Y33" s="3664"/>
      <c r="Z33" s="1352" t="str">
        <f t="shared" si="15"/>
        <v>成新度</v>
      </c>
      <c r="AA33" s="1353" t="e">
        <f t="shared" si="3"/>
        <v>#N/A</v>
      </c>
      <c r="AB33" s="1353" t="e">
        <f t="shared" si="4"/>
        <v>#N/A</v>
      </c>
      <c r="AC33" s="1353" t="e">
        <f t="shared" si="5"/>
        <v>#N/A</v>
      </c>
    </row>
    <row r="34" spans="1:29" s="40" customFormat="1" ht="15">
      <c r="A34" s="1039"/>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96"/>
      <c r="M34" s="2258"/>
      <c r="N34" s="2258"/>
      <c r="O34" s="2337"/>
      <c r="P34" s="3664"/>
      <c r="Q34" s="7" t="str">
        <f t="shared" si="11"/>
        <v>物业管理</v>
      </c>
      <c r="R34" s="1340" t="s">
        <v>65</v>
      </c>
      <c r="S34" s="1341">
        <f t="shared" si="12"/>
        <v>100</v>
      </c>
      <c r="T34" s="1340" t="s">
        <v>65</v>
      </c>
      <c r="U34" s="1341">
        <f t="shared" si="13"/>
        <v>100</v>
      </c>
      <c r="V34" s="1340" t="s">
        <v>65</v>
      </c>
      <c r="W34" s="1341">
        <f t="shared" si="14"/>
        <v>100</v>
      </c>
      <c r="X34" s="287"/>
      <c r="Y34" s="3664"/>
      <c r="Z34" s="288" t="str">
        <f t="shared" si="15"/>
        <v>物业管理</v>
      </c>
      <c r="AA34" s="1342">
        <f t="shared" si="3"/>
        <v>1</v>
      </c>
      <c r="AB34" s="1342">
        <f t="shared" si="4"/>
        <v>1</v>
      </c>
      <c r="AC34" s="1342">
        <f t="shared" si="5"/>
        <v>1</v>
      </c>
    </row>
    <row r="35" spans="1:29" ht="15">
      <c r="A35" s="161"/>
      <c r="B35" s="12" t="s">
        <v>2651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300"/>
      <c r="M35" s="2295"/>
      <c r="N35" s="2295"/>
      <c r="O35" s="2339"/>
      <c r="P35" s="3664" t="s">
        <v>70</v>
      </c>
      <c r="Q35" s="1349" t="str">
        <f t="shared" si="11"/>
        <v>市政基础设施</v>
      </c>
      <c r="R35" s="1350" t="s">
        <v>65</v>
      </c>
      <c r="S35" s="1351">
        <f t="shared" si="12"/>
        <v>100</v>
      </c>
      <c r="T35" s="1350" t="s">
        <v>65</v>
      </c>
      <c r="U35" s="1351">
        <f t="shared" si="13"/>
        <v>100</v>
      </c>
      <c r="V35" s="1350" t="s">
        <v>65</v>
      </c>
      <c r="W35" s="1351">
        <f t="shared" si="14"/>
        <v>100</v>
      </c>
      <c r="X35" s="1338"/>
      <c r="Y35" s="3664"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300"/>
      <c r="M36" s="2295"/>
      <c r="N36" s="2295"/>
      <c r="O36" s="2339"/>
      <c r="P36" s="3664"/>
      <c r="Q36" s="1349" t="str">
        <f t="shared" si="11"/>
        <v>内部装修</v>
      </c>
      <c r="R36" s="1350" t="s">
        <v>65</v>
      </c>
      <c r="S36" s="1351">
        <f t="shared" si="12"/>
        <v>100</v>
      </c>
      <c r="T36" s="1350" t="s">
        <v>65</v>
      </c>
      <c r="U36" s="1351">
        <f t="shared" si="13"/>
        <v>100</v>
      </c>
      <c r="V36" s="1350" t="s">
        <v>65</v>
      </c>
      <c r="W36" s="1351">
        <f t="shared" si="14"/>
        <v>100</v>
      </c>
      <c r="X36" s="1338"/>
      <c r="Y36" s="3664"/>
      <c r="Z36" s="1352" t="str">
        <f t="shared" si="15"/>
        <v>内部装修</v>
      </c>
      <c r="AA36" s="1353">
        <f t="shared" si="3"/>
        <v>1</v>
      </c>
      <c r="AB36" s="1353">
        <f t="shared" si="4"/>
        <v>1</v>
      </c>
      <c r="AC36" s="1353">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300"/>
      <c r="M37" s="2295"/>
      <c r="N37" s="2295"/>
      <c r="O37" s="2339"/>
      <c r="P37" s="3664"/>
      <c r="Q37" s="1349" t="str">
        <f t="shared" si="11"/>
        <v>内部装修状况</v>
      </c>
      <c r="R37" s="1350" t="s">
        <v>65</v>
      </c>
      <c r="S37" s="1351">
        <f t="shared" si="12"/>
        <v>100</v>
      </c>
      <c r="T37" s="1350" t="s">
        <v>65</v>
      </c>
      <c r="U37" s="1351">
        <f t="shared" si="13"/>
        <v>100</v>
      </c>
      <c r="V37" s="1350" t="s">
        <v>65</v>
      </c>
      <c r="W37" s="1351">
        <f t="shared" si="14"/>
        <v>100</v>
      </c>
      <c r="X37" s="1338"/>
      <c r="Y37" s="3664"/>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664"/>
      <c r="Q38" s="1357">
        <f t="shared" si="11"/>
        <v>111</v>
      </c>
      <c r="R38" s="1358" t="s">
        <v>65</v>
      </c>
      <c r="S38" s="1359">
        <f t="shared" si="12"/>
        <v>100</v>
      </c>
      <c r="T38" s="1358" t="s">
        <v>65</v>
      </c>
      <c r="U38" s="1359">
        <f t="shared" si="13"/>
        <v>100</v>
      </c>
      <c r="V38" s="1358" t="s">
        <v>65</v>
      </c>
      <c r="W38" s="1359">
        <f t="shared" si="14"/>
        <v>100</v>
      </c>
      <c r="X38" s="1360"/>
      <c r="Y38" s="3664"/>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664"/>
      <c r="Q39" s="1349">
        <f t="shared" si="11"/>
        <v>111</v>
      </c>
      <c r="R39" s="1350" t="s">
        <v>65</v>
      </c>
      <c r="S39" s="1351">
        <f t="shared" si="12"/>
        <v>100</v>
      </c>
      <c r="T39" s="1350" t="s">
        <v>65</v>
      </c>
      <c r="U39" s="1351">
        <f t="shared" si="13"/>
        <v>100</v>
      </c>
      <c r="V39" s="1350" t="s">
        <v>65</v>
      </c>
      <c r="W39" s="1351">
        <f t="shared" si="14"/>
        <v>100</v>
      </c>
      <c r="X39" s="1338"/>
      <c r="Y39" s="3664"/>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665"/>
      <c r="Q40" s="1349">
        <f t="shared" si="11"/>
        <v>111</v>
      </c>
      <c r="R40" s="1350" t="s">
        <v>65</v>
      </c>
      <c r="S40" s="1351">
        <f t="shared" si="12"/>
        <v>100</v>
      </c>
      <c r="T40" s="1350" t="s">
        <v>65</v>
      </c>
      <c r="U40" s="1351">
        <f t="shared" si="13"/>
        <v>100</v>
      </c>
      <c r="V40" s="1350" t="s">
        <v>65</v>
      </c>
      <c r="W40" s="1351">
        <f t="shared" si="14"/>
        <v>100</v>
      </c>
      <c r="X40" s="1338"/>
      <c r="Y40" s="3665"/>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57" t="str">
        <f>A41</f>
        <v>成交单价（元/平方米）</v>
      </c>
      <c r="Q41" s="3657"/>
      <c r="R41" s="3658">
        <f>E41</f>
        <v>0</v>
      </c>
      <c r="S41" s="3658"/>
      <c r="T41" s="3658">
        <f>G41</f>
        <v>0</v>
      </c>
      <c r="U41" s="3658"/>
      <c r="V41" s="3658">
        <f>I41</f>
        <v>0</v>
      </c>
      <c r="W41" s="3658"/>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363"/>
      <c r="Y42" s="1363"/>
      <c r="Z42" s="1363"/>
      <c r="AA42" s="1363"/>
      <c r="AB42" s="1363"/>
      <c r="AC42" s="1363"/>
    </row>
    <row r="43" spans="1:29" ht="15.75" thickBot="1">
      <c r="A43" s="115" t="s">
        <v>3013</v>
      </c>
      <c r="B43" s="116"/>
      <c r="C43" s="2842" t="e">
        <f>R43</f>
        <v>#DIV/0!</v>
      </c>
      <c r="D43" s="2842"/>
      <c r="E43" s="2842"/>
      <c r="F43" s="2842"/>
      <c r="G43" s="2842"/>
      <c r="H43" s="2842"/>
      <c r="I43" s="2842"/>
      <c r="J43" s="2842"/>
      <c r="K43" s="1393"/>
      <c r="L43" s="2302"/>
      <c r="M43" s="2303"/>
      <c r="N43" s="2303"/>
      <c r="O43" s="2303"/>
      <c r="P43" s="3654" t="str">
        <f>A43</f>
        <v>估价对象XX用房的比较价值（楼面单价，元/平方米）</v>
      </c>
      <c r="Q43" s="3655"/>
      <c r="R43" s="3656" t="e">
        <f>IF(F1="售价",ROUND(AVERAGE(R42:V42),0),ROUND(AVERAGE(R42:V42),1))</f>
        <v>#DIV/0!</v>
      </c>
      <c r="S43" s="3656"/>
      <c r="T43" s="3656"/>
      <c r="U43" s="3656"/>
      <c r="V43" s="3656"/>
      <c r="W43" s="3656"/>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2790</v>
      </c>
      <c r="B52" s="847"/>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1006</v>
      </c>
      <c r="D59" s="880" t="s">
        <v>1007</v>
      </c>
      <c r="E59" s="880" t="s">
        <v>1008</v>
      </c>
      <c r="F59" s="880" t="s">
        <v>1009</v>
      </c>
      <c r="G59" s="880" t="s">
        <v>1010</v>
      </c>
      <c r="H59" s="880" t="s">
        <v>1011</v>
      </c>
      <c r="I59" s="880" t="s">
        <v>1012</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158</v>
      </c>
      <c r="C70" s="914" t="s">
        <v>1013</v>
      </c>
      <c r="D70" s="914" t="s">
        <v>1014</v>
      </c>
      <c r="E70" s="914" t="s">
        <v>1015</v>
      </c>
      <c r="F70" s="914" t="s">
        <v>1016</v>
      </c>
      <c r="G70" s="914" t="s">
        <v>1017</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1013</v>
      </c>
      <c r="D72" s="919" t="s">
        <v>1014</v>
      </c>
      <c r="E72" s="919" t="s">
        <v>1015</v>
      </c>
      <c r="F72" s="919" t="s">
        <v>1016</v>
      </c>
      <c r="G72" s="919" t="s">
        <v>1017</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2633</v>
      </c>
      <c r="C74" s="919" t="s">
        <v>1013</v>
      </c>
      <c r="D74" s="919" t="s">
        <v>1014</v>
      </c>
      <c r="E74" s="919" t="s">
        <v>1015</v>
      </c>
      <c r="F74" s="919" t="s">
        <v>1016</v>
      </c>
      <c r="G74" s="919" t="s">
        <v>1017</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2661</v>
      </c>
      <c r="C76" s="213" t="s">
        <v>2653</v>
      </c>
      <c r="D76" s="213" t="s">
        <v>2654</v>
      </c>
      <c r="E76" s="213" t="s">
        <v>2655</v>
      </c>
      <c r="F76" s="213" t="s">
        <v>2656</v>
      </c>
      <c r="G76" s="213" t="s">
        <v>2657</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1013</v>
      </c>
      <c r="D78" s="919" t="s">
        <v>1014</v>
      </c>
      <c r="E78" s="919" t="s">
        <v>1015</v>
      </c>
      <c r="F78" s="919" t="s">
        <v>1016</v>
      </c>
      <c r="G78" s="919" t="s">
        <v>1017</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1013</v>
      </c>
      <c r="D106" s="919" t="s">
        <v>1014</v>
      </c>
      <c r="E106" s="919" t="s">
        <v>1015</v>
      </c>
      <c r="F106" s="919" t="s">
        <v>1016</v>
      </c>
      <c r="G106" s="919" t="s">
        <v>1017</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5" t="str">
        <f>项目基本情况!B5&amp;"："</f>
        <v>：</v>
      </c>
    </row>
    <row r="4" spans="1:1" ht="37.5">
      <c r="A4" s="1946" t="str">
        <f>"受贵公司委托，我公司对"&amp;项目基本情况!S1&amp;"进行了预评估。"</f>
        <v>受贵公司委托，我公司对北京市怀柔区杨宋镇凤翔二园1号1-7幢房地产抵押价值进行了预评估。</v>
      </c>
    </row>
    <row r="5" spans="1:1" ht="18.75">
      <c r="A5" s="1947" t="s">
        <v>2007</v>
      </c>
    </row>
    <row r="6" spans="1:1" ht="18.75">
      <c r="A6" s="3050" t="s">
        <v>2866</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1" ht="56.25">
      <c r="A8" s="1990" t="s">
        <v>2860</v>
      </c>
    </row>
    <row r="9" spans="1:1" ht="18.75">
      <c r="A9" s="3050" t="s">
        <v>2867</v>
      </c>
    </row>
    <row r="10" spans="1:1" ht="93.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1" spans="1:1" ht="75">
      <c r="A11" s="1990" t="s">
        <v>2901</v>
      </c>
    </row>
    <row r="12" spans="1:1" ht="18.75">
      <c r="A12" s="1947" t="s">
        <v>2008</v>
      </c>
    </row>
    <row r="13" spans="1:1" ht="38.25" customHeight="1">
      <c r="A13" s="1948" t="str">
        <f>IF(项目基本情况!B8="抵押",IF(项目基本情况!B5=项目基本情况!B6,定义!C51,定义!B51),定义!D51)</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2017年9月8日（评估专业人员实地查勘之日）</v>
      </c>
    </row>
    <row r="16" spans="1:1" ht="18.75">
      <c r="A16" s="1949" t="s">
        <v>2011</v>
      </c>
    </row>
    <row r="17" spans="1:1" ht="75">
      <c r="A17" s="1946" t="s">
        <v>2861</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2106</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445</v>
      </c>
      <c r="B2" s="2843" t="e">
        <f ca="1">IF(C2="——",IF(B37="元/平方米",ROUND(C39*D3/10000,0),ROUND(F3*C39/10000,0)),IF(B37="元/平方米",ROUND(C39*D3/10000,0),ROUND(F3*C39/10000,0))-D2)</f>
        <v>#DIV/0!</v>
      </c>
      <c r="C2" s="3095"/>
      <c r="D2" s="2341" t="e">
        <f ca="1">SUMIF(INDIRECT("'"&amp;F2&amp;"'"&amp;"!A:A"),"承租人权益价值",INDIRECT("'"&amp;F2&amp;"'"&amp;"!c:c"))</f>
        <v>#REF!</v>
      </c>
      <c r="E2" s="3096" t="s">
        <v>865</v>
      </c>
      <c r="F2" s="3097"/>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0" customFormat="1" ht="28.5" customHeight="1" thickBot="1">
      <c r="A3" s="578" t="s">
        <v>446</v>
      </c>
      <c r="B3" s="950" t="e">
        <f ca="1">IF(AND(C2="——",B37="元/平方米"),C39,ROUND(B2*10000/D3,0))</f>
        <v>#DIV/0!</v>
      </c>
      <c r="C3" s="742" t="s">
        <v>447</v>
      </c>
      <c r="D3" s="741">
        <f>SUMIF('数据-汇总表'!$C19:$C33,D1,'数据-汇总表'!$E19:$E33)</f>
        <v>0</v>
      </c>
      <c r="E3" s="742" t="s">
        <v>2129</v>
      </c>
      <c r="F3" s="741">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3" t="s">
        <v>448</v>
      </c>
      <c r="B4" s="744"/>
      <c r="C4" s="3728" t="s">
        <v>449</v>
      </c>
      <c r="D4" s="3729"/>
      <c r="E4" s="3730" t="s">
        <v>450</v>
      </c>
      <c r="F4" s="3731"/>
      <c r="G4" s="3728" t="s">
        <v>451</v>
      </c>
      <c r="H4" s="3729"/>
      <c r="I4" s="3728" t="s">
        <v>452</v>
      </c>
      <c r="J4" s="3729"/>
      <c r="K4" s="951" t="s">
        <v>453</v>
      </c>
      <c r="L4" s="2347"/>
      <c r="M4" s="2348"/>
      <c r="N4" s="2348"/>
      <c r="O4" s="2348"/>
      <c r="P4" s="3732" t="s">
        <v>454</v>
      </c>
      <c r="Q4" s="3733"/>
      <c r="R4" s="3738" t="s">
        <v>450</v>
      </c>
      <c r="S4" s="3739"/>
      <c r="T4" s="3738" t="s">
        <v>451</v>
      </c>
      <c r="U4" s="3739"/>
      <c r="V4" s="3744" t="s">
        <v>452</v>
      </c>
      <c r="W4" s="3744"/>
      <c r="X4" s="2829"/>
      <c r="Y4" s="3738" t="s">
        <v>454</v>
      </c>
      <c r="Z4" s="3739"/>
      <c r="AA4" s="3725" t="s">
        <v>450</v>
      </c>
      <c r="AB4" s="3726" t="s">
        <v>451</v>
      </c>
      <c r="AC4" s="3725" t="s">
        <v>452</v>
      </c>
    </row>
    <row r="5" spans="1:29" ht="15">
      <c r="A5" s="746"/>
      <c r="B5" s="747"/>
      <c r="C5" s="3747" t="s">
        <v>3014</v>
      </c>
      <c r="D5" s="3748"/>
      <c r="E5" s="3754" t="s">
        <v>3015</v>
      </c>
      <c r="F5" s="3755"/>
      <c r="G5" s="3747" t="s">
        <v>3016</v>
      </c>
      <c r="H5" s="3748"/>
      <c r="I5" s="3747" t="s">
        <v>3017</v>
      </c>
      <c r="J5" s="3748"/>
      <c r="K5" s="951"/>
      <c r="L5" s="2347"/>
      <c r="M5" s="2348"/>
      <c r="N5" s="2348"/>
      <c r="O5" s="2348"/>
      <c r="P5" s="3734"/>
      <c r="Q5" s="3735"/>
      <c r="R5" s="3740"/>
      <c r="S5" s="3741"/>
      <c r="T5" s="3740"/>
      <c r="U5" s="3741"/>
      <c r="V5" s="3744"/>
      <c r="W5" s="3744"/>
      <c r="X5" s="2829"/>
      <c r="Y5" s="3740"/>
      <c r="Z5" s="3741"/>
      <c r="AA5" s="3726"/>
      <c r="AB5" s="3726"/>
      <c r="AC5" s="3726"/>
    </row>
    <row r="6" spans="1:29" ht="15.75" thickBot="1">
      <c r="A6" s="748"/>
      <c r="B6" s="749"/>
      <c r="C6" s="3745" t="s">
        <v>3018</v>
      </c>
      <c r="D6" s="3746"/>
      <c r="E6" s="3752" t="s">
        <v>3018</v>
      </c>
      <c r="F6" s="3753"/>
      <c r="G6" s="3745" t="s">
        <v>3018</v>
      </c>
      <c r="H6" s="3746"/>
      <c r="I6" s="3745" t="s">
        <v>3018</v>
      </c>
      <c r="J6" s="3746"/>
      <c r="K6" s="951" t="s">
        <v>396</v>
      </c>
      <c r="L6" s="2347"/>
      <c r="M6" s="2348"/>
      <c r="N6" s="2348"/>
      <c r="O6" s="2348"/>
      <c r="P6" s="3736"/>
      <c r="Q6" s="3737"/>
      <c r="R6" s="3740"/>
      <c r="S6" s="3741"/>
      <c r="T6" s="3742"/>
      <c r="U6" s="3743"/>
      <c r="V6" s="3744"/>
      <c r="W6" s="3744"/>
      <c r="X6" s="2829"/>
      <c r="Y6" s="3742"/>
      <c r="Z6" s="3743"/>
      <c r="AA6" s="3727"/>
      <c r="AB6" s="3727"/>
      <c r="AC6" s="3727"/>
    </row>
    <row r="7" spans="1:29" s="406" customFormat="1" ht="15.75" thickBot="1">
      <c r="A7" s="750" t="s">
        <v>397</v>
      </c>
      <c r="B7" s="751"/>
      <c r="C7" s="752">
        <f>'数据-取费表'!B2</f>
        <v>42986</v>
      </c>
      <c r="D7" s="753">
        <v>100</v>
      </c>
      <c r="E7" s="754"/>
      <c r="F7" s="755">
        <f>SUMIF(48:48,YEAR(E7)&amp;"-"&amp;MONTH(E7),49:49)</f>
        <v>0</v>
      </c>
      <c r="G7" s="754"/>
      <c r="H7" s="753">
        <f>SUMIF(48:48,YEAR(G7)&amp;"-"&amp;MONTH(G7),49:49)</f>
        <v>0</v>
      </c>
      <c r="I7" s="754"/>
      <c r="J7" s="753">
        <f>SUMIF(48:48,YEAR(I7)&amp;"-"&amp;MONTH(I7),49:49)</f>
        <v>0</v>
      </c>
      <c r="K7" s="952"/>
      <c r="L7" s="2349"/>
      <c r="M7" s="2350"/>
      <c r="N7" s="2350"/>
      <c r="O7" s="2350"/>
      <c r="P7" s="3749" t="s">
        <v>398</v>
      </c>
      <c r="Q7" s="3751"/>
      <c r="R7" s="1317" t="s">
        <v>65</v>
      </c>
      <c r="S7" s="1318">
        <f t="shared" ref="S7:S14" si="0">F7</f>
        <v>0</v>
      </c>
      <c r="T7" s="1317" t="s">
        <v>65</v>
      </c>
      <c r="U7" s="1318">
        <f t="shared" ref="U7:U14" si="1">H7</f>
        <v>0</v>
      </c>
      <c r="V7" s="1317" t="s">
        <v>65</v>
      </c>
      <c r="W7" s="1318">
        <f t="shared" ref="W7:W14" si="2">J7</f>
        <v>0</v>
      </c>
      <c r="X7" s="1319"/>
      <c r="Y7" s="3749" t="s">
        <v>398</v>
      </c>
      <c r="Z7" s="3750"/>
      <c r="AA7" s="1320" t="e">
        <f>D7/F7</f>
        <v>#DIV/0!</v>
      </c>
      <c r="AB7" s="1320" t="e">
        <f>D7/H7</f>
        <v>#DIV/0!</v>
      </c>
      <c r="AC7" s="1320" t="e">
        <f>D7/J7</f>
        <v>#DIV/0!</v>
      </c>
    </row>
    <row r="8" spans="1:29" s="406" customFormat="1" ht="15.75" thickBot="1">
      <c r="A8" s="750" t="s">
        <v>399</v>
      </c>
      <c r="B8" s="751"/>
      <c r="C8" s="756" t="s">
        <v>416</v>
      </c>
      <c r="D8" s="753">
        <v>100</v>
      </c>
      <c r="E8" s="756"/>
      <c r="F8" s="755">
        <f>SUMIF(51:51,E8,52:52)-SUMIF(51:51,C8,52:52)+100</f>
        <v>0</v>
      </c>
      <c r="G8" s="756"/>
      <c r="H8" s="753">
        <f>SUMIF(51:51,G8,52:52)-SUMIF(51:51,C8,52:52)+100</f>
        <v>0</v>
      </c>
      <c r="I8" s="756"/>
      <c r="J8" s="753">
        <f>SUMIF(51:51,I8,52:52)-SUMIF(51:51,C8,52:52)+100</f>
        <v>0</v>
      </c>
      <c r="K8" s="952"/>
      <c r="L8" s="2349"/>
      <c r="M8" s="2350"/>
      <c r="N8" s="2350"/>
      <c r="O8" s="2350"/>
      <c r="P8" s="3749" t="s">
        <v>434</v>
      </c>
      <c r="Q8" s="3750"/>
      <c r="R8" s="1317" t="s">
        <v>65</v>
      </c>
      <c r="S8" s="1318">
        <f t="shared" si="0"/>
        <v>0</v>
      </c>
      <c r="T8" s="1317" t="s">
        <v>65</v>
      </c>
      <c r="U8" s="1318">
        <f t="shared" si="1"/>
        <v>0</v>
      </c>
      <c r="V8" s="1317" t="s">
        <v>65</v>
      </c>
      <c r="W8" s="1318">
        <f t="shared" si="2"/>
        <v>0</v>
      </c>
      <c r="X8" s="1319"/>
      <c r="Y8" s="3749" t="s">
        <v>434</v>
      </c>
      <c r="Z8" s="3750"/>
      <c r="AA8" s="1320" t="e">
        <f t="shared" ref="AA8:AA36" si="3">D8/F8</f>
        <v>#DIV/0!</v>
      </c>
      <c r="AB8" s="1320" t="e">
        <f t="shared" ref="AB8:AB36" si="4">D8/H8</f>
        <v>#DIV/0!</v>
      </c>
      <c r="AC8" s="1320" t="e">
        <f t="shared" ref="AC8:AC36" si="5">D8/J8</f>
        <v>#DIV/0!</v>
      </c>
    </row>
    <row r="9" spans="1:29" s="406" customFormat="1">
      <c r="A9" s="357" t="s">
        <v>400</v>
      </c>
      <c r="B9" s="981" t="s">
        <v>418</v>
      </c>
      <c r="C9" s="758"/>
      <c r="D9" s="424">
        <v>100</v>
      </c>
      <c r="E9" s="761"/>
      <c r="F9" s="424">
        <f>SUMIF(53:53,E9,54:54)-SUMIF(53:53,C9,54:54)+100</f>
        <v>100</v>
      </c>
      <c r="G9" s="759"/>
      <c r="H9" s="424">
        <f>SUMIF(53:53,G9,54:54)-SUMIF(53:53,C9,54:54)+100</f>
        <v>100</v>
      </c>
      <c r="I9" s="759"/>
      <c r="J9" s="424">
        <f>SUMIF(53:53,I9,54:54)-SUMIF(53:53,C9,54:54)+100</f>
        <v>100</v>
      </c>
      <c r="K9" s="952"/>
      <c r="L9" s="2349"/>
      <c r="M9" s="2350"/>
      <c r="N9" s="2350"/>
      <c r="O9" s="2350"/>
      <c r="P9" s="3716" t="s">
        <v>401</v>
      </c>
      <c r="Q9" s="2828" t="str">
        <f t="shared" ref="Q9:Q14" si="6">B9</f>
        <v>用途</v>
      </c>
      <c r="R9" s="1317" t="s">
        <v>65</v>
      </c>
      <c r="S9" s="1318">
        <f t="shared" si="0"/>
        <v>100</v>
      </c>
      <c r="T9" s="1317" t="s">
        <v>65</v>
      </c>
      <c r="U9" s="1318">
        <f t="shared" si="1"/>
        <v>100</v>
      </c>
      <c r="V9" s="1317" t="s">
        <v>65</v>
      </c>
      <c r="W9" s="1318">
        <f t="shared" si="2"/>
        <v>100</v>
      </c>
      <c r="X9" s="1319"/>
      <c r="Y9" s="3522" t="s">
        <v>402</v>
      </c>
      <c r="Z9" s="343" t="str">
        <f t="shared" ref="Z9:Z14" si="7">Q9</f>
        <v>用途</v>
      </c>
      <c r="AA9" s="1320">
        <f t="shared" si="3"/>
        <v>1</v>
      </c>
      <c r="AB9" s="1320">
        <f t="shared" si="4"/>
        <v>1</v>
      </c>
      <c r="AC9" s="1320">
        <f t="shared" si="5"/>
        <v>1</v>
      </c>
    </row>
    <row r="10" spans="1:29" s="769" customFormat="1" ht="27">
      <c r="A10" s="982"/>
      <c r="B10" s="983" t="s">
        <v>403</v>
      </c>
      <c r="C10" s="765"/>
      <c r="D10" s="425">
        <v>100</v>
      </c>
      <c r="E10" s="765"/>
      <c r="F10" s="425">
        <f>SUMIF(55:55,E10,56:56)-SUMIF(55:55,C10,56:56)+100</f>
        <v>100</v>
      </c>
      <c r="G10" s="766"/>
      <c r="H10" s="425">
        <f>SUMIF(55:55,G10,56:56)-SUMIF(55:55,C10,56:56)+100</f>
        <v>100</v>
      </c>
      <c r="I10" s="765"/>
      <c r="J10" s="425">
        <f>SUMIF(55:55,I10,56:56)-SUMIF(55:55,C10,56:56)+100</f>
        <v>100</v>
      </c>
      <c r="K10" s="953"/>
      <c r="L10" s="2352"/>
      <c r="M10" s="2353"/>
      <c r="N10" s="2353"/>
      <c r="O10" s="2353"/>
      <c r="P10" s="3716"/>
      <c r="Q10" s="2828" t="str">
        <f t="shared" si="6"/>
        <v>土地使用年限（年）</v>
      </c>
      <c r="R10" s="1317" t="s">
        <v>65</v>
      </c>
      <c r="S10" s="1318">
        <f t="shared" si="0"/>
        <v>100</v>
      </c>
      <c r="T10" s="1317" t="s">
        <v>65</v>
      </c>
      <c r="U10" s="1318">
        <f t="shared" si="1"/>
        <v>100</v>
      </c>
      <c r="V10" s="1317" t="s">
        <v>65</v>
      </c>
      <c r="W10" s="1318">
        <f t="shared" si="2"/>
        <v>100</v>
      </c>
      <c r="X10" s="1319"/>
      <c r="Y10" s="3522"/>
      <c r="Z10" s="343"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55"/>
      <c r="M11" s="2348"/>
      <c r="N11" s="2348"/>
      <c r="O11" s="2348"/>
      <c r="P11" s="3716"/>
      <c r="Q11" s="2828">
        <f t="shared" si="6"/>
        <v>111</v>
      </c>
      <c r="R11" s="1317" t="s">
        <v>65</v>
      </c>
      <c r="S11" s="1318">
        <f t="shared" si="0"/>
        <v>100</v>
      </c>
      <c r="T11" s="1317" t="s">
        <v>65</v>
      </c>
      <c r="U11" s="1318">
        <f t="shared" si="1"/>
        <v>100</v>
      </c>
      <c r="V11" s="1317" t="s">
        <v>65</v>
      </c>
      <c r="W11" s="1318">
        <f t="shared" si="2"/>
        <v>100</v>
      </c>
      <c r="X11" s="1319"/>
      <c r="Y11" s="3522"/>
      <c r="Z11" s="343">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9"/>
      <c r="M12" s="2350"/>
      <c r="N12" s="2350"/>
      <c r="O12" s="2350"/>
      <c r="P12" s="3716"/>
      <c r="Q12" s="2828">
        <f t="shared" si="6"/>
        <v>111</v>
      </c>
      <c r="R12" s="1317" t="s">
        <v>65</v>
      </c>
      <c r="S12" s="1318">
        <f t="shared" si="0"/>
        <v>100</v>
      </c>
      <c r="T12" s="1317" t="s">
        <v>65</v>
      </c>
      <c r="U12" s="1318">
        <f t="shared" si="1"/>
        <v>100</v>
      </c>
      <c r="V12" s="1317" t="s">
        <v>65</v>
      </c>
      <c r="W12" s="1318">
        <f t="shared" si="2"/>
        <v>100</v>
      </c>
      <c r="X12" s="1319"/>
      <c r="Y12" s="3522"/>
      <c r="Z12" s="343">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57"/>
      <c r="M13" s="2348"/>
      <c r="N13" s="2348"/>
      <c r="O13" s="2348"/>
      <c r="P13" s="3716"/>
      <c r="Q13" s="2828">
        <f t="shared" si="6"/>
        <v>111</v>
      </c>
      <c r="R13" s="1317" t="s">
        <v>65</v>
      </c>
      <c r="S13" s="1318">
        <f t="shared" si="0"/>
        <v>100</v>
      </c>
      <c r="T13" s="1317" t="s">
        <v>65</v>
      </c>
      <c r="U13" s="1318">
        <f t="shared" si="1"/>
        <v>100</v>
      </c>
      <c r="V13" s="1317" t="s">
        <v>65</v>
      </c>
      <c r="W13" s="1318">
        <f t="shared" si="2"/>
        <v>100</v>
      </c>
      <c r="X13" s="1319"/>
      <c r="Y13" s="3522"/>
      <c r="Z13" s="343">
        <f t="shared" si="7"/>
        <v>111</v>
      </c>
      <c r="AA13" s="1320">
        <f t="shared" si="3"/>
        <v>1</v>
      </c>
      <c r="AB13" s="1320">
        <f t="shared" si="4"/>
        <v>1</v>
      </c>
      <c r="AC13" s="1320">
        <f t="shared" si="5"/>
        <v>1</v>
      </c>
    </row>
    <row r="14" spans="1:29" ht="175.5">
      <c r="A14" s="743" t="s">
        <v>405</v>
      </c>
      <c r="B14" s="970"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784"/>
      <c r="F14" s="785">
        <f>SUMIF(63:63,E15,64:64)-SUMIF(63:63,C15,64:64)+100</f>
        <v>100</v>
      </c>
      <c r="G14" s="786"/>
      <c r="H14" s="783">
        <f>SUMIF(63:63,G15,64:64)-SUMIF(63:63,C15,64:64)+100</f>
        <v>100</v>
      </c>
      <c r="I14" s="784"/>
      <c r="J14" s="783">
        <f>SUMIF(63:63,I15,64:64)-SUMIF(63:63,C15,64:64)+100</f>
        <v>100</v>
      </c>
      <c r="K14" s="955"/>
      <c r="L14" s="2357"/>
      <c r="M14" s="2348"/>
      <c r="N14" s="2348"/>
      <c r="O14" s="2348"/>
      <c r="P14" s="3721" t="s">
        <v>406</v>
      </c>
      <c r="Q14" s="2830" t="str">
        <f t="shared" si="6"/>
        <v>交通便捷度</v>
      </c>
      <c r="R14" s="1322" t="s">
        <v>65</v>
      </c>
      <c r="S14" s="1323">
        <f t="shared" si="0"/>
        <v>100</v>
      </c>
      <c r="T14" s="1322" t="s">
        <v>65</v>
      </c>
      <c r="U14" s="1323">
        <f t="shared" si="1"/>
        <v>100</v>
      </c>
      <c r="V14" s="1322" t="s">
        <v>65</v>
      </c>
      <c r="W14" s="1323">
        <f t="shared" si="2"/>
        <v>100</v>
      </c>
      <c r="X14" s="2829"/>
      <c r="Y14" s="3721" t="s">
        <v>406</v>
      </c>
      <c r="Z14" s="2831"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57"/>
      <c r="M15" s="2348"/>
      <c r="N15" s="2348"/>
      <c r="O15" s="2348"/>
      <c r="P15" s="3722"/>
      <c r="Q15" s="2830"/>
      <c r="R15" s="1322"/>
      <c r="S15" s="1323"/>
      <c r="T15" s="1322"/>
      <c r="U15" s="1323"/>
      <c r="V15" s="1322"/>
      <c r="W15" s="1323"/>
      <c r="X15" s="2829"/>
      <c r="Y15" s="3722"/>
      <c r="Z15" s="2831"/>
      <c r="AA15" s="1325">
        <v>1</v>
      </c>
      <c r="AB15" s="1325">
        <v>1</v>
      </c>
      <c r="AC15" s="1325">
        <v>1</v>
      </c>
    </row>
    <row r="16" spans="1:29" ht="216">
      <c r="A16" s="746"/>
      <c r="B16" s="1032"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799"/>
      <c r="F16" s="800">
        <f>SUMIF(65:65,E17,66:66)-SUMIF(65:65,C17,66:66)+100</f>
        <v>100</v>
      </c>
      <c r="G16" s="801"/>
      <c r="H16" s="797">
        <f>SUMIF(65:65,G17,66:66)-SUMIF(65:65,C17,66:66)+100</f>
        <v>100</v>
      </c>
      <c r="I16" s="799"/>
      <c r="J16" s="797">
        <f>SUMIF(65:65,I17,66:66)-SUMIF(65:65,C17,66:66)+100</f>
        <v>100</v>
      </c>
      <c r="K16" s="955"/>
      <c r="L16" s="2357"/>
      <c r="M16" s="2348"/>
      <c r="N16" s="2348"/>
      <c r="O16" s="2348"/>
      <c r="P16" s="3722"/>
      <c r="Q16" s="2830" t="str">
        <f>B16</f>
        <v>公共配套设施</v>
      </c>
      <c r="R16" s="1322" t="s">
        <v>65</v>
      </c>
      <c r="S16" s="1323">
        <f>F16</f>
        <v>100</v>
      </c>
      <c r="T16" s="1322" t="s">
        <v>65</v>
      </c>
      <c r="U16" s="1323">
        <f>H16</f>
        <v>100</v>
      </c>
      <c r="V16" s="1322" t="s">
        <v>65</v>
      </c>
      <c r="W16" s="1323">
        <f>J16</f>
        <v>100</v>
      </c>
      <c r="X16" s="2829"/>
      <c r="Y16" s="3722"/>
      <c r="Z16" s="2831"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57"/>
      <c r="M17" s="2348"/>
      <c r="N17" s="2348"/>
      <c r="O17" s="2348"/>
      <c r="P17" s="3722"/>
      <c r="Q17" s="2830"/>
      <c r="R17" s="1322"/>
      <c r="S17" s="1323"/>
      <c r="T17" s="1322"/>
      <c r="U17" s="1323"/>
      <c r="V17" s="1322"/>
      <c r="W17" s="1323"/>
      <c r="X17" s="2829"/>
      <c r="Y17" s="3722"/>
      <c r="Z17" s="2831"/>
      <c r="AA17" s="1325">
        <v>1</v>
      </c>
      <c r="AB17" s="1325">
        <v>1</v>
      </c>
      <c r="AC17" s="1325">
        <v>1</v>
      </c>
    </row>
    <row r="18" spans="1:29" ht="40.5">
      <c r="A18" s="746"/>
      <c r="B18" s="1034" t="s">
        <v>2661</v>
      </c>
      <c r="C18" s="158" t="str">
        <f>IF(B1="工业",估价对象房地状况!G6,估价对象房地状况!C8)</f>
        <v>估价对象所在区域基础设施水平达到七通</v>
      </c>
      <c r="D18" s="792">
        <v>100</v>
      </c>
      <c r="E18" s="794"/>
      <c r="F18" s="800">
        <f>SUMIF(67:67,E19,68:68)-SUMIF(67:67,C19,68:68)+100</f>
        <v>100</v>
      </c>
      <c r="G18" s="796"/>
      <c r="H18" s="797">
        <f>SUMIF(67:67,G19,68:68)-SUMIF(67:67,C19,68:68)+100</f>
        <v>100</v>
      </c>
      <c r="I18" s="794"/>
      <c r="J18" s="797">
        <f>SUMIF(67:67,I19,68:68)-SUMIF(67:67,C19,68:68)+100</f>
        <v>100</v>
      </c>
      <c r="K18" s="955"/>
      <c r="L18" s="2357"/>
      <c r="M18" s="2348"/>
      <c r="N18" s="2348"/>
      <c r="O18" s="2348"/>
      <c r="P18" s="3722"/>
      <c r="Q18" s="2830" t="str">
        <f>B18</f>
        <v>基础设施水平</v>
      </c>
      <c r="R18" s="1322" t="s">
        <v>65</v>
      </c>
      <c r="S18" s="1323">
        <f>F18</f>
        <v>100</v>
      </c>
      <c r="T18" s="1322" t="s">
        <v>65</v>
      </c>
      <c r="U18" s="1323">
        <f>H18</f>
        <v>100</v>
      </c>
      <c r="V18" s="1322" t="s">
        <v>65</v>
      </c>
      <c r="W18" s="1323">
        <f>J18</f>
        <v>100</v>
      </c>
      <c r="X18" s="2829"/>
      <c r="Y18" s="3722"/>
      <c r="Z18" s="2831"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6"/>
      <c r="L19" s="2357"/>
      <c r="M19" s="2348"/>
      <c r="N19" s="2348"/>
      <c r="O19" s="2348"/>
      <c r="P19" s="3722"/>
      <c r="Q19" s="2830"/>
      <c r="R19" s="1322"/>
      <c r="S19" s="1323"/>
      <c r="T19" s="1322"/>
      <c r="U19" s="1323"/>
      <c r="V19" s="1322"/>
      <c r="W19" s="1323"/>
      <c r="X19" s="2829"/>
      <c r="Y19" s="3722"/>
      <c r="Z19" s="2831"/>
      <c r="AA19" s="1325">
        <v>1</v>
      </c>
      <c r="AB19" s="1325">
        <v>1</v>
      </c>
      <c r="AC19" s="1325">
        <v>1</v>
      </c>
    </row>
    <row r="20" spans="1:29" ht="175.5">
      <c r="A20" s="746"/>
      <c r="B20" s="972"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799"/>
      <c r="F20" s="800">
        <f>SUMIF(69:69,E21,70:70)-SUMIF(69:69,C21,70:70)+100</f>
        <v>100</v>
      </c>
      <c r="G20" s="801"/>
      <c r="H20" s="792">
        <f>SUMIF(69:69,G21,70:70)-SUMIF(69:69,C21,70:70)+100</f>
        <v>100</v>
      </c>
      <c r="I20" s="794"/>
      <c r="J20" s="792">
        <f>SUMIF(69:69,I21,70:70)-SUMIF(69:69,C21,70:70)+100</f>
        <v>100</v>
      </c>
      <c r="K20" s="955"/>
      <c r="L20" s="2357"/>
      <c r="M20" s="2348"/>
      <c r="N20" s="2348"/>
      <c r="O20" s="2348"/>
      <c r="P20" s="3722"/>
      <c r="Q20" s="2830" t="str">
        <f>B20</f>
        <v>自然及人文环境</v>
      </c>
      <c r="R20" s="1322" t="s">
        <v>65</v>
      </c>
      <c r="S20" s="1323">
        <f>F20</f>
        <v>100</v>
      </c>
      <c r="T20" s="1322" t="s">
        <v>65</v>
      </c>
      <c r="U20" s="1323">
        <f>H20</f>
        <v>100</v>
      </c>
      <c r="V20" s="1322" t="s">
        <v>65</v>
      </c>
      <c r="W20" s="1323">
        <f>J20</f>
        <v>100</v>
      </c>
      <c r="X20" s="2829"/>
      <c r="Y20" s="3722"/>
      <c r="Z20" s="2831"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57"/>
      <c r="M21" s="2348"/>
      <c r="N21" s="2348"/>
      <c r="O21" s="2348"/>
      <c r="P21" s="3722"/>
      <c r="Q21" s="2830"/>
      <c r="R21" s="1322"/>
      <c r="S21" s="1323"/>
      <c r="T21" s="1322"/>
      <c r="U21" s="1323"/>
      <c r="V21" s="1322"/>
      <c r="W21" s="1323"/>
      <c r="X21" s="2829"/>
      <c r="Y21" s="3722"/>
      <c r="Z21" s="2831"/>
      <c r="AA21" s="1325">
        <v>1</v>
      </c>
      <c r="AB21" s="1325">
        <v>1</v>
      </c>
      <c r="AC21" s="1325">
        <v>1</v>
      </c>
    </row>
    <row r="22" spans="1:29" ht="15">
      <c r="A22" s="746"/>
      <c r="B22" s="972" t="s">
        <v>457</v>
      </c>
      <c r="C22" s="957"/>
      <c r="D22" s="792">
        <v>100</v>
      </c>
      <c r="E22" s="957"/>
      <c r="F22" s="803">
        <f>SUMIF(71:71,E22,72:72)-SUMIF(71:71,C22,72:72)+100</f>
        <v>100</v>
      </c>
      <c r="G22" s="957"/>
      <c r="H22" s="777">
        <f>SUMIF(71:71,G22,72:72)-SUMIF(71:71,C22,72:72)+100</f>
        <v>100</v>
      </c>
      <c r="I22" s="957"/>
      <c r="J22" s="777">
        <f>SUMIF(71:71,I22,72:72)-SUMIF(71:71,C22,72:72)+100</f>
        <v>100</v>
      </c>
      <c r="K22" s="953"/>
      <c r="L22" s="2357"/>
      <c r="M22" s="2348"/>
      <c r="N22" s="2348"/>
      <c r="O22" s="2348"/>
      <c r="P22" s="3722"/>
      <c r="Q22" s="2830" t="str">
        <f>B22</f>
        <v>楼层</v>
      </c>
      <c r="R22" s="1322" t="s">
        <v>65</v>
      </c>
      <c r="S22" s="1323">
        <f>F22</f>
        <v>100</v>
      </c>
      <c r="T22" s="1322" t="s">
        <v>65</v>
      </c>
      <c r="U22" s="1323">
        <f>H22</f>
        <v>100</v>
      </c>
      <c r="V22" s="1322" t="s">
        <v>65</v>
      </c>
      <c r="W22" s="1323">
        <f>J22</f>
        <v>100</v>
      </c>
      <c r="X22" s="2829"/>
      <c r="Y22" s="3722"/>
      <c r="Z22" s="2831"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57"/>
      <c r="M23" s="2348"/>
      <c r="N23" s="2348"/>
      <c r="O23" s="2348"/>
      <c r="P23" s="3722"/>
      <c r="Q23" s="2830">
        <f>B23</f>
        <v>111</v>
      </c>
      <c r="R23" s="1322" t="s">
        <v>65</v>
      </c>
      <c r="S23" s="1323">
        <f>F23</f>
        <v>100</v>
      </c>
      <c r="T23" s="1322" t="s">
        <v>65</v>
      </c>
      <c r="U23" s="1323">
        <f>H23</f>
        <v>100</v>
      </c>
      <c r="V23" s="1322" t="s">
        <v>65</v>
      </c>
      <c r="W23" s="1323">
        <f>J23</f>
        <v>100</v>
      </c>
      <c r="X23" s="2829"/>
      <c r="Y23" s="3722"/>
      <c r="Z23" s="2831">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57"/>
      <c r="M24" s="2348"/>
      <c r="N24" s="2348"/>
      <c r="O24" s="2348"/>
      <c r="P24" s="3722"/>
      <c r="Q24" s="2830">
        <f t="shared" ref="Q24:Q36" si="11">B24</f>
        <v>111</v>
      </c>
      <c r="R24" s="1322" t="s">
        <v>65</v>
      </c>
      <c r="S24" s="1323">
        <f>F24</f>
        <v>100</v>
      </c>
      <c r="T24" s="1322" t="s">
        <v>65</v>
      </c>
      <c r="U24" s="1323">
        <f>H24</f>
        <v>100</v>
      </c>
      <c r="V24" s="1322" t="s">
        <v>65</v>
      </c>
      <c r="W24" s="1323">
        <f>J24</f>
        <v>100</v>
      </c>
      <c r="X24" s="2829"/>
      <c r="Y24" s="3722"/>
      <c r="Z24" s="2831">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722"/>
      <c r="Q25" s="2828">
        <f t="shared" si="11"/>
        <v>111</v>
      </c>
      <c r="R25" s="1317" t="s">
        <v>65</v>
      </c>
      <c r="S25" s="1318">
        <f>F25</f>
        <v>100</v>
      </c>
      <c r="T25" s="1317" t="s">
        <v>65</v>
      </c>
      <c r="U25" s="1318">
        <f>H25</f>
        <v>100</v>
      </c>
      <c r="V25" s="1317" t="s">
        <v>65</v>
      </c>
      <c r="W25" s="1318">
        <f>J25</f>
        <v>100</v>
      </c>
      <c r="X25" s="1319"/>
      <c r="Y25" s="3722"/>
      <c r="Z25" s="343">
        <f>Q25</f>
        <v>111</v>
      </c>
      <c r="AA25" s="1325">
        <f>D25/F25</f>
        <v>1</v>
      </c>
      <c r="AB25" s="1325">
        <f>D25/H25</f>
        <v>1</v>
      </c>
      <c r="AC25" s="1325">
        <f>D25/J25</f>
        <v>1</v>
      </c>
    </row>
    <row r="26" spans="1:29" ht="15">
      <c r="A26" s="993" t="s">
        <v>407</v>
      </c>
      <c r="B26" s="359" t="s">
        <v>458</v>
      </c>
      <c r="C26" s="2767">
        <f>B1</f>
        <v>0</v>
      </c>
      <c r="D26" s="790">
        <v>100</v>
      </c>
      <c r="E26" s="789"/>
      <c r="F26" s="791">
        <f>SUMIF(79:79,E26,80:80)-SUMIF(79:79,C26,80:80)+100</f>
        <v>100</v>
      </c>
      <c r="G26" s="789"/>
      <c r="H26" s="790">
        <f>SUMIF(79:79,G26,80:80)-SUMIF(79:79,C26,80:80)+100</f>
        <v>100</v>
      </c>
      <c r="I26" s="789"/>
      <c r="J26" s="790">
        <f>SUMIF(79:79,I26,80:80)-SUMIF(79:79,C26,80:80)+100</f>
        <v>100</v>
      </c>
      <c r="K26" s="953"/>
      <c r="L26" s="2357"/>
      <c r="M26" s="2348"/>
      <c r="N26" s="2348"/>
      <c r="O26" s="2348"/>
      <c r="P26" s="3723" t="s">
        <v>408</v>
      </c>
      <c r="Q26" s="2830" t="str">
        <f t="shared" si="11"/>
        <v>配套类型</v>
      </c>
      <c r="R26" s="1322" t="s">
        <v>65</v>
      </c>
      <c r="S26" s="1323">
        <f t="shared" ref="S26:S36" si="12">F26</f>
        <v>100</v>
      </c>
      <c r="T26" s="1322" t="s">
        <v>65</v>
      </c>
      <c r="U26" s="1323">
        <f t="shared" ref="U26:U36" si="13">H26</f>
        <v>100</v>
      </c>
      <c r="V26" s="1322" t="s">
        <v>65</v>
      </c>
      <c r="W26" s="1323">
        <f t="shared" ref="W26:W36" si="14">J26</f>
        <v>100</v>
      </c>
      <c r="X26" s="2829"/>
      <c r="Y26" s="3724" t="s">
        <v>408</v>
      </c>
      <c r="Z26" s="2831" t="str">
        <f t="shared" ref="Z26:Z36" si="15">Q26</f>
        <v>配套类型</v>
      </c>
      <c r="AA26" s="1325">
        <f t="shared" si="3"/>
        <v>1</v>
      </c>
      <c r="AB26" s="1325">
        <f t="shared" si="4"/>
        <v>1</v>
      </c>
      <c r="AC26" s="1325">
        <f t="shared" si="5"/>
        <v>1</v>
      </c>
    </row>
    <row r="27" spans="1:29" s="812" customFormat="1" ht="15">
      <c r="A27" s="994"/>
      <c r="B27" s="995" t="s">
        <v>459</v>
      </c>
      <c r="C27" s="996"/>
      <c r="D27" s="425">
        <v>100</v>
      </c>
      <c r="E27" s="996"/>
      <c r="F27" s="803">
        <f>SUMIF(81:81,E27,82:82)-SUMIF(81:81,C27,82:82)+100</f>
        <v>100</v>
      </c>
      <c r="G27" s="996"/>
      <c r="H27" s="777">
        <f>SUMIF(81:81,G27,82:82)-SUMIF(81:81,C27,82:82)+100</f>
        <v>100</v>
      </c>
      <c r="I27" s="996"/>
      <c r="J27" s="777">
        <f>SUMIF(81:81,I27,82:82)-SUMIF(81:81,C27,82:82)+100</f>
        <v>100</v>
      </c>
      <c r="K27" s="954"/>
      <c r="L27" s="2355"/>
      <c r="M27" s="2358"/>
      <c r="N27" s="2358"/>
      <c r="O27" s="2358"/>
      <c r="P27" s="3724"/>
      <c r="Q27" s="1326" t="str">
        <f t="shared" si="11"/>
        <v>项目停车位配比</v>
      </c>
      <c r="R27" s="1327" t="s">
        <v>65</v>
      </c>
      <c r="S27" s="1328">
        <f t="shared" si="12"/>
        <v>100</v>
      </c>
      <c r="T27" s="1327" t="s">
        <v>65</v>
      </c>
      <c r="U27" s="1328">
        <f t="shared" si="13"/>
        <v>100</v>
      </c>
      <c r="V27" s="1327" t="s">
        <v>65</v>
      </c>
      <c r="W27" s="1328">
        <f t="shared" si="14"/>
        <v>100</v>
      </c>
      <c r="X27" s="1329"/>
      <c r="Y27" s="3724"/>
      <c r="Z27" s="1330" t="str">
        <f t="shared" si="15"/>
        <v>项目停车位配比</v>
      </c>
      <c r="AA27" s="1325">
        <f t="shared" si="3"/>
        <v>1</v>
      </c>
      <c r="AB27" s="1325">
        <f t="shared" si="4"/>
        <v>1</v>
      </c>
      <c r="AC27" s="1325">
        <f t="shared" si="5"/>
        <v>1</v>
      </c>
    </row>
    <row r="28" spans="1:29" ht="15">
      <c r="A28" s="997"/>
      <c r="B28" s="995" t="s">
        <v>460</v>
      </c>
      <c r="C28" s="802"/>
      <c r="D28" s="777">
        <v>100</v>
      </c>
      <c r="E28" s="802"/>
      <c r="F28" s="803">
        <f>SUMIF(83:83,E28,84:84)-SUMIF(83:83,C28,84:84)+100</f>
        <v>100</v>
      </c>
      <c r="G28" s="802"/>
      <c r="H28" s="777">
        <f>SUMIF(83:83,G28,84:84)-SUMIF(83:83,C28,84:84)+100</f>
        <v>100</v>
      </c>
      <c r="I28" s="802"/>
      <c r="J28" s="777">
        <f>SUMIF(83:83,I28,84:84)-SUMIF(83:83,C28,84:84)+100</f>
        <v>100</v>
      </c>
      <c r="K28" s="953"/>
      <c r="L28" s="2357"/>
      <c r="M28" s="2348"/>
      <c r="N28" s="2348"/>
      <c r="O28" s="2348"/>
      <c r="P28" s="3724"/>
      <c r="Q28" s="2830" t="str">
        <f t="shared" si="11"/>
        <v>公共部分装修</v>
      </c>
      <c r="R28" s="1322" t="s">
        <v>65</v>
      </c>
      <c r="S28" s="1323">
        <f t="shared" si="12"/>
        <v>100</v>
      </c>
      <c r="T28" s="1322" t="s">
        <v>65</v>
      </c>
      <c r="U28" s="1323">
        <f t="shared" si="13"/>
        <v>100</v>
      </c>
      <c r="V28" s="1322" t="s">
        <v>65</v>
      </c>
      <c r="W28" s="1323">
        <f t="shared" si="14"/>
        <v>100</v>
      </c>
      <c r="X28" s="2829"/>
      <c r="Y28" s="3724"/>
      <c r="Z28" s="2831" t="str">
        <f t="shared" si="15"/>
        <v>公共部分装修</v>
      </c>
      <c r="AA28" s="1325">
        <f t="shared" si="3"/>
        <v>1</v>
      </c>
      <c r="AB28" s="1325">
        <f t="shared" si="4"/>
        <v>1</v>
      </c>
      <c r="AC28" s="1325">
        <f t="shared" si="5"/>
        <v>1</v>
      </c>
    </row>
    <row r="29" spans="1:29" ht="15">
      <c r="A29" s="997"/>
      <c r="B29" s="995" t="s">
        <v>461</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57"/>
      <c r="M29" s="2348"/>
      <c r="N29" s="2348"/>
      <c r="O29" s="2348"/>
      <c r="P29" s="3724"/>
      <c r="Q29" s="2830" t="str">
        <f t="shared" si="11"/>
        <v>成新率</v>
      </c>
      <c r="R29" s="1322" t="s">
        <v>65</v>
      </c>
      <c r="S29" s="1323" t="e">
        <f t="shared" si="12"/>
        <v>#N/A</v>
      </c>
      <c r="T29" s="1322" t="s">
        <v>65</v>
      </c>
      <c r="U29" s="1323" t="e">
        <f t="shared" si="13"/>
        <v>#N/A</v>
      </c>
      <c r="V29" s="1322" t="s">
        <v>65</v>
      </c>
      <c r="W29" s="1323" t="e">
        <f t="shared" si="14"/>
        <v>#N/A</v>
      </c>
      <c r="X29" s="2829"/>
      <c r="Y29" s="3724"/>
      <c r="Z29" s="2831" t="str">
        <f t="shared" si="15"/>
        <v>成新率</v>
      </c>
      <c r="AA29" s="1325" t="e">
        <f t="shared" si="3"/>
        <v>#N/A</v>
      </c>
      <c r="AB29" s="1325" t="e">
        <f t="shared" si="4"/>
        <v>#N/A</v>
      </c>
      <c r="AC29" s="1325" t="e">
        <f t="shared" si="5"/>
        <v>#N/A</v>
      </c>
    </row>
    <row r="30" spans="1:29" ht="15">
      <c r="A30" s="997"/>
      <c r="B30" s="995" t="s">
        <v>462</v>
      </c>
      <c r="C30" s="998"/>
      <c r="D30" s="777">
        <v>100</v>
      </c>
      <c r="E30" s="998"/>
      <c r="F30" s="803">
        <f>SUMIF(88:88,E30,89:89)-SUMIF(88:88,C30,89:89)+100</f>
        <v>100</v>
      </c>
      <c r="G30" s="998"/>
      <c r="H30" s="777">
        <f>SUMIF(88:88,E30,89:89)-SUMIF(88:88,C30,89:89)+100</f>
        <v>100</v>
      </c>
      <c r="I30" s="998"/>
      <c r="J30" s="777">
        <f>SUMIF(88:88,E30,89:89)-SUMIF(88:88,C30,89:89)+100</f>
        <v>100</v>
      </c>
      <c r="K30" s="953"/>
      <c r="L30" s="2357"/>
      <c r="M30" s="2348"/>
      <c r="N30" s="2348"/>
      <c r="O30" s="2348"/>
      <c r="P30" s="3724"/>
      <c r="Q30" s="2830" t="str">
        <f t="shared" si="11"/>
        <v>物业等级</v>
      </c>
      <c r="R30" s="1322" t="s">
        <v>65</v>
      </c>
      <c r="S30" s="1323">
        <f t="shared" si="12"/>
        <v>100</v>
      </c>
      <c r="T30" s="1322" t="s">
        <v>65</v>
      </c>
      <c r="U30" s="1323">
        <f t="shared" si="13"/>
        <v>100</v>
      </c>
      <c r="V30" s="1322" t="s">
        <v>65</v>
      </c>
      <c r="W30" s="1323">
        <f t="shared" si="14"/>
        <v>100</v>
      </c>
      <c r="X30" s="2829"/>
      <c r="Y30" s="3724"/>
      <c r="Z30" s="2831" t="str">
        <f t="shared" si="15"/>
        <v>物业等级</v>
      </c>
      <c r="AA30" s="1325">
        <f t="shared" si="3"/>
        <v>1</v>
      </c>
      <c r="AB30" s="1325">
        <f t="shared" si="4"/>
        <v>1</v>
      </c>
      <c r="AC30" s="1325">
        <f t="shared" si="5"/>
        <v>1</v>
      </c>
    </row>
    <row r="31" spans="1:29" s="406" customFormat="1" ht="15">
      <c r="A31" s="999"/>
      <c r="B31" s="995" t="s">
        <v>463</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9"/>
      <c r="M31" s="2350"/>
      <c r="N31" s="2350"/>
      <c r="O31" s="2350"/>
      <c r="P31" s="3724"/>
      <c r="Q31" s="2828" t="str">
        <f t="shared" si="11"/>
        <v>停车位面积</v>
      </c>
      <c r="R31" s="1317" t="s">
        <v>65</v>
      </c>
      <c r="S31" s="1318" t="e">
        <f t="shared" si="12"/>
        <v>#N/A</v>
      </c>
      <c r="T31" s="1317" t="s">
        <v>65</v>
      </c>
      <c r="U31" s="1318" t="e">
        <f t="shared" si="13"/>
        <v>#N/A</v>
      </c>
      <c r="V31" s="1317" t="s">
        <v>65</v>
      </c>
      <c r="W31" s="1318" t="e">
        <f t="shared" si="14"/>
        <v>#N/A</v>
      </c>
      <c r="X31" s="1319"/>
      <c r="Y31" s="3724"/>
      <c r="Z31" s="343" t="str">
        <f t="shared" si="15"/>
        <v>停车位面积</v>
      </c>
      <c r="AA31" s="1320" t="e">
        <f t="shared" si="3"/>
        <v>#N/A</v>
      </c>
      <c r="AB31" s="1320" t="e">
        <f t="shared" si="4"/>
        <v>#N/A</v>
      </c>
      <c r="AC31" s="1320" t="e">
        <f t="shared" si="5"/>
        <v>#N/A</v>
      </c>
    </row>
    <row r="32" spans="1:29" ht="15">
      <c r="A32" s="997"/>
      <c r="B32" s="995" t="s">
        <v>464</v>
      </c>
      <c r="C32" s="802"/>
      <c r="D32" s="777">
        <v>100</v>
      </c>
      <c r="E32" s="802"/>
      <c r="F32" s="803">
        <f>SUMIF(93:93,E32,94:94)-SUMIF(93:93,C32,94:94)+100</f>
        <v>100</v>
      </c>
      <c r="G32" s="802"/>
      <c r="H32" s="777">
        <f>SUMIF(93:93,G32,94:94)-SUMIF(93:93,C32,94:94)+100</f>
        <v>100</v>
      </c>
      <c r="I32" s="802"/>
      <c r="J32" s="777">
        <f>SUMIF(93:93,I32,94:94)-SUMIF(93:93,C32,94:94)+100</f>
        <v>100</v>
      </c>
      <c r="K32" s="953"/>
      <c r="L32" s="2357"/>
      <c r="M32" s="2348"/>
      <c r="N32" s="2348"/>
      <c r="O32" s="2348"/>
      <c r="P32" s="3724" t="s">
        <v>408</v>
      </c>
      <c r="Q32" s="2830" t="str">
        <f t="shared" si="11"/>
        <v>车位类型</v>
      </c>
      <c r="R32" s="1322" t="s">
        <v>65</v>
      </c>
      <c r="S32" s="1323">
        <f t="shared" si="12"/>
        <v>100</v>
      </c>
      <c r="T32" s="1322" t="s">
        <v>65</v>
      </c>
      <c r="U32" s="1323">
        <f t="shared" si="13"/>
        <v>100</v>
      </c>
      <c r="V32" s="1322" t="s">
        <v>65</v>
      </c>
      <c r="W32" s="1323">
        <f t="shared" si="14"/>
        <v>100</v>
      </c>
      <c r="X32" s="2829"/>
      <c r="Y32" s="3724" t="s">
        <v>408</v>
      </c>
      <c r="Z32" s="2831" t="str">
        <f t="shared" si="15"/>
        <v>车位类型</v>
      </c>
      <c r="AA32" s="1325">
        <f t="shared" si="3"/>
        <v>1</v>
      </c>
      <c r="AB32" s="1325">
        <f t="shared" si="4"/>
        <v>1</v>
      </c>
      <c r="AC32" s="1325">
        <f t="shared" si="5"/>
        <v>1</v>
      </c>
    </row>
    <row r="33" spans="1:29" ht="15">
      <c r="A33" s="997"/>
      <c r="B33" s="995" t="s">
        <v>465</v>
      </c>
      <c r="C33" s="802"/>
      <c r="D33" s="777">
        <v>100</v>
      </c>
      <c r="E33" s="802"/>
      <c r="F33" s="803">
        <f>SUMIF(95:95,E33,96:96)-SUMIF(95:95,C33,96:96)+100</f>
        <v>100</v>
      </c>
      <c r="G33" s="802"/>
      <c r="H33" s="777">
        <f>SUMIF(95:95,G33,96:96)-SUMIF(95:95,C33,96:96)+100</f>
        <v>100</v>
      </c>
      <c r="I33" s="802"/>
      <c r="J33" s="777">
        <f>SUMIF(95:95,I33,96:96)-SUMIF(95:95,C33,96:96)+100</f>
        <v>100</v>
      </c>
      <c r="K33" s="953"/>
      <c r="L33" s="2357"/>
      <c r="M33" s="2348"/>
      <c r="N33" s="2348"/>
      <c r="O33" s="2348"/>
      <c r="P33" s="3724"/>
      <c r="Q33" s="2830" t="str">
        <f t="shared" si="11"/>
        <v>是否直接入户</v>
      </c>
      <c r="R33" s="1322" t="s">
        <v>65</v>
      </c>
      <c r="S33" s="1323">
        <f t="shared" si="12"/>
        <v>100</v>
      </c>
      <c r="T33" s="1322" t="s">
        <v>65</v>
      </c>
      <c r="U33" s="1323">
        <f t="shared" si="13"/>
        <v>100</v>
      </c>
      <c r="V33" s="1322" t="s">
        <v>65</v>
      </c>
      <c r="W33" s="1323">
        <f t="shared" si="14"/>
        <v>100</v>
      </c>
      <c r="X33" s="2829"/>
      <c r="Y33" s="3724"/>
      <c r="Z33" s="2831"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57"/>
      <c r="M34" s="2348"/>
      <c r="N34" s="2348"/>
      <c r="O34" s="2348"/>
      <c r="P34" s="3724"/>
      <c r="Q34" s="2830">
        <f t="shared" si="11"/>
        <v>111</v>
      </c>
      <c r="R34" s="1322" t="s">
        <v>65</v>
      </c>
      <c r="S34" s="1323">
        <f t="shared" si="12"/>
        <v>100</v>
      </c>
      <c r="T34" s="1322" t="s">
        <v>65</v>
      </c>
      <c r="U34" s="1323">
        <f t="shared" si="13"/>
        <v>100</v>
      </c>
      <c r="V34" s="1322" t="s">
        <v>65</v>
      </c>
      <c r="W34" s="1323">
        <f t="shared" si="14"/>
        <v>100</v>
      </c>
      <c r="X34" s="2829"/>
      <c r="Y34" s="3724"/>
      <c r="Z34" s="2831">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55"/>
      <c r="M35" s="2358"/>
      <c r="N35" s="2358"/>
      <c r="O35" s="2358"/>
      <c r="P35" s="3724"/>
      <c r="Q35" s="1326">
        <f t="shared" si="11"/>
        <v>111</v>
      </c>
      <c r="R35" s="1327" t="s">
        <v>65</v>
      </c>
      <c r="S35" s="1328">
        <f t="shared" si="12"/>
        <v>100</v>
      </c>
      <c r="T35" s="1327" t="s">
        <v>65</v>
      </c>
      <c r="U35" s="1328">
        <f t="shared" si="13"/>
        <v>100</v>
      </c>
      <c r="V35" s="1327" t="s">
        <v>65</v>
      </c>
      <c r="W35" s="1328">
        <f t="shared" si="14"/>
        <v>100</v>
      </c>
      <c r="X35" s="1329"/>
      <c r="Y35" s="3724"/>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57"/>
      <c r="M36" s="2348"/>
      <c r="N36" s="2348"/>
      <c r="O36" s="2348"/>
      <c r="P36" s="3724"/>
      <c r="Q36" s="2830">
        <f t="shared" si="11"/>
        <v>111</v>
      </c>
      <c r="R36" s="1322" t="s">
        <v>65</v>
      </c>
      <c r="S36" s="1323">
        <f t="shared" si="12"/>
        <v>100</v>
      </c>
      <c r="T36" s="1322" t="s">
        <v>65</v>
      </c>
      <c r="U36" s="1323">
        <f t="shared" si="13"/>
        <v>100</v>
      </c>
      <c r="V36" s="1322" t="s">
        <v>65</v>
      </c>
      <c r="W36" s="1323">
        <f t="shared" si="14"/>
        <v>100</v>
      </c>
      <c r="X36" s="2829"/>
      <c r="Y36" s="3724"/>
      <c r="Z36" s="2831">
        <f t="shared" si="15"/>
        <v>111</v>
      </c>
      <c r="AA36" s="1325">
        <f t="shared" si="3"/>
        <v>1</v>
      </c>
      <c r="AB36" s="1325">
        <f t="shared" si="4"/>
        <v>1</v>
      </c>
      <c r="AC36" s="1325">
        <f t="shared" si="5"/>
        <v>1</v>
      </c>
    </row>
    <row r="37" spans="1:29" ht="15">
      <c r="A37" s="163" t="s">
        <v>2130</v>
      </c>
      <c r="B37" s="2098" t="s">
        <v>2131</v>
      </c>
      <c r="C37" s="2832" t="s">
        <v>23</v>
      </c>
      <c r="D37" s="2833"/>
      <c r="E37" s="2834"/>
      <c r="F37" s="2835"/>
      <c r="G37" s="2836"/>
      <c r="H37" s="2837"/>
      <c r="I37" s="2834"/>
      <c r="J37" s="2837"/>
      <c r="K37" s="960"/>
      <c r="L37" s="2360"/>
      <c r="M37" s="2361"/>
      <c r="N37" s="2348"/>
      <c r="O37" s="2361"/>
      <c r="P37" s="3716" t="str">
        <f>A37</f>
        <v>成交单价</v>
      </c>
      <c r="Q37" s="3716"/>
      <c r="R37" s="3717">
        <f>E37</f>
        <v>0</v>
      </c>
      <c r="S37" s="3717"/>
      <c r="T37" s="3717">
        <f>G37</f>
        <v>0</v>
      </c>
      <c r="U37" s="3717"/>
      <c r="V37" s="3717">
        <f>I37</f>
        <v>0</v>
      </c>
      <c r="W37" s="3717"/>
      <c r="X37" s="1305"/>
      <c r="Y37" s="1331"/>
      <c r="Z37" s="1305"/>
      <c r="AA37" s="1305"/>
      <c r="AB37" s="1305"/>
      <c r="AC37" s="1305"/>
    </row>
    <row r="38" spans="1:29" ht="15.75" thickBot="1">
      <c r="A38" s="827" t="s">
        <v>410</v>
      </c>
      <c r="B38" s="166" t="str">
        <f>B37</f>
        <v>元/车位</v>
      </c>
      <c r="C38" s="2838" t="e">
        <f>R39</f>
        <v>#DIV/0!</v>
      </c>
      <c r="D38" s="2839"/>
      <c r="E38" s="2840" t="e">
        <f>R38</f>
        <v>#DIV/0!</v>
      </c>
      <c r="F38" s="2840"/>
      <c r="G38" s="2838" t="e">
        <f>T38</f>
        <v>#DIV/0!</v>
      </c>
      <c r="H38" s="2839"/>
      <c r="I38" s="2840" t="e">
        <f>V38</f>
        <v>#DIV/0!</v>
      </c>
      <c r="J38" s="2839"/>
      <c r="K38" s="961"/>
      <c r="L38" s="2360"/>
      <c r="M38" s="2361"/>
      <c r="N38" s="2361"/>
      <c r="O38" s="2361"/>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1305"/>
      <c r="Y38" s="1305"/>
      <c r="Z38" s="1305"/>
      <c r="AA38" s="1305"/>
      <c r="AB38" s="1305"/>
      <c r="AC38" s="1305"/>
    </row>
    <row r="39" spans="1:29" ht="15.75" thickBot="1">
      <c r="A39" s="833" t="s">
        <v>3019</v>
      </c>
      <c r="B39" s="834"/>
      <c r="C39" s="2842" t="e">
        <f>R39</f>
        <v>#DIV/0!</v>
      </c>
      <c r="D39" s="2842"/>
      <c r="E39" s="2842"/>
      <c r="F39" s="2842"/>
      <c r="G39" s="2842"/>
      <c r="H39" s="2842"/>
      <c r="I39" s="2842"/>
      <c r="J39" s="2842"/>
      <c r="K39" s="962"/>
      <c r="L39" s="2360"/>
      <c r="M39" s="2361"/>
      <c r="N39" s="2361"/>
      <c r="O39" s="2361"/>
      <c r="P39" s="3718" t="str">
        <f>A39</f>
        <v>估价对象XX用房的比较价值（楼面单价，元/平方米）</v>
      </c>
      <c r="Q39" s="3719"/>
      <c r="R39" s="3720" t="e">
        <f>IF(F1="售价",ROUND(AVERAGE(R38:V38),0),ROUND(AVERAGE(R38:V38),1))</f>
        <v>#DIV/0!</v>
      </c>
      <c r="S39" s="3720"/>
      <c r="T39" s="3720"/>
      <c r="U39" s="3720"/>
      <c r="V39" s="3720"/>
      <c r="W39" s="3720"/>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414</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2790</v>
      </c>
      <c r="B48" s="847"/>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6" customFormat="1" ht="15">
      <c r="A49" s="850"/>
      <c r="B49" s="851"/>
      <c r="C49" s="3029">
        <v>100</v>
      </c>
      <c r="D49" s="853"/>
      <c r="E49" s="853"/>
      <c r="F49" s="853"/>
      <c r="G49" s="853"/>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6" customFormat="1" ht="15.75" thickBot="1">
      <c r="A50" s="856" t="s">
        <v>415</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6" customFormat="1" ht="15">
      <c r="A51" s="862" t="s">
        <v>399</v>
      </c>
      <c r="B51" s="851"/>
      <c r="C51" s="863" t="s">
        <v>416</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6"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417</v>
      </c>
      <c r="B53" s="869" t="s">
        <v>418</v>
      </c>
      <c r="C53" s="870">
        <f>C9</f>
        <v>0</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2633</v>
      </c>
      <c r="C65" s="919" t="s">
        <v>424</v>
      </c>
      <c r="D65" s="919" t="s">
        <v>425</v>
      </c>
      <c r="E65" s="919" t="s">
        <v>426</v>
      </c>
      <c r="F65" s="919" t="s">
        <v>427</v>
      </c>
      <c r="G65" s="919" t="s">
        <v>428</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2663</v>
      </c>
      <c r="C67" s="213" t="s">
        <v>2653</v>
      </c>
      <c r="D67" s="213" t="s">
        <v>2654</v>
      </c>
      <c r="E67" s="213" t="s">
        <v>2655</v>
      </c>
      <c r="F67" s="213" t="s">
        <v>2656</v>
      </c>
      <c r="G67" s="213" t="s">
        <v>2657</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431</v>
      </c>
      <c r="C69" s="919" t="s">
        <v>424</v>
      </c>
      <c r="D69" s="919" t="s">
        <v>425</v>
      </c>
      <c r="E69" s="919" t="s">
        <v>426</v>
      </c>
      <c r="F69" s="919" t="s">
        <v>427</v>
      </c>
      <c r="G69" s="919" t="s">
        <v>428</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432</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6"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6"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6"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6"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407</v>
      </c>
      <c r="B79" s="869" t="s">
        <v>466</v>
      </c>
      <c r="C79" s="870">
        <f>C26</f>
        <v>0</v>
      </c>
      <c r="D79" s="871"/>
      <c r="E79" s="871"/>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467</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433</v>
      </c>
      <c r="C83" s="895"/>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469</v>
      </c>
      <c r="C88" s="871"/>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15" thickTop="1">
      <c r="A90" s="934"/>
      <c r="B90" s="879" t="s">
        <v>470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c r="D91" s="936"/>
      <c r="E91" s="936"/>
      <c r="F91" s="936"/>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c r="D92" s="877"/>
      <c r="E92" s="877"/>
      <c r="F92" s="877"/>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471</v>
      </c>
      <c r="C93" s="895"/>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472</v>
      </c>
      <c r="C95" s="871"/>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445</v>
      </c>
      <c r="B2" s="2843" t="e">
        <f ca="1">IF(C2="——",ROUND(C37*D3/10000,0),ROUND(C37*D3/10000,0)-D2)</f>
        <v>#DIV/0!</v>
      </c>
      <c r="C2" s="3095"/>
      <c r="D2" s="2341" t="e">
        <f ca="1">SUMIF(INDIRECT("'"&amp;F2&amp;"'"&amp;"!A:A"),"承租人权益价值",INDIRECT("'"&amp;F2&amp;"'"&amp;"!c:c"))</f>
        <v>#REF!</v>
      </c>
      <c r="E2" s="3096" t="s">
        <v>865</v>
      </c>
      <c r="F2" s="3097"/>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446</v>
      </c>
      <c r="B3" s="950" t="e">
        <f ca="1">IF(C2="——",C37,ROUND(B2*10000/D3,0))</f>
        <v>#DIV/0!</v>
      </c>
      <c r="C3" s="742" t="s">
        <v>447</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448</v>
      </c>
      <c r="B4" s="744"/>
      <c r="C4" s="3728" t="s">
        <v>449</v>
      </c>
      <c r="D4" s="3729"/>
      <c r="E4" s="3730" t="s">
        <v>450</v>
      </c>
      <c r="F4" s="3731"/>
      <c r="G4" s="3728" t="s">
        <v>451</v>
      </c>
      <c r="H4" s="3729"/>
      <c r="I4" s="3728" t="s">
        <v>452</v>
      </c>
      <c r="J4" s="3729"/>
      <c r="K4" s="951" t="s">
        <v>453</v>
      </c>
      <c r="L4" s="2347"/>
      <c r="M4" s="2348"/>
      <c r="N4" s="2348"/>
      <c r="O4" s="2348"/>
      <c r="P4" s="3732" t="s">
        <v>454</v>
      </c>
      <c r="Q4" s="3733"/>
      <c r="R4" s="3738" t="s">
        <v>450</v>
      </c>
      <c r="S4" s="3739"/>
      <c r="T4" s="3738" t="s">
        <v>451</v>
      </c>
      <c r="U4" s="3739"/>
      <c r="V4" s="3744" t="s">
        <v>452</v>
      </c>
      <c r="W4" s="3744"/>
      <c r="X4" s="1316"/>
      <c r="Y4" s="3738" t="s">
        <v>454</v>
      </c>
      <c r="Z4" s="3739"/>
      <c r="AA4" s="3725" t="s">
        <v>450</v>
      </c>
      <c r="AB4" s="3726" t="s">
        <v>451</v>
      </c>
      <c r="AC4" s="3725" t="s">
        <v>452</v>
      </c>
    </row>
    <row r="5" spans="1:29" ht="15">
      <c r="A5" s="746"/>
      <c r="B5" s="747"/>
      <c r="C5" s="3691" t="s">
        <v>1127</v>
      </c>
      <c r="D5" s="3692"/>
      <c r="E5" s="3698" t="s">
        <v>1128</v>
      </c>
      <c r="F5" s="3699"/>
      <c r="G5" s="3691" t="s">
        <v>61</v>
      </c>
      <c r="H5" s="3692"/>
      <c r="I5" s="3691" t="s">
        <v>1129</v>
      </c>
      <c r="J5" s="3692"/>
      <c r="K5" s="951"/>
      <c r="L5" s="2347"/>
      <c r="M5" s="2348"/>
      <c r="N5" s="2348"/>
      <c r="O5" s="2348"/>
      <c r="P5" s="3734"/>
      <c r="Q5" s="3735"/>
      <c r="R5" s="3740"/>
      <c r="S5" s="3741"/>
      <c r="T5" s="3740"/>
      <c r="U5" s="3741"/>
      <c r="V5" s="3744"/>
      <c r="W5" s="3744"/>
      <c r="X5" s="1316"/>
      <c r="Y5" s="3740"/>
      <c r="Z5" s="3741"/>
      <c r="AA5" s="3726"/>
      <c r="AB5" s="3726"/>
      <c r="AC5" s="3726"/>
    </row>
    <row r="6" spans="1:29" ht="15.75" thickBot="1">
      <c r="A6" s="748"/>
      <c r="B6" s="749"/>
      <c r="C6" s="3689" t="s">
        <v>1130</v>
      </c>
      <c r="D6" s="3690"/>
      <c r="E6" s="3696" t="s">
        <v>1130</v>
      </c>
      <c r="F6" s="3697"/>
      <c r="G6" s="3689" t="s">
        <v>1130</v>
      </c>
      <c r="H6" s="3690"/>
      <c r="I6" s="3689" t="s">
        <v>1130</v>
      </c>
      <c r="J6" s="3690"/>
      <c r="K6" s="951" t="s">
        <v>396</v>
      </c>
      <c r="L6" s="2347"/>
      <c r="M6" s="2348"/>
      <c r="N6" s="2348"/>
      <c r="O6" s="2348"/>
      <c r="P6" s="3736"/>
      <c r="Q6" s="3737"/>
      <c r="R6" s="3740"/>
      <c r="S6" s="3741"/>
      <c r="T6" s="3742"/>
      <c r="U6" s="3743"/>
      <c r="V6" s="3744"/>
      <c r="W6" s="3744"/>
      <c r="X6" s="1316"/>
      <c r="Y6" s="3742"/>
      <c r="Z6" s="3743"/>
      <c r="AA6" s="3727"/>
      <c r="AB6" s="3727"/>
      <c r="AC6" s="3727"/>
    </row>
    <row r="7" spans="1:29" s="406" customFormat="1" ht="15.75" thickBot="1">
      <c r="A7" s="750" t="s">
        <v>397</v>
      </c>
      <c r="B7" s="751"/>
      <c r="C7" s="752">
        <f>'数据-取费表'!B2</f>
        <v>42986</v>
      </c>
      <c r="D7" s="753">
        <v>100</v>
      </c>
      <c r="E7" s="1015"/>
      <c r="F7" s="755">
        <f>SUMIF(46:46,YEAR(E7)&amp;"-"&amp;MONTH(E7),47:47)</f>
        <v>0</v>
      </c>
      <c r="G7" s="1016"/>
      <c r="H7" s="753">
        <f>SUMIF(46:46,YEAR(G7)&amp;"-"&amp;MONTH(G7),47:47)</f>
        <v>0</v>
      </c>
      <c r="I7" s="1015"/>
      <c r="J7" s="753">
        <f>SUMIF(46:46,YEAR(I7)&amp;"-"&amp;MONTH(I7),47:47)</f>
        <v>0</v>
      </c>
      <c r="K7" s="952"/>
      <c r="L7" s="2349"/>
      <c r="M7" s="2350"/>
      <c r="N7" s="2350"/>
      <c r="O7" s="2350"/>
      <c r="P7" s="3749" t="s">
        <v>398</v>
      </c>
      <c r="Q7" s="3751"/>
      <c r="R7" s="1317" t="s">
        <v>65</v>
      </c>
      <c r="S7" s="1318">
        <f t="shared" ref="S7:S14" si="0">F7</f>
        <v>0</v>
      </c>
      <c r="T7" s="1317" t="s">
        <v>65</v>
      </c>
      <c r="U7" s="1318">
        <f t="shared" ref="U7:U14" si="1">H7</f>
        <v>0</v>
      </c>
      <c r="V7" s="1317" t="s">
        <v>65</v>
      </c>
      <c r="W7" s="1318">
        <f t="shared" ref="W7:W14" si="2">J7</f>
        <v>0</v>
      </c>
      <c r="X7" s="1319"/>
      <c r="Y7" s="3749" t="s">
        <v>398</v>
      </c>
      <c r="Z7" s="3750"/>
      <c r="AA7" s="1320" t="e">
        <f>D7/F7</f>
        <v>#DIV/0!</v>
      </c>
      <c r="AB7" s="1320" t="e">
        <f>D7/H7</f>
        <v>#DIV/0!</v>
      </c>
      <c r="AC7" s="1320" t="e">
        <f>D7/J7</f>
        <v>#DIV/0!</v>
      </c>
    </row>
    <row r="8" spans="1:29" s="406" customFormat="1" ht="15.75" thickBot="1">
      <c r="A8" s="750" t="s">
        <v>399</v>
      </c>
      <c r="B8" s="751"/>
      <c r="C8" s="756" t="s">
        <v>416</v>
      </c>
      <c r="D8" s="753">
        <v>100</v>
      </c>
      <c r="E8" s="756"/>
      <c r="F8" s="755">
        <f>SUMIF(49:49,E8,50:50)-SUMIF(49:49,C8,50:50)+100</f>
        <v>0</v>
      </c>
      <c r="G8" s="756"/>
      <c r="H8" s="753">
        <f>SUMIF(49:49,G8,50:50)-SUMIF(49:49,C8,50:50)+100</f>
        <v>0</v>
      </c>
      <c r="I8" s="756"/>
      <c r="J8" s="753">
        <f>SUMIF(49:49,I8,50:50)-SUMIF(49:49,C8,50:50)+100</f>
        <v>0</v>
      </c>
      <c r="K8" s="952"/>
      <c r="L8" s="2349"/>
      <c r="M8" s="2350"/>
      <c r="N8" s="2350"/>
      <c r="O8" s="2350"/>
      <c r="P8" s="3749" t="s">
        <v>434</v>
      </c>
      <c r="Q8" s="3750"/>
      <c r="R8" s="1317" t="s">
        <v>65</v>
      </c>
      <c r="S8" s="1318">
        <f t="shared" si="0"/>
        <v>0</v>
      </c>
      <c r="T8" s="1317" t="s">
        <v>65</v>
      </c>
      <c r="U8" s="1318">
        <f t="shared" si="1"/>
        <v>0</v>
      </c>
      <c r="V8" s="1317" t="s">
        <v>65</v>
      </c>
      <c r="W8" s="1318">
        <f t="shared" si="2"/>
        <v>0</v>
      </c>
      <c r="X8" s="1319"/>
      <c r="Y8" s="3749" t="s">
        <v>434</v>
      </c>
      <c r="Z8" s="3750"/>
      <c r="AA8" s="1320" t="e">
        <f t="shared" ref="AA8:AA34" si="3">D8/F8</f>
        <v>#DIV/0!</v>
      </c>
      <c r="AB8" s="1320" t="e">
        <f t="shared" ref="AB8:AB34" si="4">D8/H8</f>
        <v>#DIV/0!</v>
      </c>
      <c r="AC8" s="1320" t="e">
        <f t="shared" ref="AC8:AC34" si="5">D8/J8</f>
        <v>#DIV/0!</v>
      </c>
    </row>
    <row r="9" spans="1:29" s="406" customFormat="1">
      <c r="A9" s="757" t="s">
        <v>400</v>
      </c>
      <c r="B9" s="360" t="s">
        <v>418</v>
      </c>
      <c r="C9" s="1344"/>
      <c r="D9" s="424">
        <v>100</v>
      </c>
      <c r="E9" s="761"/>
      <c r="F9" s="760">
        <f>SUMIF(51:51,E9,52:52)-SUMIF(51:51,C9,52:52)+100</f>
        <v>100</v>
      </c>
      <c r="G9" s="761"/>
      <c r="H9" s="424">
        <f>SUMIF(51:51,G9,52:52)-SUMIF(51:51,C9,52:52)+100</f>
        <v>100</v>
      </c>
      <c r="I9" s="761"/>
      <c r="J9" s="424">
        <f>SUMIF(51:51,I9,52:52)-SUMIF(51:51,C9,52:52)+100</f>
        <v>100</v>
      </c>
      <c r="K9" s="952"/>
      <c r="L9" s="2349"/>
      <c r="M9" s="2350"/>
      <c r="N9" s="2350"/>
      <c r="O9" s="2351"/>
      <c r="P9" s="3716" t="s">
        <v>401</v>
      </c>
      <c r="Q9" s="296" t="str">
        <f t="shared" ref="Q9:Q14" si="6">B9</f>
        <v>用途</v>
      </c>
      <c r="R9" s="1317" t="s">
        <v>65</v>
      </c>
      <c r="S9" s="1318">
        <f t="shared" si="0"/>
        <v>100</v>
      </c>
      <c r="T9" s="1317" t="s">
        <v>65</v>
      </c>
      <c r="U9" s="1318">
        <f t="shared" si="1"/>
        <v>100</v>
      </c>
      <c r="V9" s="1317" t="s">
        <v>65</v>
      </c>
      <c r="W9" s="1318">
        <f t="shared" si="2"/>
        <v>100</v>
      </c>
      <c r="X9" s="1319"/>
      <c r="Y9" s="3522" t="s">
        <v>402</v>
      </c>
      <c r="Z9" s="343" t="str">
        <f t="shared" ref="Z9:Z14" si="7">Q9</f>
        <v>用途</v>
      </c>
      <c r="AA9" s="1320">
        <f t="shared" si="3"/>
        <v>1</v>
      </c>
      <c r="AB9" s="1320">
        <f t="shared" si="4"/>
        <v>1</v>
      </c>
      <c r="AC9" s="1320">
        <f t="shared" si="5"/>
        <v>1</v>
      </c>
    </row>
    <row r="10" spans="1:29" s="769" customFormat="1" ht="27">
      <c r="A10" s="763"/>
      <c r="B10" s="764" t="s">
        <v>403</v>
      </c>
      <c r="C10" s="765"/>
      <c r="D10" s="425">
        <v>100</v>
      </c>
      <c r="E10" s="765"/>
      <c r="F10" s="767">
        <f>SUMIF(53:53,E10,54:54)-SUMIF(53:53,C10,54:54)+100</f>
        <v>100</v>
      </c>
      <c r="G10" s="765"/>
      <c r="H10" s="425">
        <f>SUMIF(53:53,G10,54:54)-SUMIF(53:53,C10,54:54)+100</f>
        <v>100</v>
      </c>
      <c r="I10" s="765"/>
      <c r="J10" s="425">
        <f>SUMIF(53:53,I10,54:54)-SUMIF(53:53,C10,54:54)+100</f>
        <v>100</v>
      </c>
      <c r="K10" s="953"/>
      <c r="L10" s="2352"/>
      <c r="M10" s="2353"/>
      <c r="N10" s="2353"/>
      <c r="O10" s="2354"/>
      <c r="P10" s="3716"/>
      <c r="Q10" s="296" t="str">
        <f t="shared" si="6"/>
        <v>土地使用年限（年）</v>
      </c>
      <c r="R10" s="1317" t="s">
        <v>65</v>
      </c>
      <c r="S10" s="1318">
        <f t="shared" si="0"/>
        <v>100</v>
      </c>
      <c r="T10" s="1317" t="s">
        <v>65</v>
      </c>
      <c r="U10" s="1318">
        <f t="shared" si="1"/>
        <v>100</v>
      </c>
      <c r="V10" s="1317" t="s">
        <v>65</v>
      </c>
      <c r="W10" s="1318">
        <f t="shared" si="2"/>
        <v>100</v>
      </c>
      <c r="X10" s="1319"/>
      <c r="Y10" s="3522"/>
      <c r="Z10" s="343"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55"/>
      <c r="M11" s="2348"/>
      <c r="N11" s="2348"/>
      <c r="O11" s="2356"/>
      <c r="P11" s="3716"/>
      <c r="Q11" s="296">
        <f t="shared" si="6"/>
        <v>111</v>
      </c>
      <c r="R11" s="1317" t="s">
        <v>65</v>
      </c>
      <c r="S11" s="1318">
        <f t="shared" si="0"/>
        <v>100</v>
      </c>
      <c r="T11" s="1317" t="s">
        <v>65</v>
      </c>
      <c r="U11" s="1318">
        <f t="shared" si="1"/>
        <v>100</v>
      </c>
      <c r="V11" s="1317" t="s">
        <v>65</v>
      </c>
      <c r="W11" s="1318">
        <f t="shared" si="2"/>
        <v>100</v>
      </c>
      <c r="X11" s="1319"/>
      <c r="Y11" s="3522"/>
      <c r="Z11" s="343">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9"/>
      <c r="M12" s="2350"/>
      <c r="N12" s="2350"/>
      <c r="O12" s="2351"/>
      <c r="P12" s="3716"/>
      <c r="Q12" s="296">
        <f t="shared" si="6"/>
        <v>111</v>
      </c>
      <c r="R12" s="1317" t="s">
        <v>65</v>
      </c>
      <c r="S12" s="1318">
        <f t="shared" si="0"/>
        <v>100</v>
      </c>
      <c r="T12" s="1317" t="s">
        <v>65</v>
      </c>
      <c r="U12" s="1318">
        <f t="shared" si="1"/>
        <v>100</v>
      </c>
      <c r="V12" s="1317" t="s">
        <v>65</v>
      </c>
      <c r="W12" s="1318">
        <f t="shared" si="2"/>
        <v>100</v>
      </c>
      <c r="X12" s="1319"/>
      <c r="Y12" s="3522"/>
      <c r="Z12" s="343">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57"/>
      <c r="M13" s="2348"/>
      <c r="N13" s="2348"/>
      <c r="O13" s="2356"/>
      <c r="P13" s="3716"/>
      <c r="Q13" s="296">
        <f t="shared" si="6"/>
        <v>111</v>
      </c>
      <c r="R13" s="1317" t="s">
        <v>65</v>
      </c>
      <c r="S13" s="1318">
        <f t="shared" si="0"/>
        <v>100</v>
      </c>
      <c r="T13" s="1317" t="s">
        <v>65</v>
      </c>
      <c r="U13" s="1318">
        <f t="shared" si="1"/>
        <v>100</v>
      </c>
      <c r="V13" s="1317" t="s">
        <v>65</v>
      </c>
      <c r="W13" s="1318">
        <f t="shared" si="2"/>
        <v>100</v>
      </c>
      <c r="X13" s="1319"/>
      <c r="Y13" s="3522"/>
      <c r="Z13" s="343">
        <f t="shared" si="7"/>
        <v>111</v>
      </c>
      <c r="AA13" s="1320">
        <f t="shared" si="3"/>
        <v>1</v>
      </c>
      <c r="AB13" s="1320">
        <f t="shared" si="4"/>
        <v>1</v>
      </c>
      <c r="AC13" s="1320">
        <f t="shared" si="5"/>
        <v>1</v>
      </c>
    </row>
    <row r="14" spans="1:29" ht="175.5">
      <c r="A14" s="782" t="s">
        <v>405</v>
      </c>
      <c r="B14" s="358"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95"/>
      <c r="F14" s="785">
        <f>SUMIF(61:61,E15,62:62)-SUMIF(61:61,C15,62:62)+100</f>
        <v>100</v>
      </c>
      <c r="G14" s="96"/>
      <c r="H14" s="783">
        <f>SUMIF(61:61,G15,62:62)-SUMIF(61:61,C15,62:62)+100</f>
        <v>100</v>
      </c>
      <c r="I14" s="95"/>
      <c r="J14" s="783">
        <f>SUMIF(61:61,I15,62:62)-SUMIF(61:61,C15,62:62)+100</f>
        <v>100</v>
      </c>
      <c r="K14" s="955"/>
      <c r="L14" s="2357"/>
      <c r="M14" s="2348"/>
      <c r="N14" s="2348"/>
      <c r="O14" s="2356"/>
      <c r="P14" s="3721" t="s">
        <v>406</v>
      </c>
      <c r="Q14" s="1321" t="str">
        <f t="shared" si="6"/>
        <v>交通便捷度</v>
      </c>
      <c r="R14" s="1322" t="s">
        <v>65</v>
      </c>
      <c r="S14" s="1323">
        <f t="shared" si="0"/>
        <v>100</v>
      </c>
      <c r="T14" s="1322" t="s">
        <v>65</v>
      </c>
      <c r="U14" s="1323">
        <f t="shared" si="1"/>
        <v>100</v>
      </c>
      <c r="V14" s="1322" t="s">
        <v>65</v>
      </c>
      <c r="W14" s="1323">
        <f t="shared" si="2"/>
        <v>100</v>
      </c>
      <c r="X14" s="1316"/>
      <c r="Y14" s="3721" t="s">
        <v>406</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57"/>
      <c r="M15" s="2348"/>
      <c r="N15" s="2348"/>
      <c r="O15" s="2356"/>
      <c r="P15" s="3722"/>
      <c r="Q15" s="1321"/>
      <c r="R15" s="1322"/>
      <c r="S15" s="1323"/>
      <c r="T15" s="1322"/>
      <c r="U15" s="1323"/>
      <c r="V15" s="1322"/>
      <c r="W15" s="1323"/>
      <c r="X15" s="1316"/>
      <c r="Y15" s="3722"/>
      <c r="Z15" s="1324"/>
      <c r="AA15" s="1325">
        <v>1</v>
      </c>
      <c r="AB15" s="1325">
        <v>1</v>
      </c>
      <c r="AC15" s="1325">
        <v>1</v>
      </c>
    </row>
    <row r="16" spans="1:29" ht="216">
      <c r="A16" s="770"/>
      <c r="B16" s="1354"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105"/>
      <c r="F16" s="800">
        <f>SUMIF(63:63,E17,64:64)-SUMIF(63:63,C17,64:64)+100</f>
        <v>100</v>
      </c>
      <c r="G16" s="106"/>
      <c r="H16" s="797">
        <f>SUMIF(63:63,G17,64:64)-SUMIF(63:63,C17,64:64)+100</f>
        <v>100</v>
      </c>
      <c r="I16" s="105"/>
      <c r="J16" s="797">
        <f>SUMIF(63:63,I17,64:64)-SUMIF(63:63,C17,64:64)+100</f>
        <v>100</v>
      </c>
      <c r="K16" s="955"/>
      <c r="L16" s="2357"/>
      <c r="M16" s="2348"/>
      <c r="N16" s="2348"/>
      <c r="O16" s="2356"/>
      <c r="P16" s="3722"/>
      <c r="Q16" s="1321" t="str">
        <f>B16</f>
        <v>公共配套设施</v>
      </c>
      <c r="R16" s="1322" t="s">
        <v>65</v>
      </c>
      <c r="S16" s="1323">
        <f>F16</f>
        <v>100</v>
      </c>
      <c r="T16" s="1322" t="s">
        <v>65</v>
      </c>
      <c r="U16" s="1323">
        <f>H16</f>
        <v>100</v>
      </c>
      <c r="V16" s="1322" t="s">
        <v>65</v>
      </c>
      <c r="W16" s="1323">
        <f>J16</f>
        <v>100</v>
      </c>
      <c r="X16" s="1316"/>
      <c r="Y16" s="3722"/>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57"/>
      <c r="M17" s="2348"/>
      <c r="N17" s="2348"/>
      <c r="O17" s="2356"/>
      <c r="P17" s="3722"/>
      <c r="Q17" s="1321"/>
      <c r="R17" s="1322"/>
      <c r="S17" s="1323"/>
      <c r="T17" s="1322"/>
      <c r="U17" s="1323"/>
      <c r="V17" s="1322"/>
      <c r="W17" s="1323"/>
      <c r="X17" s="1316"/>
      <c r="Y17" s="3722"/>
      <c r="Z17" s="1324"/>
      <c r="AA17" s="1325">
        <v>1</v>
      </c>
      <c r="AB17" s="1325">
        <v>1</v>
      </c>
      <c r="AC17" s="1325">
        <v>1</v>
      </c>
    </row>
    <row r="18" spans="1:29" ht="40.5">
      <c r="A18" s="770"/>
      <c r="B18" s="1410" t="s">
        <v>2664</v>
      </c>
      <c r="C18" s="158" t="str">
        <f>IF(B1="工业",估价对象房地状况!G6,估价对象房地状况!C8)</f>
        <v>估价对象所在区域基础设施水平达到七通</v>
      </c>
      <c r="D18" s="797">
        <v>100</v>
      </c>
      <c r="E18" s="100"/>
      <c r="F18" s="800">
        <f>SUMIF(65:65,E19,66:66)-SUMIF(65:65,C19,66:66)+100</f>
        <v>100</v>
      </c>
      <c r="G18" s="101"/>
      <c r="H18" s="797">
        <f>SUMIF(65:65,G19,66:66)-SUMIF(65:65,C19,66:66)+100</f>
        <v>100</v>
      </c>
      <c r="I18" s="105"/>
      <c r="J18" s="797">
        <f>SUMIF(65:65,I19,66:66)-SUMIF(65:65,C19,66:66)+100</f>
        <v>100</v>
      </c>
      <c r="K18" s="955"/>
      <c r="L18" s="2357"/>
      <c r="M18" s="2348"/>
      <c r="N18" s="2348"/>
      <c r="O18" s="2356"/>
      <c r="P18" s="3722"/>
      <c r="Q18" s="2748" t="str">
        <f>B18</f>
        <v>基础设施水平</v>
      </c>
      <c r="R18" s="1322" t="s">
        <v>65</v>
      </c>
      <c r="S18" s="1323">
        <f>F18</f>
        <v>100</v>
      </c>
      <c r="T18" s="1322" t="s">
        <v>65</v>
      </c>
      <c r="U18" s="1323">
        <f>H18</f>
        <v>100</v>
      </c>
      <c r="V18" s="1322" t="s">
        <v>65</v>
      </c>
      <c r="W18" s="1323">
        <f>J18</f>
        <v>100</v>
      </c>
      <c r="X18" s="2750"/>
      <c r="Y18" s="3722"/>
      <c r="Z18" s="2749" t="str">
        <f>Q18</f>
        <v>基础设施水平</v>
      </c>
      <c r="AA18" s="1325">
        <f t="shared" ref="AA18" si="8">D18/F18</f>
        <v>1</v>
      </c>
      <c r="AB18" s="1325">
        <f t="shared" ref="AB18" si="9">D18/H18</f>
        <v>1</v>
      </c>
      <c r="AC18" s="1325">
        <f t="shared" ref="AC18" si="10">D18/J18</f>
        <v>1</v>
      </c>
    </row>
    <row r="19" spans="1:29" ht="15">
      <c r="A19" s="770"/>
      <c r="B19" s="2768"/>
      <c r="C19" s="102"/>
      <c r="D19" s="792"/>
      <c r="E19" s="102"/>
      <c r="F19" s="795"/>
      <c r="G19" s="102"/>
      <c r="H19" s="790"/>
      <c r="I19" s="97"/>
      <c r="J19" s="790"/>
      <c r="K19" s="2766"/>
      <c r="L19" s="2357"/>
      <c r="M19" s="2348"/>
      <c r="N19" s="2348"/>
      <c r="O19" s="2356"/>
      <c r="P19" s="3722"/>
      <c r="Q19" s="2748"/>
      <c r="R19" s="1322"/>
      <c r="S19" s="1323"/>
      <c r="T19" s="1322"/>
      <c r="U19" s="1323"/>
      <c r="V19" s="1322"/>
      <c r="W19" s="1323"/>
      <c r="X19" s="2750"/>
      <c r="Y19" s="3722"/>
      <c r="Z19" s="2749"/>
      <c r="AA19" s="1325">
        <v>1</v>
      </c>
      <c r="AB19" s="1325">
        <v>1</v>
      </c>
      <c r="AC19" s="1325">
        <v>1</v>
      </c>
    </row>
    <row r="20" spans="1:29" ht="175.5">
      <c r="A20" s="770"/>
      <c r="B20" s="793"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105"/>
      <c r="F20" s="800">
        <f>SUMIF(67:67,E21,68:68)-SUMIF(67:67,C21,68:68)+100</f>
        <v>100</v>
      </c>
      <c r="G20" s="106"/>
      <c r="H20" s="792">
        <f>SUMIF(67:67,G21,68:68)-SUMIF(67:67,C21,68:68)+100</f>
        <v>100</v>
      </c>
      <c r="I20" s="100"/>
      <c r="J20" s="792">
        <f>SUMIF(67:67,I21,68:68)-SUMIF(67:67,C21,68:68)+100</f>
        <v>100</v>
      </c>
      <c r="K20" s="955"/>
      <c r="L20" s="2357"/>
      <c r="M20" s="2348"/>
      <c r="N20" s="2348"/>
      <c r="O20" s="2356"/>
      <c r="P20" s="3722"/>
      <c r="Q20" s="1321" t="str">
        <f>B20</f>
        <v>自然及人文环境</v>
      </c>
      <c r="R20" s="1322" t="s">
        <v>65</v>
      </c>
      <c r="S20" s="1323">
        <f>F20</f>
        <v>100</v>
      </c>
      <c r="T20" s="1322" t="s">
        <v>65</v>
      </c>
      <c r="U20" s="1323">
        <f>H20</f>
        <v>100</v>
      </c>
      <c r="V20" s="1322" t="s">
        <v>65</v>
      </c>
      <c r="W20" s="1323">
        <f>J20</f>
        <v>100</v>
      </c>
      <c r="X20" s="1316"/>
      <c r="Y20" s="3722"/>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57"/>
      <c r="M21" s="2348"/>
      <c r="N21" s="2348"/>
      <c r="O21" s="2356"/>
      <c r="P21" s="3722"/>
      <c r="Q21" s="1321"/>
      <c r="R21" s="1322"/>
      <c r="S21" s="1323"/>
      <c r="T21" s="1322"/>
      <c r="U21" s="1323"/>
      <c r="V21" s="1322"/>
      <c r="W21" s="1323"/>
      <c r="X21" s="1316"/>
      <c r="Y21" s="3722"/>
      <c r="Z21" s="1324"/>
      <c r="AA21" s="1325">
        <v>1</v>
      </c>
      <c r="AB21" s="1325">
        <v>1</v>
      </c>
      <c r="AC21" s="1325">
        <v>1</v>
      </c>
    </row>
    <row r="22" spans="1:29" ht="15">
      <c r="A22" s="770"/>
      <c r="B22" s="793" t="s">
        <v>457</v>
      </c>
      <c r="C22" s="957"/>
      <c r="D22" s="792">
        <v>100</v>
      </c>
      <c r="E22" s="957"/>
      <c r="F22" s="803">
        <f>SUMIF(69:69,E22,70:70)-SUMIF(69:69,C22,70:70)+100</f>
        <v>100</v>
      </c>
      <c r="G22" s="957"/>
      <c r="H22" s="777">
        <f>SUMIF(69:69,G22,70:70)-SUMIF(69:69,C22,70:70)+100</f>
        <v>100</v>
      </c>
      <c r="I22" s="957"/>
      <c r="J22" s="777">
        <f>SUMIF(69:69,I22,70:70)-SUMIF(69:69,C22,70:70)+100</f>
        <v>100</v>
      </c>
      <c r="K22" s="953"/>
      <c r="L22" s="2357"/>
      <c r="M22" s="2348"/>
      <c r="N22" s="2348"/>
      <c r="O22" s="2356"/>
      <c r="P22" s="3722"/>
      <c r="Q22" s="1321" t="str">
        <f>B22</f>
        <v>楼层</v>
      </c>
      <c r="R22" s="1322" t="s">
        <v>65</v>
      </c>
      <c r="S22" s="1323">
        <f>F22</f>
        <v>100</v>
      </c>
      <c r="T22" s="1322" t="s">
        <v>65</v>
      </c>
      <c r="U22" s="1323">
        <f>H22</f>
        <v>100</v>
      </c>
      <c r="V22" s="1322" t="s">
        <v>65</v>
      </c>
      <c r="W22" s="1323">
        <f>J22</f>
        <v>100</v>
      </c>
      <c r="X22" s="1316"/>
      <c r="Y22" s="3722"/>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57"/>
      <c r="M23" s="2348"/>
      <c r="N23" s="2348"/>
      <c r="O23" s="2356"/>
      <c r="P23" s="3722"/>
      <c r="Q23" s="1321">
        <f>B23</f>
        <v>111</v>
      </c>
      <c r="R23" s="1322" t="s">
        <v>65</v>
      </c>
      <c r="S23" s="1323">
        <f>F23</f>
        <v>100</v>
      </c>
      <c r="T23" s="1322" t="s">
        <v>65</v>
      </c>
      <c r="U23" s="1323">
        <f>H23</f>
        <v>100</v>
      </c>
      <c r="V23" s="1322" t="s">
        <v>65</v>
      </c>
      <c r="W23" s="1323">
        <f>J23</f>
        <v>100</v>
      </c>
      <c r="X23" s="1316"/>
      <c r="Y23" s="3722"/>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57"/>
      <c r="M24" s="2348"/>
      <c r="N24" s="2348"/>
      <c r="O24" s="2356"/>
      <c r="P24" s="3722"/>
      <c r="Q24" s="1321">
        <f t="shared" ref="Q24:Q34" si="11">B24</f>
        <v>111</v>
      </c>
      <c r="R24" s="1322" t="s">
        <v>65</v>
      </c>
      <c r="S24" s="1323">
        <f>F24</f>
        <v>100</v>
      </c>
      <c r="T24" s="1322" t="s">
        <v>65</v>
      </c>
      <c r="U24" s="1323">
        <f>H24</f>
        <v>100</v>
      </c>
      <c r="V24" s="1322" t="s">
        <v>65</v>
      </c>
      <c r="W24" s="1323">
        <f>J24</f>
        <v>100</v>
      </c>
      <c r="X24" s="1316"/>
      <c r="Y24" s="3722"/>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722"/>
      <c r="Q25" s="296">
        <f t="shared" si="11"/>
        <v>111</v>
      </c>
      <c r="R25" s="1317" t="s">
        <v>65</v>
      </c>
      <c r="S25" s="1318">
        <f>F25</f>
        <v>100</v>
      </c>
      <c r="T25" s="1317" t="s">
        <v>65</v>
      </c>
      <c r="U25" s="1318">
        <f>H25</f>
        <v>100</v>
      </c>
      <c r="V25" s="1317" t="s">
        <v>65</v>
      </c>
      <c r="W25" s="1318">
        <f>J25</f>
        <v>100</v>
      </c>
      <c r="X25" s="1319"/>
      <c r="Y25" s="3722"/>
      <c r="Z25" s="343">
        <f>Q25</f>
        <v>111</v>
      </c>
      <c r="AA25" s="1325">
        <f>D25/F25</f>
        <v>1</v>
      </c>
      <c r="AB25" s="1325">
        <f>D25/H25</f>
        <v>1</v>
      </c>
      <c r="AC25" s="1325">
        <f>D25/J25</f>
        <v>1</v>
      </c>
    </row>
    <row r="26" spans="1:29" ht="15">
      <c r="A26" s="807" t="s">
        <v>407</v>
      </c>
      <c r="B26" s="360" t="s">
        <v>460</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723" t="s">
        <v>473</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24" t="s">
        <v>473</v>
      </c>
      <c r="Z26" s="1324" t="str">
        <f t="shared" ref="Z26:Z34" si="15">Q26</f>
        <v>公共部分装修</v>
      </c>
      <c r="AA26" s="1325">
        <f t="shared" si="3"/>
        <v>1</v>
      </c>
      <c r="AB26" s="1325">
        <f t="shared" si="4"/>
        <v>1</v>
      </c>
      <c r="AC26" s="1325">
        <f t="shared" si="5"/>
        <v>1</v>
      </c>
    </row>
    <row r="27" spans="1:29" s="812" customFormat="1" ht="15">
      <c r="A27" s="809"/>
      <c r="B27" s="764" t="s">
        <v>461</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55"/>
      <c r="M27" s="2358"/>
      <c r="N27" s="2358"/>
      <c r="O27" s="2359"/>
      <c r="P27" s="3724"/>
      <c r="Q27" s="1326" t="str">
        <f t="shared" si="11"/>
        <v>成新率</v>
      </c>
      <c r="R27" s="1327" t="s">
        <v>65</v>
      </c>
      <c r="S27" s="1328" t="e">
        <f t="shared" si="12"/>
        <v>#N/A</v>
      </c>
      <c r="T27" s="1327" t="s">
        <v>65</v>
      </c>
      <c r="U27" s="1328" t="e">
        <f t="shared" si="13"/>
        <v>#N/A</v>
      </c>
      <c r="V27" s="1327" t="s">
        <v>65</v>
      </c>
      <c r="W27" s="1328" t="e">
        <f t="shared" si="14"/>
        <v>#N/A</v>
      </c>
      <c r="X27" s="1329"/>
      <c r="Y27" s="3724"/>
      <c r="Z27" s="1330" t="str">
        <f t="shared" si="15"/>
        <v>成新率</v>
      </c>
      <c r="AA27" s="1325" t="e">
        <f t="shared" si="3"/>
        <v>#N/A</v>
      </c>
      <c r="AB27" s="1325" t="e">
        <f t="shared" si="4"/>
        <v>#N/A</v>
      </c>
      <c r="AC27" s="1325" t="e">
        <f t="shared" si="5"/>
        <v>#N/A</v>
      </c>
    </row>
    <row r="28" spans="1:29" ht="15">
      <c r="A28" s="813"/>
      <c r="B28" s="764" t="s">
        <v>462</v>
      </c>
      <c r="C28" s="107"/>
      <c r="D28" s="777">
        <v>100</v>
      </c>
      <c r="E28" s="107"/>
      <c r="F28" s="803">
        <f>SUMIF(82:82,E28,83:83)-SUMIF(82:82,C28,83:83)+100</f>
        <v>100</v>
      </c>
      <c r="G28" s="107"/>
      <c r="H28" s="777">
        <f>SUMIF(82:82,G28,83:83)-SUMIF(82:82,C28,83:83)+100</f>
        <v>100</v>
      </c>
      <c r="I28" s="107"/>
      <c r="J28" s="777">
        <f>SUMIF(82:82,I28,83:83)-SUMIF(82:82,C28,83:83)+100</f>
        <v>100</v>
      </c>
      <c r="K28" s="953"/>
      <c r="L28" s="2357"/>
      <c r="M28" s="2348"/>
      <c r="N28" s="2348"/>
      <c r="O28" s="2356"/>
      <c r="P28" s="3724"/>
      <c r="Q28" s="1321" t="str">
        <f t="shared" si="11"/>
        <v>物业等级</v>
      </c>
      <c r="R28" s="1322" t="s">
        <v>65</v>
      </c>
      <c r="S28" s="1323">
        <f t="shared" si="12"/>
        <v>100</v>
      </c>
      <c r="T28" s="1322" t="s">
        <v>65</v>
      </c>
      <c r="U28" s="1323">
        <f t="shared" si="13"/>
        <v>100</v>
      </c>
      <c r="V28" s="1322" t="s">
        <v>65</v>
      </c>
      <c r="W28" s="1323">
        <f t="shared" si="14"/>
        <v>100</v>
      </c>
      <c r="X28" s="1316"/>
      <c r="Y28" s="3724"/>
      <c r="Z28" s="1324" t="str">
        <f t="shared" si="15"/>
        <v>物业等级</v>
      </c>
      <c r="AA28" s="1325">
        <f t="shared" si="3"/>
        <v>1</v>
      </c>
      <c r="AB28" s="1325">
        <f t="shared" si="4"/>
        <v>1</v>
      </c>
      <c r="AC28" s="1325">
        <f t="shared" si="5"/>
        <v>1</v>
      </c>
    </row>
    <row r="29" spans="1:29" ht="15">
      <c r="A29" s="813"/>
      <c r="B29" s="764" t="s">
        <v>474</v>
      </c>
      <c r="C29" s="1411"/>
      <c r="D29" s="777">
        <v>100</v>
      </c>
      <c r="E29" s="1411"/>
      <c r="F29" s="803">
        <f>SUMIF(84:84,E29,85:85)-SUMIF(84:84,C29,85:85)+100</f>
        <v>100</v>
      </c>
      <c r="G29" s="1411"/>
      <c r="H29" s="777">
        <f>SUMIF(84:84,G29,85:85)-SUMIF(84:84,C29,85:85)+100</f>
        <v>100</v>
      </c>
      <c r="I29" s="1411"/>
      <c r="J29" s="777">
        <f>SUMIF(84:84,I29,85:85)-SUMIF(84:84,C29,85:85)+100</f>
        <v>100</v>
      </c>
      <c r="K29" s="953"/>
      <c r="L29" s="2357"/>
      <c r="M29" s="2348"/>
      <c r="N29" s="2348"/>
      <c r="O29" s="2356"/>
      <c r="P29" s="3724"/>
      <c r="Q29" s="1321" t="str">
        <f t="shared" si="11"/>
        <v>有无电梯</v>
      </c>
      <c r="R29" s="1322" t="s">
        <v>65</v>
      </c>
      <c r="S29" s="1323">
        <f t="shared" si="12"/>
        <v>100</v>
      </c>
      <c r="T29" s="1322" t="s">
        <v>65</v>
      </c>
      <c r="U29" s="1323">
        <f t="shared" si="13"/>
        <v>100</v>
      </c>
      <c r="V29" s="1322" t="s">
        <v>65</v>
      </c>
      <c r="W29" s="1323">
        <f t="shared" si="14"/>
        <v>100</v>
      </c>
      <c r="X29" s="1316"/>
      <c r="Y29" s="3724"/>
      <c r="Z29" s="1324" t="str">
        <f t="shared" si="15"/>
        <v>有无电梯</v>
      </c>
      <c r="AA29" s="1325">
        <f t="shared" si="3"/>
        <v>1</v>
      </c>
      <c r="AB29" s="1325">
        <f t="shared" si="4"/>
        <v>1</v>
      </c>
      <c r="AC29" s="1325">
        <f t="shared" si="5"/>
        <v>1</v>
      </c>
    </row>
    <row r="30" spans="1:29" ht="15">
      <c r="A30" s="813"/>
      <c r="B30" s="764" t="s">
        <v>475</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57"/>
      <c r="M30" s="2348"/>
      <c r="N30" s="2348"/>
      <c r="O30" s="2356"/>
      <c r="P30" s="3724"/>
      <c r="Q30" s="1321" t="str">
        <f t="shared" si="11"/>
        <v>建筑面积</v>
      </c>
      <c r="R30" s="1322" t="s">
        <v>65</v>
      </c>
      <c r="S30" s="1323" t="e">
        <f t="shared" si="12"/>
        <v>#N/A</v>
      </c>
      <c r="T30" s="1322" t="s">
        <v>65</v>
      </c>
      <c r="U30" s="1323" t="e">
        <f t="shared" si="13"/>
        <v>#N/A</v>
      </c>
      <c r="V30" s="1322" t="s">
        <v>65</v>
      </c>
      <c r="W30" s="1323" t="e">
        <f t="shared" si="14"/>
        <v>#N/A</v>
      </c>
      <c r="X30" s="1316"/>
      <c r="Y30" s="3724"/>
      <c r="Z30" s="1324" t="str">
        <f t="shared" si="15"/>
        <v>建筑面积</v>
      </c>
      <c r="AA30" s="1325" t="e">
        <f t="shared" si="3"/>
        <v>#N/A</v>
      </c>
      <c r="AB30" s="1325" t="e">
        <f t="shared" si="4"/>
        <v>#N/A</v>
      </c>
      <c r="AC30" s="1325" t="e">
        <f t="shared" si="5"/>
        <v>#N/A</v>
      </c>
    </row>
    <row r="31" spans="1:29" s="406" customFormat="1" ht="15">
      <c r="A31" s="814"/>
      <c r="B31" s="764" t="s">
        <v>476</v>
      </c>
      <c r="C31" s="1411"/>
      <c r="D31" s="425">
        <v>100</v>
      </c>
      <c r="E31" s="1411"/>
      <c r="F31" s="803">
        <f>SUMIF(89:89,E31,90:90)-SUMIF(89:89,C31,90:90)+100</f>
        <v>100</v>
      </c>
      <c r="G31" s="1411"/>
      <c r="H31" s="777">
        <f>SUMIF(89:89,G31,90:90)-SUMIF(89:89,C31,90:90)+100</f>
        <v>100</v>
      </c>
      <c r="I31" s="1411"/>
      <c r="J31" s="777">
        <f>SUMIF(89:89,I31,90:90)-SUMIF(89:89,C31,90:90)+100</f>
        <v>100</v>
      </c>
      <c r="K31" s="953"/>
      <c r="L31" s="2349"/>
      <c r="M31" s="2350"/>
      <c r="N31" s="2350"/>
      <c r="O31" s="2351"/>
      <c r="P31" s="3724"/>
      <c r="Q31" s="296" t="str">
        <f t="shared" si="11"/>
        <v>是否封闭</v>
      </c>
      <c r="R31" s="1317" t="s">
        <v>65</v>
      </c>
      <c r="S31" s="1318">
        <f t="shared" si="12"/>
        <v>100</v>
      </c>
      <c r="T31" s="1317" t="s">
        <v>65</v>
      </c>
      <c r="U31" s="1318">
        <f t="shared" si="13"/>
        <v>100</v>
      </c>
      <c r="V31" s="1317" t="s">
        <v>65</v>
      </c>
      <c r="W31" s="1318">
        <f t="shared" si="14"/>
        <v>100</v>
      </c>
      <c r="X31" s="1319"/>
      <c r="Y31" s="3724"/>
      <c r="Z31" s="343"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57"/>
      <c r="M32" s="2348"/>
      <c r="N32" s="2348"/>
      <c r="O32" s="2356"/>
      <c r="P32" s="3724" t="s">
        <v>408</v>
      </c>
      <c r="Q32" s="1321">
        <f t="shared" si="11"/>
        <v>111</v>
      </c>
      <c r="R32" s="1322" t="s">
        <v>65</v>
      </c>
      <c r="S32" s="1323">
        <f t="shared" si="12"/>
        <v>100</v>
      </c>
      <c r="T32" s="1322" t="s">
        <v>65</v>
      </c>
      <c r="U32" s="1323">
        <f t="shared" si="13"/>
        <v>100</v>
      </c>
      <c r="V32" s="1322" t="s">
        <v>65</v>
      </c>
      <c r="W32" s="1323">
        <f t="shared" si="14"/>
        <v>100</v>
      </c>
      <c r="X32" s="1316"/>
      <c r="Y32" s="3724" t="s">
        <v>408</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57"/>
      <c r="M33" s="2348"/>
      <c r="N33" s="2348"/>
      <c r="O33" s="2356"/>
      <c r="P33" s="3724"/>
      <c r="Q33" s="1321">
        <f t="shared" si="11"/>
        <v>111</v>
      </c>
      <c r="R33" s="1322" t="s">
        <v>65</v>
      </c>
      <c r="S33" s="1323">
        <f t="shared" si="12"/>
        <v>100</v>
      </c>
      <c r="T33" s="1322" t="s">
        <v>65</v>
      </c>
      <c r="U33" s="1323">
        <f t="shared" si="13"/>
        <v>100</v>
      </c>
      <c r="V33" s="1322" t="s">
        <v>65</v>
      </c>
      <c r="W33" s="1323">
        <f t="shared" si="14"/>
        <v>100</v>
      </c>
      <c r="X33" s="1316"/>
      <c r="Y33" s="3724"/>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57"/>
      <c r="M34" s="2348"/>
      <c r="N34" s="2348"/>
      <c r="O34" s="2356"/>
      <c r="P34" s="3724"/>
      <c r="Q34" s="1321">
        <f t="shared" si="11"/>
        <v>111</v>
      </c>
      <c r="R34" s="1322" t="s">
        <v>65</v>
      </c>
      <c r="S34" s="1323">
        <f t="shared" si="12"/>
        <v>100</v>
      </c>
      <c r="T34" s="1322" t="s">
        <v>65</v>
      </c>
      <c r="U34" s="1323">
        <f t="shared" si="13"/>
        <v>100</v>
      </c>
      <c r="V34" s="1322" t="s">
        <v>65</v>
      </c>
      <c r="W34" s="1323">
        <f t="shared" si="14"/>
        <v>100</v>
      </c>
      <c r="X34" s="1316"/>
      <c r="Y34" s="3724"/>
      <c r="Z34" s="1324">
        <f t="shared" si="15"/>
        <v>111</v>
      </c>
      <c r="AA34" s="1325">
        <f t="shared" si="3"/>
        <v>1</v>
      </c>
      <c r="AB34" s="1325">
        <f t="shared" si="4"/>
        <v>1</v>
      </c>
      <c r="AC34" s="1325">
        <f t="shared" si="5"/>
        <v>1</v>
      </c>
    </row>
    <row r="35" spans="1:29" ht="15">
      <c r="A35" s="820" t="s">
        <v>409</v>
      </c>
      <c r="B35" s="821"/>
      <c r="C35" s="2832" t="s">
        <v>23</v>
      </c>
      <c r="D35" s="2833"/>
      <c r="E35" s="2834"/>
      <c r="F35" s="2835"/>
      <c r="G35" s="2836"/>
      <c r="H35" s="2837"/>
      <c r="I35" s="2834"/>
      <c r="J35" s="2837"/>
      <c r="K35" s="1398"/>
      <c r="L35" s="2360"/>
      <c r="M35" s="2361"/>
      <c r="N35" s="2348"/>
      <c r="O35" s="2361"/>
      <c r="P35" s="3716" t="str">
        <f>A35</f>
        <v>成交单价（元/平方米）</v>
      </c>
      <c r="Q35" s="3716"/>
      <c r="R35" s="3717">
        <f>E35</f>
        <v>0</v>
      </c>
      <c r="S35" s="3717"/>
      <c r="T35" s="3717">
        <f>G35</f>
        <v>0</v>
      </c>
      <c r="U35" s="3717"/>
      <c r="V35" s="3717">
        <f>I35</f>
        <v>0</v>
      </c>
      <c r="W35" s="3717"/>
      <c r="X35" s="1305"/>
      <c r="Y35" s="1331"/>
      <c r="Z35" s="1305"/>
      <c r="AA35" s="1305"/>
      <c r="AB35" s="1305"/>
      <c r="AC35" s="1305"/>
    </row>
    <row r="36" spans="1:29" ht="15.75" thickBot="1">
      <c r="A36" s="827" t="s">
        <v>410</v>
      </c>
      <c r="B36" s="828"/>
      <c r="C36" s="2838" t="e">
        <f>R37</f>
        <v>#DIV/0!</v>
      </c>
      <c r="D36" s="2839"/>
      <c r="E36" s="2840" t="e">
        <f>R36</f>
        <v>#DIV/0!</v>
      </c>
      <c r="F36" s="2840"/>
      <c r="G36" s="2838" t="e">
        <f>T36</f>
        <v>#DIV/0!</v>
      </c>
      <c r="H36" s="2839"/>
      <c r="I36" s="2840" t="e">
        <f>V36</f>
        <v>#DIV/0!</v>
      </c>
      <c r="J36" s="2839"/>
      <c r="K36" s="1399"/>
      <c r="L36" s="2360"/>
      <c r="M36" s="2361"/>
      <c r="N36" s="2348"/>
      <c r="O36" s="2361"/>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1305"/>
      <c r="Y36" s="1305"/>
      <c r="Z36" s="1305"/>
      <c r="AA36" s="1305"/>
      <c r="AB36" s="1305"/>
      <c r="AC36" s="1305"/>
    </row>
    <row r="37" spans="1:29" ht="15.75" thickBot="1">
      <c r="A37" s="115" t="s">
        <v>3013</v>
      </c>
      <c r="B37" s="834"/>
      <c r="C37" s="2842" t="e">
        <f>R37</f>
        <v>#DIV/0!</v>
      </c>
      <c r="D37" s="2842"/>
      <c r="E37" s="2842"/>
      <c r="F37" s="2842"/>
      <c r="G37" s="2842"/>
      <c r="H37" s="2842"/>
      <c r="I37" s="2842"/>
      <c r="J37" s="2842"/>
      <c r="K37" s="1400"/>
      <c r="L37" s="2360"/>
      <c r="M37" s="2361"/>
      <c r="N37" s="2361"/>
      <c r="O37" s="2361"/>
      <c r="P37" s="3718" t="str">
        <f>A37</f>
        <v>估价对象XX用房的比较价值（楼面单价，元/平方米）</v>
      </c>
      <c r="Q37" s="3719"/>
      <c r="R37" s="3720" t="e">
        <f>IF(F1="售价",ROUND(AVERAGE(R36:V36),0),ROUND(AVERAGE(R36:V36),1))</f>
        <v>#DIV/0!</v>
      </c>
      <c r="S37" s="3720"/>
      <c r="T37" s="3720"/>
      <c r="U37" s="3720"/>
      <c r="V37" s="3720"/>
      <c r="W37" s="3720"/>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414</v>
      </c>
      <c r="B45" s="1305"/>
      <c r="C45" s="1310"/>
      <c r="D45" s="1310"/>
      <c r="E45" s="1310"/>
      <c r="F45" s="1311"/>
      <c r="G45" s="1311"/>
      <c r="H45" s="1310"/>
      <c r="I45" s="1310"/>
      <c r="J45" s="1310"/>
      <c r="K45" s="1312"/>
      <c r="L45" s="1313"/>
      <c r="M45" s="1310"/>
      <c r="N45" s="1310"/>
      <c r="O45" s="1310"/>
      <c r="P45" s="844"/>
      <c r="Q45" s="845"/>
    </row>
    <row r="46" spans="1:29" s="849" customFormat="1" ht="15">
      <c r="A46" s="846" t="s">
        <v>397</v>
      </c>
      <c r="B46" s="847"/>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415</v>
      </c>
      <c r="B48" s="857"/>
      <c r="C48" s="858"/>
      <c r="D48" s="859"/>
      <c r="E48" s="859"/>
      <c r="F48" s="859"/>
      <c r="G48" s="859"/>
      <c r="H48" s="859"/>
      <c r="I48" s="859"/>
      <c r="J48" s="859"/>
      <c r="K48" s="859"/>
      <c r="L48" s="859"/>
      <c r="M48" s="860"/>
      <c r="N48" s="859"/>
      <c r="O48" s="861"/>
      <c r="P48" s="845"/>
      <c r="Q48" s="845"/>
    </row>
    <row r="49" spans="1:17" s="406" customFormat="1" ht="15">
      <c r="A49" s="862" t="s">
        <v>399</v>
      </c>
      <c r="B49" s="851"/>
      <c r="C49" s="863" t="s">
        <v>416</v>
      </c>
      <c r="D49" s="140"/>
      <c r="E49" s="140"/>
      <c r="F49" s="140"/>
      <c r="G49" s="140"/>
      <c r="H49" s="140"/>
      <c r="I49" s="140"/>
      <c r="J49" s="140"/>
      <c r="K49" s="140"/>
      <c r="L49" s="141"/>
      <c r="M49" s="1049"/>
      <c r="N49" s="2368"/>
      <c r="O49" s="2368"/>
      <c r="P49" s="867"/>
      <c r="Q49" s="845"/>
    </row>
    <row r="50" spans="1:17" s="406"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417</v>
      </c>
      <c r="B51" s="869" t="s">
        <v>418</v>
      </c>
      <c r="C51" s="870">
        <f>C9</f>
        <v>0</v>
      </c>
      <c r="D51" s="122"/>
      <c r="E51" s="122"/>
      <c r="F51" s="122"/>
      <c r="G51" s="122"/>
      <c r="H51" s="122"/>
      <c r="I51" s="122"/>
      <c r="J51" s="122"/>
      <c r="K51" s="123"/>
      <c r="L51" s="124"/>
      <c r="M51" s="125"/>
      <c r="N51" s="2369"/>
      <c r="O51" s="2369"/>
      <c r="P51" s="333"/>
      <c r="Q51" s="845"/>
    </row>
    <row r="52" spans="1:17" ht="15.75" thickBot="1">
      <c r="A52" s="875"/>
      <c r="B52" s="876"/>
      <c r="C52" s="877">
        <v>100</v>
      </c>
      <c r="D52" s="877"/>
      <c r="E52" s="877"/>
      <c r="F52" s="877"/>
      <c r="G52" s="877"/>
      <c r="H52" s="877"/>
      <c r="I52" s="877"/>
      <c r="J52" s="877"/>
      <c r="K52" s="877"/>
      <c r="L52" s="877"/>
      <c r="M52" s="878"/>
      <c r="N52" s="2370"/>
      <c r="O52" s="2370"/>
      <c r="P52" s="333"/>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9"/>
      <c r="O53" s="2369"/>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3"/>
      <c r="Q54" s="845"/>
    </row>
    <row r="55" spans="1:17" ht="15.75" thickTop="1">
      <c r="A55" s="875"/>
      <c r="B55" s="213">
        <f>B11</f>
        <v>111</v>
      </c>
      <c r="C55" s="126"/>
      <c r="D55" s="126"/>
      <c r="E55" s="126"/>
      <c r="F55" s="126"/>
      <c r="G55" s="126"/>
      <c r="H55" s="126"/>
      <c r="I55" s="126"/>
      <c r="J55" s="126"/>
      <c r="K55" s="127"/>
      <c r="L55" s="128"/>
      <c r="M55" s="129"/>
      <c r="N55" s="2369"/>
      <c r="O55" s="2369"/>
      <c r="P55" s="333"/>
      <c r="Q55" s="845"/>
    </row>
    <row r="56" spans="1:17" ht="15.75" thickBot="1">
      <c r="A56" s="875"/>
      <c r="B56" s="1051"/>
      <c r="C56" s="901"/>
      <c r="D56" s="877"/>
      <c r="E56" s="877"/>
      <c r="F56" s="877"/>
      <c r="G56" s="877"/>
      <c r="H56" s="877"/>
      <c r="I56" s="877"/>
      <c r="J56" s="877"/>
      <c r="K56" s="877"/>
      <c r="L56" s="877"/>
      <c r="M56" s="878"/>
      <c r="N56" s="2370"/>
      <c r="O56" s="2370"/>
      <c r="P56" s="333"/>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3"/>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9"/>
      <c r="O63" s="2369"/>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3"/>
      <c r="Q64" s="845"/>
    </row>
    <row r="65" spans="1:17" ht="15.75" thickTop="1">
      <c r="A65" s="875"/>
      <c r="B65" s="1054" t="s">
        <v>2663</v>
      </c>
      <c r="C65" s="213" t="s">
        <v>2653</v>
      </c>
      <c r="D65" s="213" t="s">
        <v>2654</v>
      </c>
      <c r="E65" s="213" t="s">
        <v>2655</v>
      </c>
      <c r="F65" s="213" t="s">
        <v>2656</v>
      </c>
      <c r="G65" s="213" t="s">
        <v>2657</v>
      </c>
      <c r="H65" s="880"/>
      <c r="I65" s="880"/>
      <c r="J65" s="880"/>
      <c r="K65" s="880"/>
      <c r="L65" s="880"/>
      <c r="M65" s="2764"/>
      <c r="N65" s="2370"/>
      <c r="O65" s="2370"/>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70"/>
      <c r="O66" s="2370"/>
      <c r="P66" s="333"/>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9"/>
      <c r="O67" s="2369"/>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3"/>
      <c r="Q68" s="845"/>
    </row>
    <row r="69" spans="1:17" ht="15.75" thickTop="1">
      <c r="A69" s="875"/>
      <c r="B69" s="879" t="s">
        <v>432</v>
      </c>
      <c r="C69" s="139"/>
      <c r="D69" s="139"/>
      <c r="E69" s="139"/>
      <c r="F69" s="139"/>
      <c r="G69" s="139"/>
      <c r="H69" s="131"/>
      <c r="I69" s="131"/>
      <c r="J69" s="131"/>
      <c r="K69" s="132"/>
      <c r="L69" s="133"/>
      <c r="M69" s="134"/>
      <c r="N69" s="2369"/>
      <c r="O69" s="2369"/>
      <c r="P69" s="333"/>
      <c r="Q69" s="845"/>
    </row>
    <row r="70" spans="1:17" ht="15.75" thickBot="1">
      <c r="A70" s="875"/>
      <c r="B70" s="884"/>
      <c r="C70" s="885">
        <v>100</v>
      </c>
      <c r="D70" s="885">
        <f>C70-$K22</f>
        <v>100</v>
      </c>
      <c r="E70" s="885"/>
      <c r="F70" s="885"/>
      <c r="G70" s="885"/>
      <c r="H70" s="885"/>
      <c r="I70" s="885"/>
      <c r="J70" s="885"/>
      <c r="K70" s="885"/>
      <c r="L70" s="885"/>
      <c r="M70" s="886"/>
      <c r="N70" s="2370"/>
      <c r="O70" s="2370"/>
      <c r="P70" s="333"/>
      <c r="Q70" s="845"/>
    </row>
    <row r="71" spans="1:17" s="406" customFormat="1" ht="15.75" thickTop="1">
      <c r="A71" s="920"/>
      <c r="B71" s="1052">
        <f>B23</f>
        <v>111</v>
      </c>
      <c r="C71" s="126"/>
      <c r="D71" s="126"/>
      <c r="E71" s="126"/>
      <c r="F71" s="126"/>
      <c r="G71" s="139"/>
      <c r="H71" s="139"/>
      <c r="I71" s="139"/>
      <c r="J71" s="139"/>
      <c r="K71" s="139"/>
      <c r="L71" s="1382"/>
      <c r="M71" s="1383"/>
      <c r="N71" s="2368"/>
      <c r="O71" s="2368"/>
      <c r="P71" s="333"/>
      <c r="Q71" s="845"/>
    </row>
    <row r="72" spans="1:17" s="406" customFormat="1" ht="15.75" thickBot="1">
      <c r="A72" s="920"/>
      <c r="B72" s="1053"/>
      <c r="C72" s="901"/>
      <c r="D72" s="877"/>
      <c r="E72" s="877"/>
      <c r="F72" s="877"/>
      <c r="G72" s="877"/>
      <c r="H72" s="877"/>
      <c r="I72" s="877"/>
      <c r="J72" s="877"/>
      <c r="K72" s="877"/>
      <c r="L72" s="877"/>
      <c r="M72" s="878"/>
      <c r="N72" s="2370"/>
      <c r="O72" s="2370"/>
      <c r="P72" s="333"/>
      <c r="Q72" s="845"/>
    </row>
    <row r="73" spans="1:17" s="406" customFormat="1" ht="15.75" thickTop="1">
      <c r="A73" s="920"/>
      <c r="B73" s="1052">
        <f>B24</f>
        <v>111</v>
      </c>
      <c r="C73" s="126"/>
      <c r="D73" s="126"/>
      <c r="E73" s="126"/>
      <c r="F73" s="126"/>
      <c r="G73" s="139"/>
      <c r="H73" s="139"/>
      <c r="I73" s="139"/>
      <c r="J73" s="139"/>
      <c r="K73" s="139"/>
      <c r="L73" s="139"/>
      <c r="M73" s="1383"/>
      <c r="N73" s="2368"/>
      <c r="O73" s="2368"/>
      <c r="P73" s="333"/>
      <c r="Q73" s="845"/>
    </row>
    <row r="74" spans="1:17" s="406" customFormat="1" ht="15.75" thickBot="1">
      <c r="A74" s="920"/>
      <c r="B74" s="1053"/>
      <c r="C74" s="901"/>
      <c r="D74" s="877"/>
      <c r="E74" s="877"/>
      <c r="F74" s="877"/>
      <c r="G74" s="877"/>
      <c r="H74" s="877"/>
      <c r="I74" s="877"/>
      <c r="J74" s="877"/>
      <c r="K74" s="877"/>
      <c r="L74" s="877"/>
      <c r="M74" s="878"/>
      <c r="N74" s="2370"/>
      <c r="O74" s="2370"/>
      <c r="P74" s="333"/>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407</v>
      </c>
      <c r="B77" s="869" t="s">
        <v>433</v>
      </c>
      <c r="C77" s="139"/>
      <c r="D77" s="139"/>
      <c r="E77" s="122"/>
      <c r="F77" s="122"/>
      <c r="G77" s="122"/>
      <c r="H77" s="122"/>
      <c r="I77" s="122"/>
      <c r="J77" s="122"/>
      <c r="K77" s="123"/>
      <c r="L77" s="124"/>
      <c r="M77" s="125"/>
      <c r="N77" s="2369"/>
      <c r="O77" s="2369"/>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3"/>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3"/>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469</v>
      </c>
      <c r="C82" s="139"/>
      <c r="D82" s="139"/>
      <c r="E82" s="131"/>
      <c r="F82" s="131"/>
      <c r="G82" s="131"/>
      <c r="H82" s="131"/>
      <c r="I82" s="131"/>
      <c r="J82" s="131"/>
      <c r="K82" s="132"/>
      <c r="L82" s="133"/>
      <c r="M82" s="134"/>
      <c r="N82" s="2369"/>
      <c r="O82" s="2369"/>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3"/>
      <c r="Q83" s="845"/>
    </row>
    <row r="84" spans="1:17" ht="15" thickTop="1">
      <c r="A84" s="940"/>
      <c r="B84" s="879" t="s">
        <v>477</v>
      </c>
      <c r="C84" s="139"/>
      <c r="D84" s="139"/>
      <c r="E84" s="139"/>
      <c r="F84" s="139"/>
      <c r="G84" s="139"/>
      <c r="H84" s="139"/>
      <c r="I84" s="131"/>
      <c r="J84" s="131"/>
      <c r="K84" s="132"/>
      <c r="L84" s="133"/>
      <c r="M84" s="134"/>
      <c r="N84" s="2369"/>
      <c r="O84" s="2369"/>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3"/>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3"/>
      <c r="Q86" s="845"/>
    </row>
    <row r="87" spans="1:17">
      <c r="A87" s="940"/>
      <c r="B87" s="887"/>
      <c r="C87" s="936"/>
      <c r="D87" s="936"/>
      <c r="E87" s="936"/>
      <c r="F87" s="936"/>
      <c r="G87" s="936"/>
      <c r="H87" s="936"/>
      <c r="I87" s="936"/>
      <c r="J87" s="937"/>
      <c r="K87" s="937"/>
      <c r="L87" s="938"/>
      <c r="M87" s="939"/>
      <c r="N87" s="2369"/>
      <c r="O87" s="2369"/>
      <c r="P87" s="333"/>
      <c r="Q87" s="845"/>
    </row>
    <row r="88" spans="1:17" ht="15.75" thickBot="1">
      <c r="A88" s="875"/>
      <c r="B88" s="884"/>
      <c r="C88" s="901"/>
      <c r="D88" s="877"/>
      <c r="E88" s="877"/>
      <c r="F88" s="877"/>
      <c r="G88" s="877"/>
      <c r="H88" s="877"/>
      <c r="I88" s="877"/>
      <c r="J88" s="877"/>
      <c r="K88" s="877"/>
      <c r="L88" s="877"/>
      <c r="M88" s="877"/>
      <c r="N88" s="2370"/>
      <c r="O88" s="2370"/>
      <c r="P88" s="333"/>
      <c r="Q88" s="845"/>
    </row>
    <row r="89" spans="1:17" s="812" customFormat="1" ht="15" thickTop="1">
      <c r="A89" s="934"/>
      <c r="B89" s="879" t="s">
        <v>479</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3"/>
      <c r="Q91" s="845"/>
    </row>
    <row r="92" spans="1:17" ht="15.75" thickBot="1">
      <c r="A92" s="875"/>
      <c r="B92" s="1053"/>
      <c r="C92" s="901"/>
      <c r="D92" s="877"/>
      <c r="E92" s="877"/>
      <c r="F92" s="877"/>
      <c r="G92" s="901"/>
      <c r="H92" s="903"/>
      <c r="I92" s="903"/>
      <c r="J92" s="903"/>
      <c r="K92" s="903"/>
      <c r="L92" s="903"/>
      <c r="M92" s="904"/>
      <c r="N92" s="2370"/>
      <c r="O92" s="2370"/>
      <c r="P92" s="333"/>
      <c r="Q92" s="845"/>
    </row>
    <row r="93" spans="1:17" ht="15" thickTop="1">
      <c r="A93" s="940"/>
      <c r="B93" s="1052">
        <f>B33</f>
        <v>111</v>
      </c>
      <c r="C93" s="126"/>
      <c r="D93" s="126"/>
      <c r="E93" s="126"/>
      <c r="F93" s="126"/>
      <c r="G93" s="139"/>
      <c r="H93" s="1057"/>
      <c r="I93" s="1057"/>
      <c r="J93" s="1057"/>
      <c r="K93" s="1057"/>
      <c r="L93" s="1058"/>
      <c r="M93" s="1059"/>
      <c r="N93" s="2369"/>
      <c r="O93" s="2369"/>
      <c r="P93" s="333"/>
      <c r="Q93" s="845"/>
    </row>
    <row r="94" spans="1:17" ht="15.75" thickBot="1">
      <c r="A94" s="875"/>
      <c r="B94" s="1053"/>
      <c r="C94" s="901"/>
      <c r="D94" s="877"/>
      <c r="E94" s="877"/>
      <c r="F94" s="877"/>
      <c r="G94" s="901"/>
      <c r="H94" s="903"/>
      <c r="I94" s="903"/>
      <c r="J94" s="903"/>
      <c r="K94" s="903"/>
      <c r="L94" s="903"/>
      <c r="M94" s="904"/>
      <c r="N94" s="2370"/>
      <c r="O94" s="2370"/>
      <c r="P94" s="333"/>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3"/>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abSelected="1" topLeftCell="A84" zoomScale="80" zoomScaleNormal="80" workbookViewId="0">
      <selection activeCell="E11" sqref="E1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480</v>
      </c>
      <c r="B1" s="737"/>
      <c r="C1" s="738" t="s">
        <v>481</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344</v>
      </c>
      <c r="B2" s="1078">
        <f>F66</f>
        <v>40496</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345</v>
      </c>
      <c r="B3" s="950">
        <f>ROUND(IF(D3="",B2*10000/'数据-汇总表'!E3,B2*10000/D3),0)</f>
        <v>13977</v>
      </c>
      <c r="C3" s="578" t="s">
        <v>2883</v>
      </c>
      <c r="D3" s="3051">
        <f>'数据-汇总表'!F27</f>
        <v>28973.439999999999</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389</v>
      </c>
      <c r="B4" s="744"/>
      <c r="C4" s="3728" t="s">
        <v>390</v>
      </c>
      <c r="D4" s="3729"/>
      <c r="E4" s="3730" t="s">
        <v>391</v>
      </c>
      <c r="F4" s="3731"/>
      <c r="G4" s="3728" t="s">
        <v>392</v>
      </c>
      <c r="H4" s="3729"/>
      <c r="I4" s="3728" t="s">
        <v>393</v>
      </c>
      <c r="J4" s="3729"/>
      <c r="K4" s="951" t="s">
        <v>394</v>
      </c>
      <c r="L4" s="2347"/>
      <c r="M4" s="2348"/>
      <c r="N4" s="2348"/>
      <c r="O4" s="2348"/>
      <c r="P4" s="3732" t="s">
        <v>395</v>
      </c>
      <c r="Q4" s="3733"/>
      <c r="R4" s="3738" t="s">
        <v>391</v>
      </c>
      <c r="S4" s="3739"/>
      <c r="T4" s="3738" t="s">
        <v>392</v>
      </c>
      <c r="U4" s="3739"/>
      <c r="V4" s="3744" t="s">
        <v>393</v>
      </c>
      <c r="W4" s="3744"/>
      <c r="X4" s="1316"/>
      <c r="Y4" s="3738" t="s">
        <v>395</v>
      </c>
      <c r="Z4" s="3739"/>
      <c r="AA4" s="3725" t="s">
        <v>391</v>
      </c>
      <c r="AB4" s="3726" t="s">
        <v>392</v>
      </c>
      <c r="AC4" s="3725" t="s">
        <v>393</v>
      </c>
    </row>
    <row r="5" spans="1:30" ht="66.75" customHeight="1">
      <c r="A5" s="746"/>
      <c r="B5" s="747"/>
      <c r="C5" s="3691" t="s">
        <v>1127</v>
      </c>
      <c r="D5" s="3692"/>
      <c r="E5" s="3698" t="str">
        <f>土地案例!A14</f>
        <v>北京市门头沟区龙泉镇MC00-0010-6004地块B2商务用地</v>
      </c>
      <c r="F5" s="3699"/>
      <c r="G5" s="3691" t="str">
        <f>土地案例!A15</f>
        <v>门头沟区门头沟新城MC00-0017-6002地块(S1线区域组团02地块西北侧地块)</v>
      </c>
      <c r="H5" s="3692"/>
      <c r="I5" s="3691" t="str">
        <f>土地案例!A8</f>
        <v>顺义区李桥镇SY00-0029-6012地块</v>
      </c>
      <c r="J5" s="3692"/>
      <c r="K5" s="951"/>
      <c r="L5" s="2347"/>
      <c r="M5" s="2348"/>
      <c r="N5" s="2348"/>
      <c r="O5" s="2348"/>
      <c r="P5" s="3734"/>
      <c r="Q5" s="3735"/>
      <c r="R5" s="3740"/>
      <c r="S5" s="3741"/>
      <c r="T5" s="3740"/>
      <c r="U5" s="3741"/>
      <c r="V5" s="3744"/>
      <c r="W5" s="3744"/>
      <c r="X5" s="1316"/>
      <c r="Y5" s="3740"/>
      <c r="Z5" s="3741"/>
      <c r="AA5" s="3726"/>
      <c r="AB5" s="3726"/>
      <c r="AC5" s="3726"/>
    </row>
    <row r="6" spans="1:30" ht="21" customHeight="1" thickBot="1">
      <c r="A6" s="748"/>
      <c r="B6" s="749"/>
      <c r="C6" s="3689" t="s">
        <v>1130</v>
      </c>
      <c r="D6" s="3690"/>
      <c r="E6" s="3696" t="s">
        <v>1130</v>
      </c>
      <c r="F6" s="3697"/>
      <c r="G6" s="3689" t="s">
        <v>1130</v>
      </c>
      <c r="H6" s="3690"/>
      <c r="I6" s="3689" t="s">
        <v>1130</v>
      </c>
      <c r="J6" s="3690"/>
      <c r="K6" s="951" t="s">
        <v>396</v>
      </c>
      <c r="L6" s="2347"/>
      <c r="M6" s="2348"/>
      <c r="N6" s="2348"/>
      <c r="O6" s="2348"/>
      <c r="P6" s="3736"/>
      <c r="Q6" s="3737"/>
      <c r="R6" s="3740"/>
      <c r="S6" s="3741"/>
      <c r="T6" s="3742"/>
      <c r="U6" s="3743"/>
      <c r="V6" s="3744"/>
      <c r="W6" s="3744"/>
      <c r="X6" s="1316"/>
      <c r="Y6" s="3742"/>
      <c r="Z6" s="3743"/>
      <c r="AA6" s="3727"/>
      <c r="AB6" s="3727"/>
      <c r="AC6" s="3727"/>
    </row>
    <row r="7" spans="1:30" s="406" customFormat="1" ht="15.75" thickBot="1">
      <c r="A7" s="750" t="s">
        <v>397</v>
      </c>
      <c r="B7" s="751"/>
      <c r="C7" s="752">
        <f>'数据-取费表'!B2</f>
        <v>42986</v>
      </c>
      <c r="D7" s="753">
        <v>100</v>
      </c>
      <c r="E7" s="1015" t="str">
        <f>土地案例!H14</f>
        <v>2017-09-07</v>
      </c>
      <c r="F7" s="755">
        <f>SUMIF(70:70,YEAR(E7)&amp;"-"&amp;INT((MONTH(E7)+2)/3),71:71)</f>
        <v>100</v>
      </c>
      <c r="G7" s="1016" t="str">
        <f>土地案例!H15</f>
        <v>2015-02-10</v>
      </c>
      <c r="H7" s="753">
        <f>SUMIF(70:70,YEAR(G7)&amp;"-"&amp;INT((MONTH(G7)+2)/3),71:71)</f>
        <v>85</v>
      </c>
      <c r="I7" s="1016" t="str">
        <f>土地案例!H8</f>
        <v>2016-01-27</v>
      </c>
      <c r="J7" s="753">
        <f>SUMIF(70:70,YEAR(I7)&amp;"-"&amp;INT((MONTH(I7)+2)/3),71:71)</f>
        <v>91</v>
      </c>
      <c r="K7" s="952"/>
      <c r="L7" s="2349"/>
      <c r="M7" s="2350"/>
      <c r="N7" s="2350"/>
      <c r="O7" s="2350"/>
      <c r="P7" s="3749" t="s">
        <v>398</v>
      </c>
      <c r="Q7" s="3751"/>
      <c r="R7" s="1317" t="s">
        <v>65</v>
      </c>
      <c r="S7" s="1318">
        <f t="shared" ref="S7:S15" si="0">F7</f>
        <v>100</v>
      </c>
      <c r="T7" s="1317" t="s">
        <v>65</v>
      </c>
      <c r="U7" s="1318">
        <f t="shared" ref="U7:U15" si="1">H7</f>
        <v>85</v>
      </c>
      <c r="V7" s="1317" t="s">
        <v>65</v>
      </c>
      <c r="W7" s="1318">
        <f t="shared" ref="W7:W15" si="2">J7</f>
        <v>91</v>
      </c>
      <c r="X7" s="1319"/>
      <c r="Y7" s="3749" t="s">
        <v>398</v>
      </c>
      <c r="Z7" s="3750"/>
      <c r="AA7" s="1320">
        <f>D7/F7</f>
        <v>1</v>
      </c>
      <c r="AB7" s="1320">
        <f>D7/H7</f>
        <v>1.1764705882352942</v>
      </c>
      <c r="AC7" s="1320">
        <f>D7/J7</f>
        <v>1.098901098901099</v>
      </c>
    </row>
    <row r="8" spans="1:30" s="406" customFormat="1" ht="15.75" thickBot="1">
      <c r="A8" s="750" t="s">
        <v>399</v>
      </c>
      <c r="B8" s="751"/>
      <c r="C8" s="1018" t="s">
        <v>155</v>
      </c>
      <c r="D8" s="753">
        <v>100</v>
      </c>
      <c r="E8" s="1018" t="s">
        <v>3274</v>
      </c>
      <c r="F8" s="755">
        <f>SUMIF(73:73,E8,74:74)-SUMIF(73:73,C8,74:74)+100</f>
        <v>100</v>
      </c>
      <c r="G8" s="1018" t="s">
        <v>3274</v>
      </c>
      <c r="H8" s="753">
        <f>SUMIF(73:73,G8,74:74)-SUMIF(73:73,C8,74:74)+100</f>
        <v>100</v>
      </c>
      <c r="I8" s="1018" t="s">
        <v>3274</v>
      </c>
      <c r="J8" s="753">
        <f>SUMIF(73:73,I8,74:74)-SUMIF(73:73,C8,74:74)+100</f>
        <v>100</v>
      </c>
      <c r="K8" s="952"/>
      <c r="L8" s="2349"/>
      <c r="M8" s="2350"/>
      <c r="N8" s="2350"/>
      <c r="O8" s="2350"/>
      <c r="P8" s="3749" t="s">
        <v>434</v>
      </c>
      <c r="Q8" s="3750"/>
      <c r="R8" s="1317" t="s">
        <v>65</v>
      </c>
      <c r="S8" s="1318">
        <f t="shared" si="0"/>
        <v>100</v>
      </c>
      <c r="T8" s="1317" t="s">
        <v>65</v>
      </c>
      <c r="U8" s="1318">
        <f t="shared" si="1"/>
        <v>100</v>
      </c>
      <c r="V8" s="1317" t="s">
        <v>65</v>
      </c>
      <c r="W8" s="1318">
        <f t="shared" si="2"/>
        <v>100</v>
      </c>
      <c r="X8" s="1319"/>
      <c r="Y8" s="3749" t="s">
        <v>434</v>
      </c>
      <c r="Z8" s="3750"/>
      <c r="AA8" s="1320">
        <f t="shared" ref="AA8:AA45" si="3">D8/F8</f>
        <v>1</v>
      </c>
      <c r="AB8" s="1320">
        <f t="shared" ref="AB8:AB45" si="4">D8/H8</f>
        <v>1</v>
      </c>
      <c r="AC8" s="1320">
        <f t="shared" ref="AC8:AC45" si="5">D8/J8</f>
        <v>1</v>
      </c>
    </row>
    <row r="9" spans="1:30" s="406" customFormat="1">
      <c r="A9" s="757" t="s">
        <v>400</v>
      </c>
      <c r="B9" s="360" t="s">
        <v>418</v>
      </c>
      <c r="C9" s="1020" t="s">
        <v>3224</v>
      </c>
      <c r="D9" s="424">
        <v>100</v>
      </c>
      <c r="E9" s="1020" t="s">
        <v>3275</v>
      </c>
      <c r="F9" s="424">
        <f>SUMIF(75:75,E9,76:76)-SUMIF(75:75,C9,76:76)+100</f>
        <v>105</v>
      </c>
      <c r="G9" s="1020" t="s">
        <v>3276</v>
      </c>
      <c r="H9" s="424">
        <f>SUMIF(75:75,G9,76:76)-SUMIF(75:75,C9,76:76)+100</f>
        <v>105</v>
      </c>
      <c r="I9" s="1020" t="s">
        <v>3277</v>
      </c>
      <c r="J9" s="424">
        <f>SUMIF(75:75,I9,76:76)-SUMIF(75:75,C9,76:76)+100</f>
        <v>105</v>
      </c>
      <c r="K9" s="952"/>
      <c r="L9" s="2349"/>
      <c r="M9" s="2350"/>
      <c r="N9" s="2350"/>
      <c r="O9" s="2351"/>
      <c r="P9" s="3716" t="s">
        <v>401</v>
      </c>
      <c r="Q9" s="296" t="str">
        <f t="shared" ref="Q9:Q15" si="6">B9</f>
        <v>用途</v>
      </c>
      <c r="R9" s="1317" t="s">
        <v>65</v>
      </c>
      <c r="S9" s="1318">
        <f t="shared" si="0"/>
        <v>105</v>
      </c>
      <c r="T9" s="1317" t="s">
        <v>65</v>
      </c>
      <c r="U9" s="1318">
        <f t="shared" si="1"/>
        <v>105</v>
      </c>
      <c r="V9" s="1317" t="s">
        <v>65</v>
      </c>
      <c r="W9" s="1318">
        <f t="shared" si="2"/>
        <v>105</v>
      </c>
      <c r="X9" s="1319"/>
      <c r="Y9" s="3522" t="s">
        <v>402</v>
      </c>
      <c r="Z9" s="343" t="str">
        <f t="shared" ref="Z9:Z15" si="7">Q9</f>
        <v>用途</v>
      </c>
      <c r="AA9" s="1320">
        <f t="shared" si="3"/>
        <v>0.95238095238095233</v>
      </c>
      <c r="AB9" s="1320">
        <f t="shared" si="4"/>
        <v>0.95238095238095233</v>
      </c>
      <c r="AC9" s="1320">
        <f t="shared" si="5"/>
        <v>0.95238095238095233</v>
      </c>
    </row>
    <row r="10" spans="1:30" s="769" customFormat="1" ht="27">
      <c r="A10" s="763"/>
      <c r="B10" s="764" t="s">
        <v>403</v>
      </c>
      <c r="C10" s="774" t="str">
        <f>项目基本情况!F16</f>
        <v>34.31年</v>
      </c>
      <c r="D10" s="425">
        <v>100</v>
      </c>
      <c r="E10" s="806" t="s">
        <v>3280</v>
      </c>
      <c r="F10" s="425">
        <f>ROUND(100/'数据-取费表'!G16,0)</f>
        <v>114</v>
      </c>
      <c r="G10" s="806" t="s">
        <v>3280</v>
      </c>
      <c r="H10" s="425">
        <f>ROUND(100/'数据-取费表'!G16,0)</f>
        <v>114</v>
      </c>
      <c r="I10" s="806" t="s">
        <v>3280</v>
      </c>
      <c r="J10" s="425">
        <f>ROUND(100/'数据-取费表'!G16,0)</f>
        <v>114</v>
      </c>
      <c r="K10" s="1079"/>
      <c r="L10" s="2352"/>
      <c r="M10" s="2353"/>
      <c r="N10" s="2353"/>
      <c r="O10" s="2354"/>
      <c r="P10" s="3716"/>
      <c r="Q10" s="296" t="str">
        <f t="shared" si="6"/>
        <v>土地使用年限（年）</v>
      </c>
      <c r="R10" s="1317" t="s">
        <v>65</v>
      </c>
      <c r="S10" s="1318">
        <f t="shared" si="0"/>
        <v>114</v>
      </c>
      <c r="T10" s="1317" t="s">
        <v>65</v>
      </c>
      <c r="U10" s="1318">
        <f t="shared" si="1"/>
        <v>114</v>
      </c>
      <c r="V10" s="1317" t="s">
        <v>65</v>
      </c>
      <c r="W10" s="1318">
        <f t="shared" si="2"/>
        <v>114</v>
      </c>
      <c r="X10" s="1319"/>
      <c r="Y10" s="3522"/>
      <c r="Z10" s="343" t="str">
        <f t="shared" si="7"/>
        <v>土地使用年限（年）</v>
      </c>
      <c r="AA10" s="1320">
        <f t="shared" si="3"/>
        <v>0.8771929824561403</v>
      </c>
      <c r="AB10" s="1320">
        <f t="shared" si="4"/>
        <v>0.8771929824561403</v>
      </c>
      <c r="AC10" s="1320">
        <f t="shared" si="5"/>
        <v>0.8771929824561403</v>
      </c>
    </row>
    <row r="11" spans="1:30" ht="15">
      <c r="A11" s="770"/>
      <c r="B11" s="764" t="s">
        <v>404</v>
      </c>
      <c r="C11" s="771">
        <v>0.31</v>
      </c>
      <c r="D11" s="425">
        <v>100</v>
      </c>
      <c r="E11" s="771">
        <f>土地案例!F14</f>
        <v>2</v>
      </c>
      <c r="F11" s="425">
        <f>LOOKUP(E11,80:80,81:81)-LOOKUP(C11,80:80,81:81)+100</f>
        <v>91</v>
      </c>
      <c r="G11" s="772">
        <f>土地案例!F15</f>
        <v>3.5</v>
      </c>
      <c r="H11" s="425">
        <f>LOOKUP(G11,80:80,81:81)-LOOKUP(C11,80:80,81:81)+100</f>
        <v>86.5</v>
      </c>
      <c r="I11" s="771">
        <f>土地案例!F8</f>
        <v>2.5</v>
      </c>
      <c r="J11" s="425">
        <f>LOOKUP(I11,80:80,81:81)-LOOKUP(C11,80:80,81:81)+100</f>
        <v>91</v>
      </c>
      <c r="K11" s="1080">
        <v>4.5</v>
      </c>
      <c r="L11" s="2355"/>
      <c r="M11" s="2348"/>
      <c r="N11" s="2348"/>
      <c r="O11" s="2356"/>
      <c r="P11" s="3716"/>
      <c r="Q11" s="296" t="str">
        <f t="shared" si="6"/>
        <v>容积率</v>
      </c>
      <c r="R11" s="1317" t="s">
        <v>65</v>
      </c>
      <c r="S11" s="1318">
        <f t="shared" si="0"/>
        <v>91</v>
      </c>
      <c r="T11" s="1317" t="s">
        <v>65</v>
      </c>
      <c r="U11" s="1318">
        <f t="shared" si="1"/>
        <v>86.5</v>
      </c>
      <c r="V11" s="1317" t="s">
        <v>65</v>
      </c>
      <c r="W11" s="1318">
        <f t="shared" si="2"/>
        <v>91</v>
      </c>
      <c r="X11" s="1319"/>
      <c r="Y11" s="3522"/>
      <c r="Z11" s="343" t="str">
        <f t="shared" si="7"/>
        <v>容积率</v>
      </c>
      <c r="AA11" s="1320">
        <f t="shared" si="3"/>
        <v>1.098901098901099</v>
      </c>
      <c r="AB11" s="1320">
        <f t="shared" si="4"/>
        <v>1.1560693641618498</v>
      </c>
      <c r="AC11" s="1320">
        <f t="shared" si="5"/>
        <v>1.098901098901099</v>
      </c>
    </row>
    <row r="12" spans="1:30" s="406" customFormat="1" ht="15">
      <c r="A12" s="773"/>
      <c r="B12" s="1029" t="s">
        <v>159</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716"/>
      <c r="Q12" s="296" t="str">
        <f t="shared" si="6"/>
        <v>配建</v>
      </c>
      <c r="R12" s="1317" t="s">
        <v>65</v>
      </c>
      <c r="S12" s="1318">
        <f t="shared" si="0"/>
        <v>100</v>
      </c>
      <c r="T12" s="1317" t="s">
        <v>65</v>
      </c>
      <c r="U12" s="1318">
        <f t="shared" si="1"/>
        <v>100</v>
      </c>
      <c r="V12" s="1317" t="s">
        <v>65</v>
      </c>
      <c r="W12" s="1318">
        <f t="shared" si="2"/>
        <v>100</v>
      </c>
      <c r="X12" s="1319"/>
      <c r="Y12" s="3522"/>
      <c r="Z12" s="343"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716"/>
      <c r="Q13" s="296">
        <f t="shared" si="6"/>
        <v>111</v>
      </c>
      <c r="R13" s="1317" t="s">
        <v>65</v>
      </c>
      <c r="S13" s="1318">
        <f t="shared" si="0"/>
        <v>100</v>
      </c>
      <c r="T13" s="1317" t="s">
        <v>65</v>
      </c>
      <c r="U13" s="1318">
        <f t="shared" si="1"/>
        <v>100</v>
      </c>
      <c r="V13" s="1317" t="s">
        <v>65</v>
      </c>
      <c r="W13" s="1318">
        <f t="shared" si="2"/>
        <v>100</v>
      </c>
      <c r="X13" s="1319"/>
      <c r="Y13" s="3522"/>
      <c r="Z13" s="343">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716"/>
      <c r="Q14" s="296">
        <f t="shared" si="6"/>
        <v>111</v>
      </c>
      <c r="R14" s="1317" t="s">
        <v>65</v>
      </c>
      <c r="S14" s="1318">
        <f t="shared" si="0"/>
        <v>100</v>
      </c>
      <c r="T14" s="1317" t="s">
        <v>65</v>
      </c>
      <c r="U14" s="1318">
        <f t="shared" si="1"/>
        <v>100</v>
      </c>
      <c r="V14" s="1317" t="s">
        <v>65</v>
      </c>
      <c r="W14" s="1318">
        <f t="shared" si="2"/>
        <v>100</v>
      </c>
      <c r="X14" s="1319"/>
      <c r="Y14" s="3522"/>
      <c r="Z14" s="343">
        <f t="shared" si="7"/>
        <v>111</v>
      </c>
      <c r="AA14" s="1320">
        <f>D14/F14</f>
        <v>1</v>
      </c>
      <c r="AB14" s="1320">
        <f>D14/H14</f>
        <v>1</v>
      </c>
      <c r="AC14" s="1320">
        <f>D14/J14</f>
        <v>1</v>
      </c>
    </row>
    <row r="15" spans="1:30" ht="15">
      <c r="A15" s="782" t="s">
        <v>405</v>
      </c>
      <c r="B15" s="358" t="s">
        <v>285</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721" t="s">
        <v>406</v>
      </c>
      <c r="Q15" s="1321" t="str">
        <f t="shared" si="6"/>
        <v>居住社区成熟度</v>
      </c>
      <c r="R15" s="1322" t="s">
        <v>65</v>
      </c>
      <c r="S15" s="1323">
        <f t="shared" si="0"/>
        <v>100</v>
      </c>
      <c r="T15" s="1322" t="s">
        <v>65</v>
      </c>
      <c r="U15" s="1323">
        <f t="shared" si="1"/>
        <v>100</v>
      </c>
      <c r="V15" s="1322" t="s">
        <v>65</v>
      </c>
      <c r="W15" s="1323">
        <f t="shared" si="2"/>
        <v>100</v>
      </c>
      <c r="X15" s="1316"/>
      <c r="Y15" s="3721" t="s">
        <v>406</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722"/>
      <c r="Q16" s="1321"/>
      <c r="R16" s="1322"/>
      <c r="S16" s="1323"/>
      <c r="T16" s="1322"/>
      <c r="U16" s="1323"/>
      <c r="V16" s="1322"/>
      <c r="W16" s="1323"/>
      <c r="X16" s="1316"/>
      <c r="Y16" s="3722"/>
      <c r="Z16" s="1324"/>
      <c r="AA16" s="1325">
        <v>1</v>
      </c>
      <c r="AB16" s="1325">
        <v>1</v>
      </c>
      <c r="AC16" s="1325">
        <v>1</v>
      </c>
    </row>
    <row r="17" spans="1:29" ht="15">
      <c r="A17" s="770"/>
      <c r="B17" s="793" t="s">
        <v>435</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722"/>
      <c r="Q17" s="1321" t="str">
        <f>B17</f>
        <v>商业繁华度</v>
      </c>
      <c r="R17" s="1322" t="s">
        <v>65</v>
      </c>
      <c r="S17" s="1323">
        <f>F17</f>
        <v>100</v>
      </c>
      <c r="T17" s="1322" t="s">
        <v>65</v>
      </c>
      <c r="U17" s="1323">
        <f>H17</f>
        <v>100</v>
      </c>
      <c r="V17" s="1322" t="s">
        <v>65</v>
      </c>
      <c r="W17" s="1323">
        <f>J17</f>
        <v>100</v>
      </c>
      <c r="X17" s="1316"/>
      <c r="Y17" s="3722"/>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722"/>
      <c r="Q18" s="1321"/>
      <c r="R18" s="1322"/>
      <c r="S18" s="1323"/>
      <c r="T18" s="1322"/>
      <c r="U18" s="1323"/>
      <c r="V18" s="1322"/>
      <c r="W18" s="1323"/>
      <c r="X18" s="1316"/>
      <c r="Y18" s="3722"/>
      <c r="Z18" s="1324"/>
      <c r="AA18" s="1325">
        <v>1</v>
      </c>
      <c r="AB18" s="1325">
        <v>1</v>
      </c>
      <c r="AC18" s="1325">
        <v>1</v>
      </c>
    </row>
    <row r="19" spans="1:29" ht="148.5">
      <c r="A19" s="770"/>
      <c r="B19" s="793" t="s">
        <v>440</v>
      </c>
      <c r="C19" s="190" t="str">
        <f>估价对象房地状况!C17</f>
        <v>估价对象位于怀柔区杨宋镇，目前投用项目有中影基地、星美影视城、百汇演艺学校等类似用房以及相关行业酒店等配套设施，产业聚集度较好</v>
      </c>
      <c r="D19" s="797">
        <v>100</v>
      </c>
      <c r="E19" s="799"/>
      <c r="F19" s="797">
        <f>SUMIF(92:92,E20,93:93)-SUMIF(92:92,C20,93:93)+100</f>
        <v>98</v>
      </c>
      <c r="G19" s="799"/>
      <c r="H19" s="792">
        <f>SUMIF(92:92,G20,93:93)-SUMIF(92:92,C20,93:93)+100</f>
        <v>98</v>
      </c>
      <c r="I19" s="801"/>
      <c r="J19" s="792">
        <f>SUMIF(92:92,I20,93:93)-SUMIF(92:92,C20,93:93)+100</f>
        <v>100</v>
      </c>
      <c r="K19" s="1080">
        <v>2</v>
      </c>
      <c r="L19" s="2357"/>
      <c r="M19" s="2348"/>
      <c r="N19" s="2348"/>
      <c r="O19" s="2356"/>
      <c r="P19" s="3722"/>
      <c r="Q19" s="1321" t="str">
        <f>B19</f>
        <v>办公集聚程度</v>
      </c>
      <c r="R19" s="1322" t="s">
        <v>65</v>
      </c>
      <c r="S19" s="1323">
        <f>F19</f>
        <v>98</v>
      </c>
      <c r="T19" s="1322" t="s">
        <v>65</v>
      </c>
      <c r="U19" s="1323">
        <f>H19</f>
        <v>98</v>
      </c>
      <c r="V19" s="1322" t="s">
        <v>65</v>
      </c>
      <c r="W19" s="1323">
        <f>J19</f>
        <v>100</v>
      </c>
      <c r="X19" s="1316"/>
      <c r="Y19" s="3722"/>
      <c r="Z19" s="1324" t="str">
        <f>Q19</f>
        <v>办公集聚程度</v>
      </c>
      <c r="AA19" s="1325">
        <f t="shared" si="3"/>
        <v>1.0204081632653061</v>
      </c>
      <c r="AB19" s="1325">
        <f t="shared" si="4"/>
        <v>1.0204081632653061</v>
      </c>
      <c r="AC19" s="1325">
        <f t="shared" si="5"/>
        <v>1</v>
      </c>
    </row>
    <row r="20" spans="1:29" ht="15">
      <c r="A20" s="770"/>
      <c r="B20" s="798"/>
      <c r="C20" s="97" t="s">
        <v>3175</v>
      </c>
      <c r="D20" s="790"/>
      <c r="E20" s="98" t="s">
        <v>3171</v>
      </c>
      <c r="F20" s="790"/>
      <c r="G20" s="98" t="s">
        <v>3171</v>
      </c>
      <c r="H20" s="790"/>
      <c r="I20" s="99" t="s">
        <v>3175</v>
      </c>
      <c r="J20" s="790"/>
      <c r="K20" s="1079"/>
      <c r="L20" s="2357"/>
      <c r="M20" s="2348"/>
      <c r="N20" s="2348"/>
      <c r="O20" s="2356"/>
      <c r="P20" s="3722"/>
      <c r="Q20" s="1321"/>
      <c r="R20" s="1322"/>
      <c r="S20" s="1323"/>
      <c r="T20" s="1322"/>
      <c r="U20" s="1323"/>
      <c r="V20" s="1322"/>
      <c r="W20" s="1323"/>
      <c r="X20" s="1316"/>
      <c r="Y20" s="3722"/>
      <c r="Z20" s="1324"/>
      <c r="AA20" s="1325">
        <v>1</v>
      </c>
      <c r="AB20" s="1325">
        <v>1</v>
      </c>
      <c r="AC20" s="1325">
        <v>1</v>
      </c>
    </row>
    <row r="21" spans="1:29" ht="175.5">
      <c r="A21" s="770"/>
      <c r="B21" s="793" t="s">
        <v>455</v>
      </c>
      <c r="C21" s="158" t="str">
        <f>估价对象房地状况!C18</f>
        <v>估价对象紧邻城市次干道——怀耿路，半径1公里内有866、H07、H09、H44路等公交线路，周边有怀耿路、杨雁路两条城市次干道，西北距离怀柔火车站4公里，交通便捷度较差</v>
      </c>
      <c r="D21" s="792">
        <v>100</v>
      </c>
      <c r="E21" s="794"/>
      <c r="F21" s="797">
        <f>SUMIF(94:94,E22,95:95)-SUMIF(94:94,C22,95:95)+100</f>
        <v>102</v>
      </c>
      <c r="G21" s="794"/>
      <c r="H21" s="792">
        <f>SUMIF(94:94,G22,95:95)-SUMIF(94:94,C22,95:95)+100</f>
        <v>101</v>
      </c>
      <c r="I21" s="796"/>
      <c r="J21" s="792">
        <f>SUMIF(94:94,I22,95:95)-SUMIF(94:94,C22,95:95)+100</f>
        <v>101</v>
      </c>
      <c r="K21" s="1080">
        <v>1</v>
      </c>
      <c r="L21" s="2357"/>
      <c r="M21" s="2348"/>
      <c r="N21" s="2348"/>
      <c r="O21" s="2356"/>
      <c r="P21" s="3722"/>
      <c r="Q21" s="1321" t="str">
        <f>B21</f>
        <v>交通便捷度</v>
      </c>
      <c r="R21" s="1322" t="s">
        <v>65</v>
      </c>
      <c r="S21" s="1323">
        <f>F21</f>
        <v>102</v>
      </c>
      <c r="T21" s="1322" t="s">
        <v>65</v>
      </c>
      <c r="U21" s="1323">
        <f>H21</f>
        <v>101</v>
      </c>
      <c r="V21" s="1322" t="s">
        <v>65</v>
      </c>
      <c r="W21" s="1323">
        <f>J21</f>
        <v>101</v>
      </c>
      <c r="X21" s="1316"/>
      <c r="Y21" s="3722"/>
      <c r="Z21" s="1324" t="str">
        <f>Q21</f>
        <v>交通便捷度</v>
      </c>
      <c r="AA21" s="1325">
        <f t="shared" si="3"/>
        <v>0.98039215686274506</v>
      </c>
      <c r="AB21" s="1325">
        <f t="shared" si="4"/>
        <v>0.99009900990099009</v>
      </c>
      <c r="AC21" s="1325">
        <f t="shared" si="5"/>
        <v>0.99009900990099009</v>
      </c>
    </row>
    <row r="22" spans="1:29" ht="15">
      <c r="A22" s="770"/>
      <c r="B22" s="2768"/>
      <c r="C22" s="97" t="s">
        <v>3176</v>
      </c>
      <c r="D22" s="792"/>
      <c r="E22" s="98" t="s">
        <v>3175</v>
      </c>
      <c r="F22" s="790"/>
      <c r="G22" s="98" t="s">
        <v>3171</v>
      </c>
      <c r="H22" s="790"/>
      <c r="I22" s="99" t="s">
        <v>3171</v>
      </c>
      <c r="J22" s="790"/>
      <c r="K22" s="1079"/>
      <c r="L22" s="2357"/>
      <c r="M22" s="2348"/>
      <c r="N22" s="2348"/>
      <c r="O22" s="2356"/>
      <c r="P22" s="3722"/>
      <c r="Q22" s="1321"/>
      <c r="R22" s="1322"/>
      <c r="S22" s="1323"/>
      <c r="T22" s="1322"/>
      <c r="U22" s="1323"/>
      <c r="V22" s="1322"/>
      <c r="W22" s="1323"/>
      <c r="X22" s="1316"/>
      <c r="Y22" s="3722"/>
      <c r="Z22" s="1324"/>
      <c r="AA22" s="1325">
        <v>1</v>
      </c>
      <c r="AB22" s="1325">
        <v>1</v>
      </c>
      <c r="AC22" s="1325">
        <v>1</v>
      </c>
    </row>
    <row r="23" spans="1:29" ht="27">
      <c r="A23" s="746"/>
      <c r="B23" s="793" t="s">
        <v>482</v>
      </c>
      <c r="C23" s="2773" t="str">
        <f>估价对象房地状况!C19</f>
        <v>一般</v>
      </c>
      <c r="D23" s="797">
        <v>100</v>
      </c>
      <c r="E23" s="794"/>
      <c r="F23" s="797">
        <f>SUMIF(96:96,E24,97:97)-SUMIF(96:96,C24,97:97)+100</f>
        <v>100</v>
      </c>
      <c r="G23" s="796"/>
      <c r="H23" s="797">
        <f>SUMIF(96:96,G24,97:97)-SUMIF(96:96,C24,97:97)+100</f>
        <v>100</v>
      </c>
      <c r="I23" s="796"/>
      <c r="J23" s="797">
        <f>SUMIF(96:96,I24,97:97)-SUMIF(96:96,C24,97:97)+100</f>
        <v>100</v>
      </c>
      <c r="K23" s="1080">
        <v>2</v>
      </c>
      <c r="L23" s="2357"/>
      <c r="M23" s="2348"/>
      <c r="N23" s="2348"/>
      <c r="O23" s="2356"/>
      <c r="P23" s="3722"/>
      <c r="Q23" s="1321" t="str">
        <f t="shared" ref="Q23:Q37" si="8">B23</f>
        <v>区域土地利用方向</v>
      </c>
      <c r="R23" s="1322" t="s">
        <v>65</v>
      </c>
      <c r="S23" s="1323">
        <f>F23</f>
        <v>100</v>
      </c>
      <c r="T23" s="1322" t="s">
        <v>65</v>
      </c>
      <c r="U23" s="1323">
        <f>H23</f>
        <v>100</v>
      </c>
      <c r="V23" s="1322" t="s">
        <v>65</v>
      </c>
      <c r="W23" s="1323">
        <f>J23</f>
        <v>100</v>
      </c>
      <c r="X23" s="1316"/>
      <c r="Y23" s="3722"/>
      <c r="Z23" s="1324" t="str">
        <f>Q23</f>
        <v>区域土地利用方向</v>
      </c>
      <c r="AA23" s="1325">
        <f t="shared" si="3"/>
        <v>1</v>
      </c>
      <c r="AB23" s="1325">
        <f t="shared" si="4"/>
        <v>1</v>
      </c>
      <c r="AC23" s="1325">
        <f t="shared" si="5"/>
        <v>1</v>
      </c>
    </row>
    <row r="24" spans="1:29" ht="15">
      <c r="A24" s="746"/>
      <c r="B24" s="798"/>
      <c r="C24" s="182" t="s">
        <v>3171</v>
      </c>
      <c r="D24" s="790"/>
      <c r="E24" s="98" t="s">
        <v>3171</v>
      </c>
      <c r="F24" s="790"/>
      <c r="G24" s="99" t="s">
        <v>3171</v>
      </c>
      <c r="H24" s="790"/>
      <c r="I24" s="99" t="s">
        <v>3171</v>
      </c>
      <c r="J24" s="790"/>
      <c r="K24" s="1484"/>
      <c r="L24" s="2357"/>
      <c r="M24" s="2348"/>
      <c r="N24" s="2348"/>
      <c r="O24" s="2356"/>
      <c r="P24" s="3722"/>
      <c r="Q24" s="1468"/>
      <c r="R24" s="1322"/>
      <c r="S24" s="1323"/>
      <c r="T24" s="1322"/>
      <c r="U24" s="1323"/>
      <c r="V24" s="1322"/>
      <c r="W24" s="1323"/>
      <c r="X24" s="1467"/>
      <c r="Y24" s="3722"/>
      <c r="Z24" s="1469"/>
      <c r="AA24" s="1325"/>
      <c r="AB24" s="1325"/>
      <c r="AC24" s="1325"/>
    </row>
    <row r="25" spans="1:29" ht="175.5">
      <c r="A25" s="746"/>
      <c r="B25" s="2768" t="s">
        <v>483</v>
      </c>
      <c r="C25" s="190" t="str">
        <f>估价对象房地状况!C20</f>
        <v>周边约1公里范围内有北京影视研修学院、北京怀柔中视腾飞影视培训学校等演艺教育学校，人文环境一般；周边有约1公里有栖河，自然环境一般。综合评价自然与人文环境一般</v>
      </c>
      <c r="D25" s="792">
        <v>100</v>
      </c>
      <c r="E25" s="794"/>
      <c r="F25" s="792">
        <f>SUMIF(98:98,E26,99:99)-SUMIF(98:98,C26,99:99)+100</f>
        <v>100</v>
      </c>
      <c r="G25" s="794"/>
      <c r="H25" s="792">
        <f>SUMIF(98:98,G26,99:99)-SUMIF(98:98,C26,99:99)+100</f>
        <v>100</v>
      </c>
      <c r="I25" s="796"/>
      <c r="J25" s="792">
        <f>SUMIF(98:98,I26,99:99)-SUMIF(98:98,C26,99:99)+100</f>
        <v>100</v>
      </c>
      <c r="K25" s="1080">
        <v>2</v>
      </c>
      <c r="L25" s="2357"/>
      <c r="M25" s="2348"/>
      <c r="N25" s="2348"/>
      <c r="O25" s="2356"/>
      <c r="P25" s="3722"/>
      <c r="Q25" s="1321" t="str">
        <f t="shared" si="8"/>
        <v>自然及人文环境状况</v>
      </c>
      <c r="R25" s="1322" t="s">
        <v>65</v>
      </c>
      <c r="S25" s="1323">
        <f>F25</f>
        <v>100</v>
      </c>
      <c r="T25" s="1322" t="s">
        <v>65</v>
      </c>
      <c r="U25" s="1323">
        <f>H25</f>
        <v>100</v>
      </c>
      <c r="V25" s="1322" t="s">
        <v>65</v>
      </c>
      <c r="W25" s="1323">
        <f>J25</f>
        <v>100</v>
      </c>
      <c r="X25" s="1316"/>
      <c r="Y25" s="3722"/>
      <c r="Z25" s="1324" t="str">
        <f>Q25</f>
        <v>自然及人文环境状况</v>
      </c>
      <c r="AA25" s="1325">
        <f t="shared" si="3"/>
        <v>1</v>
      </c>
      <c r="AB25" s="1325">
        <f t="shared" si="4"/>
        <v>1</v>
      </c>
      <c r="AC25" s="1325">
        <f t="shared" si="5"/>
        <v>1</v>
      </c>
    </row>
    <row r="26" spans="1:29" ht="15">
      <c r="A26" s="746"/>
      <c r="B26" s="798"/>
      <c r="C26" s="97" t="s">
        <v>3171</v>
      </c>
      <c r="D26" s="790"/>
      <c r="E26" s="192" t="s">
        <v>3171</v>
      </c>
      <c r="F26" s="790"/>
      <c r="G26" s="192" t="s">
        <v>3171</v>
      </c>
      <c r="H26" s="790"/>
      <c r="I26" s="97" t="s">
        <v>3171</v>
      </c>
      <c r="J26" s="790"/>
      <c r="K26" s="1079"/>
      <c r="L26" s="2357"/>
      <c r="M26" s="2348"/>
      <c r="N26" s="2348"/>
      <c r="O26" s="2356"/>
      <c r="P26" s="3722"/>
      <c r="Q26" s="1321"/>
      <c r="R26" s="1322"/>
      <c r="S26" s="1323"/>
      <c r="T26" s="1322"/>
      <c r="U26" s="1323"/>
      <c r="V26" s="1322"/>
      <c r="W26" s="1323"/>
      <c r="X26" s="1316"/>
      <c r="Y26" s="3722"/>
      <c r="Z26" s="1324"/>
      <c r="AA26" s="1325">
        <v>1</v>
      </c>
      <c r="AB26" s="1325">
        <v>1</v>
      </c>
      <c r="AC26" s="1325">
        <v>1</v>
      </c>
    </row>
    <row r="27" spans="1:29" s="406" customFormat="1" ht="198.75" customHeight="1">
      <c r="A27" s="990"/>
      <c r="B27" s="1410" t="s">
        <v>2665</v>
      </c>
      <c r="C27" s="15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D27" s="792">
        <v>100</v>
      </c>
      <c r="E27" s="794"/>
      <c r="F27" s="792">
        <f>SUMIF(100:100,E28,101:101)-SUMIF(100:100,C28,101:101)+100</f>
        <v>101</v>
      </c>
      <c r="G27" s="794"/>
      <c r="H27" s="792">
        <f>SUMIF(100:100,G28,101:101)-SUMIF(100:100,C28,101:101)+100</f>
        <v>101</v>
      </c>
      <c r="I27" s="796"/>
      <c r="J27" s="792">
        <f>SUMIF(100:100,I28,101:101)-SUMIF(100:100,C28,101:101)+100</f>
        <v>100</v>
      </c>
      <c r="K27" s="1080">
        <v>1</v>
      </c>
      <c r="L27" s="2349"/>
      <c r="M27" s="2350"/>
      <c r="N27" s="2350"/>
      <c r="O27" s="2351"/>
      <c r="P27" s="3722"/>
      <c r="Q27" s="296" t="str">
        <f t="shared" si="8"/>
        <v>公共配套设施</v>
      </c>
      <c r="R27" s="1317" t="s">
        <v>65</v>
      </c>
      <c r="S27" s="1318">
        <f>F27</f>
        <v>101</v>
      </c>
      <c r="T27" s="1317" t="s">
        <v>65</v>
      </c>
      <c r="U27" s="1318">
        <f>H27</f>
        <v>101</v>
      </c>
      <c r="V27" s="1317" t="s">
        <v>65</v>
      </c>
      <c r="W27" s="1318">
        <f>J27</f>
        <v>100</v>
      </c>
      <c r="X27" s="1319"/>
      <c r="Y27" s="3722"/>
      <c r="Z27" s="343" t="str">
        <f>Q27</f>
        <v>公共配套设施</v>
      </c>
      <c r="AA27" s="1325">
        <f>D27/F27</f>
        <v>0.99009900990099009</v>
      </c>
      <c r="AB27" s="1325">
        <f>D27/H27</f>
        <v>0.99009900990099009</v>
      </c>
      <c r="AC27" s="1325">
        <f>D27/J27</f>
        <v>1</v>
      </c>
    </row>
    <row r="28" spans="1:29" s="406" customFormat="1" ht="15">
      <c r="A28" s="990"/>
      <c r="B28" s="798"/>
      <c r="C28" s="2774" t="s">
        <v>3171</v>
      </c>
      <c r="D28" s="790"/>
      <c r="E28" s="192" t="s">
        <v>3175</v>
      </c>
      <c r="F28" s="790"/>
      <c r="G28" s="192" t="s">
        <v>3175</v>
      </c>
      <c r="H28" s="790"/>
      <c r="I28" s="97" t="s">
        <v>3171</v>
      </c>
      <c r="J28" s="790"/>
      <c r="K28" s="1079"/>
      <c r="L28" s="2349"/>
      <c r="M28" s="2350"/>
      <c r="N28" s="2350"/>
      <c r="O28" s="2351"/>
      <c r="P28" s="3722"/>
      <c r="Q28" s="296"/>
      <c r="R28" s="1317"/>
      <c r="S28" s="1318"/>
      <c r="T28" s="1317"/>
      <c r="U28" s="1318"/>
      <c r="V28" s="1317"/>
      <c r="W28" s="1318"/>
      <c r="X28" s="1319"/>
      <c r="Y28" s="3722"/>
      <c r="Z28" s="343"/>
      <c r="AA28" s="1325">
        <v>1</v>
      </c>
      <c r="AB28" s="1325">
        <v>1</v>
      </c>
      <c r="AC28" s="1325">
        <v>1</v>
      </c>
    </row>
    <row r="29" spans="1:29" s="406" customFormat="1" ht="40.5">
      <c r="A29" s="990"/>
      <c r="B29" s="1410" t="s">
        <v>2666</v>
      </c>
      <c r="C29" s="158" t="str">
        <f>估价对象房地状况!C22</f>
        <v>估价对象所在区域基础设施水平达到七通</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722"/>
      <c r="Q29" s="2743" t="str">
        <f t="shared" ref="Q29" si="9">B29</f>
        <v>基础设施水平</v>
      </c>
      <c r="R29" s="1317" t="s">
        <v>65</v>
      </c>
      <c r="S29" s="1318">
        <f>F29</f>
        <v>100</v>
      </c>
      <c r="T29" s="1317" t="s">
        <v>65</v>
      </c>
      <c r="U29" s="1318">
        <f>H29</f>
        <v>100</v>
      </c>
      <c r="V29" s="1317" t="s">
        <v>65</v>
      </c>
      <c r="W29" s="1318">
        <f>J29</f>
        <v>100</v>
      </c>
      <c r="X29" s="1319"/>
      <c r="Y29" s="3722"/>
      <c r="Z29" s="343" t="str">
        <f>Q29</f>
        <v>基础设施水平</v>
      </c>
      <c r="AA29" s="1325">
        <f>D29/F29</f>
        <v>1</v>
      </c>
      <c r="AB29" s="1325">
        <f>D29/H29</f>
        <v>1</v>
      </c>
      <c r="AC29" s="1325">
        <f>D29/J29</f>
        <v>1</v>
      </c>
    </row>
    <row r="30" spans="1:29" s="406" customFormat="1" ht="15">
      <c r="A30" s="990"/>
      <c r="B30" s="798"/>
      <c r="C30" s="2774" t="s">
        <v>3281</v>
      </c>
      <c r="D30" s="790"/>
      <c r="E30" s="1035" t="s">
        <v>3281</v>
      </c>
      <c r="F30" s="790"/>
      <c r="G30" s="1035" t="s">
        <v>3281</v>
      </c>
      <c r="H30" s="790"/>
      <c r="I30" s="1035" t="s">
        <v>3281</v>
      </c>
      <c r="J30" s="790"/>
      <c r="K30" s="1079"/>
      <c r="L30" s="2349"/>
      <c r="M30" s="2350"/>
      <c r="N30" s="2350"/>
      <c r="O30" s="2351"/>
      <c r="P30" s="3722"/>
      <c r="Q30" s="2743"/>
      <c r="R30" s="1317"/>
      <c r="S30" s="1318"/>
      <c r="T30" s="1317"/>
      <c r="U30" s="1318"/>
      <c r="V30" s="1317"/>
      <c r="W30" s="1318"/>
      <c r="X30" s="1319"/>
      <c r="Y30" s="3722"/>
      <c r="Z30" s="343"/>
      <c r="AA30" s="1325">
        <v>1</v>
      </c>
      <c r="AB30" s="1325">
        <v>1</v>
      </c>
      <c r="AC30" s="1325">
        <v>1</v>
      </c>
    </row>
    <row r="31" spans="1:29" ht="15">
      <c r="A31" s="770"/>
      <c r="B31" s="798" t="s">
        <v>436</v>
      </c>
      <c r="C31" s="182" t="s">
        <v>3282</v>
      </c>
      <c r="D31" s="777">
        <v>100</v>
      </c>
      <c r="E31" s="195" t="s">
        <v>3173</v>
      </c>
      <c r="F31" s="777">
        <f>SUMIF(104:104,E31,105:105)-SUMIF(104:104,C31,105:105)+100</f>
        <v>101</v>
      </c>
      <c r="G31" s="195" t="s">
        <v>3299</v>
      </c>
      <c r="H31" s="777">
        <f>SUMIF(104:104,G31,105:105)-SUMIF(104:104,C31,105:105)+100</f>
        <v>100</v>
      </c>
      <c r="I31" s="195" t="s">
        <v>3300</v>
      </c>
      <c r="J31" s="777">
        <f>SUMIF(104:104,I31,105:105)-SUMIF(104:104,C31,105:105)+100</f>
        <v>102</v>
      </c>
      <c r="K31" s="1080">
        <v>1</v>
      </c>
      <c r="L31" s="2357"/>
      <c r="M31" s="2348"/>
      <c r="N31" s="2348"/>
      <c r="O31" s="2356"/>
      <c r="P31" s="3722"/>
      <c r="Q31" s="1321" t="str">
        <f t="shared" si="8"/>
        <v>临街状况</v>
      </c>
      <c r="R31" s="1322" t="s">
        <v>65</v>
      </c>
      <c r="S31" s="1323">
        <f t="shared" ref="S31:S45" si="10">F31</f>
        <v>101</v>
      </c>
      <c r="T31" s="1322" t="s">
        <v>65</v>
      </c>
      <c r="U31" s="1323">
        <f t="shared" ref="U31:U45" si="11">H31</f>
        <v>100</v>
      </c>
      <c r="V31" s="1322" t="s">
        <v>65</v>
      </c>
      <c r="W31" s="1323">
        <f t="shared" ref="W31:W45" si="12">J31</f>
        <v>102</v>
      </c>
      <c r="X31" s="1316"/>
      <c r="Y31" s="3722"/>
      <c r="Z31" s="1324" t="str">
        <f t="shared" ref="Z31:Z45" si="13">Q31</f>
        <v>临街状况</v>
      </c>
      <c r="AA31" s="1325">
        <f t="shared" si="3"/>
        <v>0.99009900990099009</v>
      </c>
      <c r="AB31" s="1325">
        <f t="shared" si="4"/>
        <v>1</v>
      </c>
      <c r="AC31" s="1325">
        <f t="shared" si="5"/>
        <v>0.98039215686274506</v>
      </c>
    </row>
    <row r="32" spans="1:29" ht="27.75">
      <c r="A32" s="770"/>
      <c r="B32" s="2768" t="s">
        <v>441</v>
      </c>
      <c r="C32" s="796" t="s">
        <v>3283</v>
      </c>
      <c r="D32" s="792">
        <v>100</v>
      </c>
      <c r="E32" s="3407" t="s">
        <v>3315</v>
      </c>
      <c r="F32" s="792">
        <f>SUMIF(106:106,E33,107:107)-SUMIF(106:106,C33,107:107)+100</f>
        <v>100</v>
      </c>
      <c r="G32" s="3407" t="s">
        <v>3297</v>
      </c>
      <c r="H32" s="792">
        <f>SUMIF(106:106,G33,107:107)-SUMIF(106:106,C33,107:107)+100</f>
        <v>98</v>
      </c>
      <c r="I32" s="3408" t="s">
        <v>3316</v>
      </c>
      <c r="J32" s="792">
        <f>SUMIF(106:106,I33,107:107)-SUMIF(106:106,C33,107:107)+100</f>
        <v>99</v>
      </c>
      <c r="K32" s="1080">
        <v>1</v>
      </c>
      <c r="L32" s="2357"/>
      <c r="M32" s="2348"/>
      <c r="N32" s="2348"/>
      <c r="O32" s="2356"/>
      <c r="P32" s="3722"/>
      <c r="Q32" s="1321" t="str">
        <f t="shared" si="8"/>
        <v>毗邻道路的类型与等级</v>
      </c>
      <c r="R32" s="1322" t="s">
        <v>65</v>
      </c>
      <c r="S32" s="1323">
        <f t="shared" si="10"/>
        <v>100</v>
      </c>
      <c r="T32" s="1322" t="s">
        <v>65</v>
      </c>
      <c r="U32" s="1323">
        <f t="shared" si="11"/>
        <v>98</v>
      </c>
      <c r="V32" s="1322" t="s">
        <v>65</v>
      </c>
      <c r="W32" s="1323">
        <f t="shared" si="12"/>
        <v>99</v>
      </c>
      <c r="X32" s="1316"/>
      <c r="Y32" s="3722"/>
      <c r="Z32" s="1324" t="str">
        <f t="shared" si="13"/>
        <v>毗邻道路的类型与等级</v>
      </c>
      <c r="AA32" s="1325">
        <f t="shared" si="3"/>
        <v>1</v>
      </c>
      <c r="AB32" s="1325">
        <f t="shared" si="4"/>
        <v>1.0204081632653061</v>
      </c>
      <c r="AC32" s="1325">
        <f t="shared" si="5"/>
        <v>1.0101010101010102</v>
      </c>
    </row>
    <row r="33" spans="1:29" ht="15">
      <c r="A33" s="770"/>
      <c r="B33" s="798"/>
      <c r="C33" s="97" t="s">
        <v>3285</v>
      </c>
      <c r="D33" s="790"/>
      <c r="E33" s="192" t="s">
        <v>3285</v>
      </c>
      <c r="F33" s="790"/>
      <c r="G33" s="192" t="s">
        <v>3289</v>
      </c>
      <c r="H33" s="790"/>
      <c r="I33" s="97" t="s">
        <v>3287</v>
      </c>
      <c r="J33" s="790"/>
      <c r="K33" s="954"/>
      <c r="L33" s="2357"/>
      <c r="M33" s="2348"/>
      <c r="N33" s="2348"/>
      <c r="O33" s="2356"/>
      <c r="P33" s="3722"/>
      <c r="Q33" s="1321"/>
      <c r="R33" s="1322"/>
      <c r="S33" s="1323"/>
      <c r="T33" s="1322"/>
      <c r="U33" s="1323"/>
      <c r="V33" s="1322"/>
      <c r="W33" s="1323"/>
      <c r="X33" s="1316"/>
      <c r="Y33" s="3722"/>
      <c r="Z33" s="1324"/>
      <c r="AA33" s="1325">
        <v>1</v>
      </c>
      <c r="AB33" s="1325">
        <v>1</v>
      </c>
      <c r="AC33" s="1325">
        <v>1</v>
      </c>
    </row>
    <row r="34" spans="1:29" ht="15">
      <c r="A34" s="770"/>
      <c r="B34" s="764" t="s">
        <v>484</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c r="L34" s="2357"/>
      <c r="M34" s="2348"/>
      <c r="N34" s="2348"/>
      <c r="O34" s="2356"/>
      <c r="P34" s="3722"/>
      <c r="Q34" s="1321" t="str">
        <f t="shared" si="8"/>
        <v>土地级别</v>
      </c>
      <c r="R34" s="1322" t="s">
        <v>65</v>
      </c>
      <c r="S34" s="1323">
        <f t="shared" si="10"/>
        <v>100</v>
      </c>
      <c r="T34" s="1322" t="s">
        <v>65</v>
      </c>
      <c r="U34" s="1323">
        <f t="shared" si="11"/>
        <v>100</v>
      </c>
      <c r="V34" s="1322" t="s">
        <v>65</v>
      </c>
      <c r="W34" s="1323">
        <f t="shared" si="12"/>
        <v>100</v>
      </c>
      <c r="X34" s="1316"/>
      <c r="Y34" s="3722"/>
      <c r="Z34" s="1324" t="str">
        <f t="shared" si="13"/>
        <v>土地级别</v>
      </c>
      <c r="AA34" s="1325">
        <f t="shared" si="3"/>
        <v>1</v>
      </c>
      <c r="AB34" s="1325">
        <f t="shared" si="4"/>
        <v>1</v>
      </c>
      <c r="AC34" s="1325">
        <f t="shared" si="5"/>
        <v>1</v>
      </c>
    </row>
    <row r="35" spans="1:29" ht="15">
      <c r="A35" s="746"/>
      <c r="B35" s="2770">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57"/>
      <c r="M35" s="2348"/>
      <c r="N35" s="2348"/>
      <c r="O35" s="2356"/>
      <c r="P35" s="3722"/>
      <c r="Q35" s="1321">
        <f t="shared" si="8"/>
        <v>111</v>
      </c>
      <c r="R35" s="1322" t="s">
        <v>65</v>
      </c>
      <c r="S35" s="1323">
        <f t="shared" si="10"/>
        <v>100</v>
      </c>
      <c r="T35" s="1322" t="s">
        <v>65</v>
      </c>
      <c r="U35" s="1323">
        <f t="shared" si="11"/>
        <v>100</v>
      </c>
      <c r="V35" s="1322" t="s">
        <v>65</v>
      </c>
      <c r="W35" s="1323">
        <f t="shared" si="12"/>
        <v>100</v>
      </c>
      <c r="X35" s="1316"/>
      <c r="Y35" s="3722"/>
      <c r="Z35" s="1324">
        <f t="shared" si="13"/>
        <v>111</v>
      </c>
      <c r="AA35" s="1325">
        <f t="shared" si="3"/>
        <v>1</v>
      </c>
      <c r="AB35" s="1325">
        <f t="shared" si="4"/>
        <v>1</v>
      </c>
      <c r="AC35" s="1325">
        <f t="shared" si="5"/>
        <v>1</v>
      </c>
    </row>
    <row r="36" spans="1:29" ht="15">
      <c r="A36" s="1082"/>
      <c r="B36" s="2771">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57"/>
      <c r="M36" s="2348"/>
      <c r="N36" s="2348"/>
      <c r="O36" s="2356"/>
      <c r="P36" s="3723" t="s">
        <v>408</v>
      </c>
      <c r="Q36" s="1321">
        <f t="shared" si="8"/>
        <v>111</v>
      </c>
      <c r="R36" s="1322" t="s">
        <v>65</v>
      </c>
      <c r="S36" s="1323">
        <f t="shared" si="10"/>
        <v>100</v>
      </c>
      <c r="T36" s="1322" t="s">
        <v>65</v>
      </c>
      <c r="U36" s="1323">
        <f t="shared" si="11"/>
        <v>100</v>
      </c>
      <c r="V36" s="1322" t="s">
        <v>65</v>
      </c>
      <c r="W36" s="1323">
        <f t="shared" si="12"/>
        <v>100</v>
      </c>
      <c r="X36" s="1316"/>
      <c r="Y36" s="3724" t="s">
        <v>408</v>
      </c>
      <c r="Z36" s="1324">
        <f t="shared" si="13"/>
        <v>111</v>
      </c>
      <c r="AA36" s="1325">
        <f t="shared" si="3"/>
        <v>1</v>
      </c>
      <c r="AB36" s="1325">
        <f t="shared" si="4"/>
        <v>1</v>
      </c>
      <c r="AC36" s="1325">
        <f t="shared" si="5"/>
        <v>1</v>
      </c>
    </row>
    <row r="37" spans="1:29" s="812" customFormat="1" ht="15.75" thickBot="1">
      <c r="A37" s="1083"/>
      <c r="B37" s="2772">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55"/>
      <c r="M37" s="2358"/>
      <c r="N37" s="2358"/>
      <c r="O37" s="2359"/>
      <c r="P37" s="3724"/>
      <c r="Q37" s="1321">
        <f t="shared" si="8"/>
        <v>111</v>
      </c>
      <c r="R37" s="1327" t="s">
        <v>65</v>
      </c>
      <c r="S37" s="1328">
        <f t="shared" si="10"/>
        <v>100</v>
      </c>
      <c r="T37" s="1327" t="s">
        <v>65</v>
      </c>
      <c r="U37" s="1328">
        <f t="shared" si="11"/>
        <v>100</v>
      </c>
      <c r="V37" s="1327" t="s">
        <v>65</v>
      </c>
      <c r="W37" s="1328">
        <f t="shared" si="12"/>
        <v>100</v>
      </c>
      <c r="X37" s="1329"/>
      <c r="Y37" s="3724"/>
      <c r="Z37" s="1330">
        <f t="shared" si="13"/>
        <v>111</v>
      </c>
      <c r="AA37" s="1325">
        <f t="shared" si="3"/>
        <v>1</v>
      </c>
      <c r="AB37" s="1325">
        <f t="shared" si="4"/>
        <v>1</v>
      </c>
      <c r="AC37" s="1325">
        <f t="shared" si="5"/>
        <v>1</v>
      </c>
    </row>
    <row r="38" spans="1:29" ht="15">
      <c r="A38" s="813" t="s">
        <v>407</v>
      </c>
      <c r="B38" s="798" t="s">
        <v>485</v>
      </c>
      <c r="C38" s="1086">
        <f>'数据-基础表'!A3</f>
        <v>92783.56</v>
      </c>
      <c r="D38" s="808">
        <v>100</v>
      </c>
      <c r="E38" s="1086">
        <f>土地案例!D14</f>
        <v>5237.16</v>
      </c>
      <c r="F38" s="808">
        <f>LOOKUP(E38,117:117,118:118)-LOOKUP(C38,117:117,118:118)+100</f>
        <v>98</v>
      </c>
      <c r="G38" s="1086">
        <f>土地案例!D15</f>
        <v>27641.17</v>
      </c>
      <c r="H38" s="808">
        <f>LOOKUP(G38,117:117,118:118)-LOOKUP(C38,117:117,118:118)+100</f>
        <v>98</v>
      </c>
      <c r="I38" s="871">
        <f>土地案例!D8</f>
        <v>49477.2</v>
      </c>
      <c r="J38" s="808">
        <f>LOOKUP(I38,117:117,118:118)-LOOKUP(C38,117:117,118:118)+100</f>
        <v>98</v>
      </c>
      <c r="K38" s="954"/>
      <c r="L38" s="2357"/>
      <c r="M38" s="2348"/>
      <c r="N38" s="2348"/>
      <c r="O38" s="2356"/>
      <c r="P38" s="3724"/>
      <c r="Q38" s="1321" t="str">
        <f>B38</f>
        <v>宗地面积</v>
      </c>
      <c r="R38" s="1322" t="s">
        <v>65</v>
      </c>
      <c r="S38" s="1323">
        <f t="shared" si="10"/>
        <v>98</v>
      </c>
      <c r="T38" s="1322" t="s">
        <v>65</v>
      </c>
      <c r="U38" s="1323">
        <f t="shared" si="11"/>
        <v>98</v>
      </c>
      <c r="V38" s="1322" t="s">
        <v>65</v>
      </c>
      <c r="W38" s="1323">
        <f t="shared" si="12"/>
        <v>98</v>
      </c>
      <c r="X38" s="1316"/>
      <c r="Y38" s="3724"/>
      <c r="Z38" s="1324" t="str">
        <f t="shared" si="13"/>
        <v>宗地面积</v>
      </c>
      <c r="AA38" s="1325">
        <f t="shared" si="3"/>
        <v>1.0204081632653061</v>
      </c>
      <c r="AB38" s="1325">
        <f t="shared" si="4"/>
        <v>1.0204081632653061</v>
      </c>
      <c r="AC38" s="1325">
        <f t="shared" si="5"/>
        <v>1.0204081632653061</v>
      </c>
    </row>
    <row r="39" spans="1:29" ht="15">
      <c r="A39" s="813"/>
      <c r="B39" s="764" t="s">
        <v>486</v>
      </c>
      <c r="C39" s="109" t="s">
        <v>3293</v>
      </c>
      <c r="D39" s="777">
        <v>100</v>
      </c>
      <c r="E39" s="109" t="s">
        <v>3293</v>
      </c>
      <c r="F39" s="777">
        <f>SUMIF(119:119,E39,120:120)-SUMIF(119:119,C39,120:120)+100</f>
        <v>100</v>
      </c>
      <c r="G39" s="109" t="s">
        <v>3294</v>
      </c>
      <c r="H39" s="777">
        <f>SUMIF(119:119,G39,120:120)-SUMIF(119:119,C39,120:120)+100</f>
        <v>100</v>
      </c>
      <c r="I39" s="109" t="s">
        <v>3291</v>
      </c>
      <c r="J39" s="777">
        <f>SUMIF(119:119,I39,120:120)-SUMIF(119:119,C39,120:120)+100</f>
        <v>104</v>
      </c>
      <c r="K39" s="953">
        <v>2</v>
      </c>
      <c r="L39" s="2357"/>
      <c r="M39" s="2348"/>
      <c r="N39" s="2348"/>
      <c r="O39" s="2356"/>
      <c r="P39" s="3724"/>
      <c r="Q39" s="1321" t="str">
        <f t="shared" ref="Q39:Q45" si="14">B39</f>
        <v>宗地形状</v>
      </c>
      <c r="R39" s="1322" t="s">
        <v>65</v>
      </c>
      <c r="S39" s="1323">
        <f t="shared" si="10"/>
        <v>100</v>
      </c>
      <c r="T39" s="1322" t="s">
        <v>65</v>
      </c>
      <c r="U39" s="1323">
        <f t="shared" si="11"/>
        <v>100</v>
      </c>
      <c r="V39" s="1322" t="s">
        <v>65</v>
      </c>
      <c r="W39" s="1323">
        <f t="shared" si="12"/>
        <v>104</v>
      </c>
      <c r="X39" s="1316"/>
      <c r="Y39" s="3724"/>
      <c r="Z39" s="1324" t="str">
        <f t="shared" si="13"/>
        <v>宗地形状</v>
      </c>
      <c r="AA39" s="1325">
        <f t="shared" si="3"/>
        <v>1</v>
      </c>
      <c r="AB39" s="1325">
        <f t="shared" si="4"/>
        <v>1</v>
      </c>
      <c r="AC39" s="1325">
        <f t="shared" si="5"/>
        <v>0.96153846153846156</v>
      </c>
    </row>
    <row r="40" spans="1:29" ht="15">
      <c r="A40" s="813"/>
      <c r="B40" s="764" t="s">
        <v>487</v>
      </c>
      <c r="C40" s="109" t="s">
        <v>3295</v>
      </c>
      <c r="D40" s="777">
        <v>100</v>
      </c>
      <c r="E40" s="109" t="s">
        <v>3295</v>
      </c>
      <c r="F40" s="777">
        <f>SUMIF(121:121,E40,122:122)-SUMIF(121:121,C40,122:122)+100</f>
        <v>100</v>
      </c>
      <c r="G40" s="109" t="s">
        <v>3295</v>
      </c>
      <c r="H40" s="777">
        <f>SUMIF(121:121,G40,122:122)-SUMIF(121:121,C40,122:122)+100</f>
        <v>100</v>
      </c>
      <c r="I40" s="109" t="s">
        <v>3295</v>
      </c>
      <c r="J40" s="777">
        <f>SUMIF(121:121,I40,122:122)-SUMIF(121:121,C40,122:122)+100</f>
        <v>100</v>
      </c>
      <c r="K40" s="953">
        <v>1</v>
      </c>
      <c r="L40" s="2357"/>
      <c r="M40" s="2348"/>
      <c r="N40" s="2348"/>
      <c r="O40" s="2356"/>
      <c r="P40" s="3724"/>
      <c r="Q40" s="1321" t="str">
        <f t="shared" si="14"/>
        <v>临街宽度及深度</v>
      </c>
      <c r="R40" s="1322" t="s">
        <v>65</v>
      </c>
      <c r="S40" s="1323">
        <f t="shared" si="10"/>
        <v>100</v>
      </c>
      <c r="T40" s="1322" t="s">
        <v>65</v>
      </c>
      <c r="U40" s="1323">
        <f t="shared" si="11"/>
        <v>100</v>
      </c>
      <c r="V40" s="1322" t="s">
        <v>65</v>
      </c>
      <c r="W40" s="1323">
        <f t="shared" si="12"/>
        <v>100</v>
      </c>
      <c r="X40" s="1316"/>
      <c r="Y40" s="3724"/>
      <c r="Z40" s="1324" t="str">
        <f t="shared" si="13"/>
        <v>临街宽度及深度</v>
      </c>
      <c r="AA40" s="1325">
        <f t="shared" si="3"/>
        <v>1</v>
      </c>
      <c r="AB40" s="1325">
        <f t="shared" si="4"/>
        <v>1</v>
      </c>
      <c r="AC40" s="1325">
        <f t="shared" si="5"/>
        <v>1</v>
      </c>
    </row>
    <row r="41" spans="1:29" s="406" customFormat="1" ht="15">
      <c r="A41" s="814"/>
      <c r="B41" s="2609" t="s">
        <v>2497</v>
      </c>
      <c r="C41" s="1040" t="s">
        <v>3296</v>
      </c>
      <c r="D41" s="425">
        <v>100</v>
      </c>
      <c r="E41" s="1040" t="s">
        <v>2657</v>
      </c>
      <c r="F41" s="777">
        <f>SUMIF(123:123,E41,124:124)-SUMIF(123:123,C41,124:124)+100</f>
        <v>97</v>
      </c>
      <c r="G41" s="1040" t="s">
        <v>3298</v>
      </c>
      <c r="H41" s="777">
        <f>SUMIF(123:123,G41,124:124)-SUMIF(123:123,C41,124:124)+100</f>
        <v>97</v>
      </c>
      <c r="I41" s="1040" t="s">
        <v>3296</v>
      </c>
      <c r="J41" s="777">
        <f>SUMIF(123:123,I41,124:124)-SUMIF(123:123,C41,124:124)+100</f>
        <v>100</v>
      </c>
      <c r="K41" s="953">
        <v>1</v>
      </c>
      <c r="L41" s="2349"/>
      <c r="M41" s="2350"/>
      <c r="N41" s="2350"/>
      <c r="O41" s="2351"/>
      <c r="P41" s="3724"/>
      <c r="Q41" s="1321" t="str">
        <f t="shared" si="14"/>
        <v>宗地开发程度</v>
      </c>
      <c r="R41" s="1317" t="s">
        <v>65</v>
      </c>
      <c r="S41" s="1318">
        <f t="shared" si="10"/>
        <v>97</v>
      </c>
      <c r="T41" s="1317" t="s">
        <v>65</v>
      </c>
      <c r="U41" s="1318">
        <f t="shared" si="11"/>
        <v>97</v>
      </c>
      <c r="V41" s="1317" t="s">
        <v>65</v>
      </c>
      <c r="W41" s="1318">
        <f t="shared" si="12"/>
        <v>100</v>
      </c>
      <c r="X41" s="1319"/>
      <c r="Y41" s="3724"/>
      <c r="Z41" s="343" t="str">
        <f t="shared" si="13"/>
        <v>宗地开发程度</v>
      </c>
      <c r="AA41" s="1320">
        <f t="shared" si="3"/>
        <v>1.0309278350515463</v>
      </c>
      <c r="AB41" s="1320">
        <f t="shared" si="4"/>
        <v>1.0309278350515463</v>
      </c>
      <c r="AC41" s="1320">
        <f t="shared" si="5"/>
        <v>1</v>
      </c>
    </row>
    <row r="42" spans="1:29" ht="15">
      <c r="A42" s="813"/>
      <c r="B42" s="764" t="s">
        <v>488</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3"/>
      <c r="L42" s="2357"/>
      <c r="M42" s="2348"/>
      <c r="N42" s="2348"/>
      <c r="O42" s="2356"/>
      <c r="P42" s="3724" t="s">
        <v>408</v>
      </c>
      <c r="Q42" s="1321" t="str">
        <f t="shared" si="14"/>
        <v>工程地质条件</v>
      </c>
      <c r="R42" s="1322" t="s">
        <v>65</v>
      </c>
      <c r="S42" s="1323">
        <f t="shared" si="10"/>
        <v>100</v>
      </c>
      <c r="T42" s="1322" t="s">
        <v>65</v>
      </c>
      <c r="U42" s="1323">
        <f t="shared" si="11"/>
        <v>100</v>
      </c>
      <c r="V42" s="1322" t="s">
        <v>65</v>
      </c>
      <c r="W42" s="1323">
        <f t="shared" si="12"/>
        <v>100</v>
      </c>
      <c r="X42" s="1316"/>
      <c r="Y42" s="3724" t="s">
        <v>408</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57"/>
      <c r="M43" s="2348"/>
      <c r="N43" s="2348"/>
      <c r="O43" s="2356"/>
      <c r="P43" s="3724"/>
      <c r="Q43" s="1321">
        <f t="shared" si="14"/>
        <v>111</v>
      </c>
      <c r="R43" s="1322" t="s">
        <v>65</v>
      </c>
      <c r="S43" s="1323">
        <f t="shared" si="10"/>
        <v>100</v>
      </c>
      <c r="T43" s="1322" t="s">
        <v>65</v>
      </c>
      <c r="U43" s="1323">
        <f t="shared" si="11"/>
        <v>100</v>
      </c>
      <c r="V43" s="1322" t="s">
        <v>65</v>
      </c>
      <c r="W43" s="1323">
        <f t="shared" si="12"/>
        <v>100</v>
      </c>
      <c r="X43" s="1316"/>
      <c r="Y43" s="3724"/>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57"/>
      <c r="M44" s="2348"/>
      <c r="N44" s="2348"/>
      <c r="O44" s="2356"/>
      <c r="P44" s="3724"/>
      <c r="Q44" s="1321">
        <f t="shared" si="14"/>
        <v>111</v>
      </c>
      <c r="R44" s="1322" t="s">
        <v>65</v>
      </c>
      <c r="S44" s="1323">
        <f t="shared" si="10"/>
        <v>100</v>
      </c>
      <c r="T44" s="1322" t="s">
        <v>65</v>
      </c>
      <c r="U44" s="1323">
        <f t="shared" si="11"/>
        <v>100</v>
      </c>
      <c r="V44" s="1322" t="s">
        <v>65</v>
      </c>
      <c r="W44" s="1323">
        <f t="shared" si="12"/>
        <v>100</v>
      </c>
      <c r="X44" s="1316"/>
      <c r="Y44" s="3724"/>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724"/>
      <c r="Q45" s="1321">
        <f t="shared" si="14"/>
        <v>111</v>
      </c>
      <c r="R45" s="1327" t="s">
        <v>65</v>
      </c>
      <c r="S45" s="1328">
        <f t="shared" si="10"/>
        <v>100</v>
      </c>
      <c r="T45" s="1327" t="s">
        <v>65</v>
      </c>
      <c r="U45" s="1328">
        <f t="shared" si="11"/>
        <v>100</v>
      </c>
      <c r="V45" s="1327" t="s">
        <v>65</v>
      </c>
      <c r="W45" s="1328">
        <f t="shared" si="12"/>
        <v>100</v>
      </c>
      <c r="X45" s="1329"/>
      <c r="Y45" s="3724"/>
      <c r="Z45" s="1330">
        <f t="shared" si="13"/>
        <v>111</v>
      </c>
      <c r="AA45" s="1325">
        <f t="shared" si="3"/>
        <v>1</v>
      </c>
      <c r="AB45" s="1325">
        <f t="shared" si="4"/>
        <v>1</v>
      </c>
      <c r="AC45" s="1325">
        <f t="shared" si="5"/>
        <v>1</v>
      </c>
    </row>
    <row r="46" spans="1:29" ht="15">
      <c r="A46" s="820" t="s">
        <v>489</v>
      </c>
      <c r="B46" s="207" t="s">
        <v>3307</v>
      </c>
      <c r="C46" s="1089" t="s">
        <v>23</v>
      </c>
      <c r="D46" s="822"/>
      <c r="E46" s="823">
        <v>13080</v>
      </c>
      <c r="F46" s="824"/>
      <c r="G46" s="825">
        <v>12156</v>
      </c>
      <c r="H46" s="826"/>
      <c r="I46" s="823">
        <v>15159</v>
      </c>
      <c r="J46" s="826"/>
      <c r="K46" s="1398"/>
      <c r="L46" s="2360"/>
      <c r="M46" s="2361"/>
      <c r="N46" s="2348"/>
      <c r="O46" s="2361"/>
      <c r="P46" s="3716" t="str">
        <f>A46</f>
        <v>成交单价</v>
      </c>
      <c r="Q46" s="3716"/>
      <c r="R46" s="3744">
        <f>E46</f>
        <v>13080</v>
      </c>
      <c r="S46" s="3744"/>
      <c r="T46" s="3744">
        <f>G46</f>
        <v>12156</v>
      </c>
      <c r="U46" s="3744"/>
      <c r="V46" s="3744">
        <f>I46</f>
        <v>15159</v>
      </c>
      <c r="W46" s="3744"/>
      <c r="X46" s="1305"/>
      <c r="Y46" s="1331"/>
      <c r="Z46" s="1305"/>
      <c r="AA46" s="1305"/>
      <c r="AB46" s="1305"/>
      <c r="AC46" s="1305"/>
    </row>
    <row r="47" spans="1:29" ht="15.75" thickBot="1">
      <c r="A47" s="827" t="s">
        <v>410</v>
      </c>
      <c r="B47" s="1090"/>
      <c r="C47" s="831">
        <f>R48</f>
        <v>13977</v>
      </c>
      <c r="D47" s="830"/>
      <c r="E47" s="831">
        <f>R47</f>
        <v>12388</v>
      </c>
      <c r="F47" s="832"/>
      <c r="G47" s="829">
        <f>T47</f>
        <v>14831</v>
      </c>
      <c r="H47" s="830"/>
      <c r="I47" s="831">
        <f>V47</f>
        <v>14712</v>
      </c>
      <c r="J47" s="830"/>
      <c r="K47" s="1399"/>
      <c r="L47" s="2360"/>
      <c r="M47" s="2361"/>
      <c r="N47" s="2361"/>
      <c r="O47" s="2361"/>
      <c r="P47" s="3716" t="str">
        <f>A47</f>
        <v>比较价值（元/平方米）</v>
      </c>
      <c r="Q47" s="3716"/>
      <c r="R47" s="3756">
        <f>ROUND(PRODUCT(R46,AA7:AA45),0)</f>
        <v>12388</v>
      </c>
      <c r="S47" s="3756"/>
      <c r="T47" s="3756">
        <f>ROUND(PRODUCT(T46,AB7:AB45),0)</f>
        <v>14831</v>
      </c>
      <c r="U47" s="3756"/>
      <c r="V47" s="3756">
        <f>ROUND(PRODUCT(V46,AC7:AC45),0)</f>
        <v>14712</v>
      </c>
      <c r="W47" s="3756"/>
      <c r="X47" s="1305"/>
      <c r="Y47" s="1305"/>
      <c r="Z47" s="1305"/>
      <c r="AA47" s="1305"/>
      <c r="AB47" s="1305"/>
      <c r="AC47" s="1305"/>
    </row>
    <row r="48" spans="1:29" ht="15.75" thickBot="1">
      <c r="A48" s="115" t="s">
        <v>515</v>
      </c>
      <c r="B48" s="834"/>
      <c r="C48" s="835">
        <f>R48</f>
        <v>13977</v>
      </c>
      <c r="D48" s="835"/>
      <c r="E48" s="835"/>
      <c r="F48" s="835"/>
      <c r="G48" s="835"/>
      <c r="H48" s="835"/>
      <c r="I48" s="835"/>
      <c r="J48" s="835"/>
      <c r="K48" s="1400"/>
      <c r="L48" s="2360"/>
      <c r="M48" s="2361"/>
      <c r="N48" s="2361"/>
      <c r="O48" s="2361"/>
      <c r="P48" s="3718" t="str">
        <f>A48</f>
        <v>估价对象XX用房的比较价值（楼面单价，元/平方米）</v>
      </c>
      <c r="Q48" s="3719"/>
      <c r="R48" s="3757">
        <f>ROUND(AVERAGE(R47:V47),0)</f>
        <v>13977</v>
      </c>
      <c r="S48" s="3757"/>
      <c r="T48" s="3757"/>
      <c r="U48" s="3757"/>
      <c r="V48" s="3757"/>
      <c r="W48" s="3757"/>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411</v>
      </c>
      <c r="D51" s="839"/>
      <c r="E51" s="840">
        <f>IF(E46&lt;E47,E47/E46-1,E46/E47-1)</f>
        <v>5.586051017113336E-2</v>
      </c>
      <c r="F51" s="841" t="str">
        <f>IF(OR(E51&gt;=0.3,E51&lt;=-0.3),"超过30%","")</f>
        <v/>
      </c>
      <c r="G51" s="840">
        <f>IF(G46&lt;G47,G47/G46-1,G46/G47-1)</f>
        <v>0.22005593945376778</v>
      </c>
      <c r="H51" s="841" t="str">
        <f>IF(OR(G51&gt;=0.3,G51&lt;=-0.3),"超过30%","")</f>
        <v/>
      </c>
      <c r="I51" s="840">
        <f>IF(I46&lt;I47,I47/I46-1,I46/I47-1)</f>
        <v>3.0383360522022729E-2</v>
      </c>
      <c r="J51" s="841" t="str">
        <f>IF(OR(I51&gt;=0.3,I51&lt;=-0.3),"超过30%","")</f>
        <v/>
      </c>
      <c r="K51" s="2187"/>
      <c r="L51" s="2188"/>
      <c r="M51" s="2361"/>
      <c r="N51" s="2361"/>
      <c r="O51" s="2361"/>
    </row>
    <row r="52" spans="1:15" ht="13.5" customHeight="1">
      <c r="A52" s="2361"/>
      <c r="B52" s="2361"/>
      <c r="C52" s="838" t="s">
        <v>412</v>
      </c>
      <c r="D52" s="842"/>
      <c r="E52" s="840">
        <f>IF(E47&lt;G47,G47/E47-1,E47/G47-1)</f>
        <v>0.19720697449144331</v>
      </c>
      <c r="F52" s="841" t="str">
        <f>IF(OR(E52&gt;=0.2,E52&lt;=-0.2),"超过20%","")</f>
        <v/>
      </c>
      <c r="G52" s="840">
        <f>IF(G47&lt;I47,I47/G47-1,G47/I47-1)</f>
        <v>8.0886351277869029E-3</v>
      </c>
      <c r="H52" s="841" t="str">
        <f>IF(OR(G52&gt;=0.2,G52&lt;=-0.2),"超过20%","")</f>
        <v/>
      </c>
      <c r="I52" s="840">
        <f>IF(I47&lt;E47,E47/I47-1,I47/E47-1)</f>
        <v>0.1876009041007427</v>
      </c>
      <c r="J52" s="841" t="str">
        <f>IF(OR(I52&gt;=0.2,I52&lt;=-0.2),"超过20%","")</f>
        <v/>
      </c>
      <c r="K52" s="2187"/>
      <c r="L52" s="2188"/>
      <c r="M52" s="2361"/>
      <c r="N52" s="2361"/>
      <c r="O52" s="2361"/>
    </row>
    <row r="53" spans="1:15" s="843" customFormat="1" ht="13.5" customHeight="1">
      <c r="A53" s="2362"/>
      <c r="B53" s="2362"/>
      <c r="C53" s="838" t="s">
        <v>413</v>
      </c>
      <c r="D53" s="842"/>
      <c r="E53" s="840">
        <f>IF(E46&lt;G46,G46/E46-1,E46/G46-1)</f>
        <v>7.6011846001974304E-2</v>
      </c>
      <c r="F53" s="841" t="str">
        <f>IF(OR(E53&gt;=0.3,E53&lt;=-0.3),"超过30%","")</f>
        <v/>
      </c>
      <c r="G53" s="840">
        <f>IF(G46&lt;I46,I46/G46-1,G46/I46-1)</f>
        <v>0.24703849950641654</v>
      </c>
      <c r="H53" s="841" t="str">
        <f>IF(OR(G53&gt;=0.3,G53&lt;=-0.3),"超过30%","")</f>
        <v/>
      </c>
      <c r="I53" s="840">
        <f>IF(I46&lt;E46,E46/I46-1,I46/E46-1)</f>
        <v>0.15894495412844045</v>
      </c>
      <c r="J53" s="841" t="str">
        <f>IF(OR(I53&gt;=0.3,I53&lt;=-0.3),"超过30%","")</f>
        <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490</v>
      </c>
      <c r="B55" s="1092" t="s">
        <v>491</v>
      </c>
      <c r="C55" s="1775" t="s">
        <v>1888</v>
      </c>
      <c r="D55" s="2392" t="s">
        <v>2322</v>
      </c>
      <c r="E55" s="1093" t="s">
        <v>492</v>
      </c>
      <c r="F55" s="2189" t="s">
        <v>493</v>
      </c>
      <c r="G55" s="3758" t="s">
        <v>2315</v>
      </c>
      <c r="H55" s="3759"/>
      <c r="I55" s="2190" t="s">
        <v>1887</v>
      </c>
      <c r="J55" s="2194" t="str">
        <f>项目基本情况!F35</f>
        <v>怀柔区</v>
      </c>
      <c r="K55" s="2375" t="s">
        <v>1889</v>
      </c>
      <c r="L55" s="2188"/>
      <c r="M55" s="2361"/>
      <c r="N55" s="2361"/>
      <c r="O55" s="2361"/>
    </row>
    <row r="56" spans="1:15" s="1099" customFormat="1">
      <c r="A56" s="1095" t="s">
        <v>494</v>
      </c>
      <c r="B56" s="1096">
        <f>C48</f>
        <v>13977</v>
      </c>
      <c r="C56" s="1097">
        <v>1</v>
      </c>
      <c r="D56" s="2393">
        <v>1</v>
      </c>
      <c r="E56" s="1097">
        <f>'数据-汇总表'!E8+'数据-汇总表'!E9</f>
        <v>28973.439999999999</v>
      </c>
      <c r="F56" s="2185">
        <f t="shared" ref="F56:F65" si="15">ROUND(B56*E56/10000,0)</f>
        <v>40496</v>
      </c>
      <c r="G56" s="3760"/>
      <c r="H56" s="3761"/>
      <c r="I56" s="2191">
        <v>1</v>
      </c>
      <c r="J56" s="2195">
        <v>1</v>
      </c>
      <c r="K56" s="2362"/>
      <c r="L56" s="1772"/>
      <c r="M56" s="1772"/>
      <c r="N56" s="1772"/>
      <c r="O56" s="1772"/>
    </row>
    <row r="57" spans="1:15" s="1099" customFormat="1">
      <c r="A57" s="1100" t="s">
        <v>495</v>
      </c>
      <c r="B57" s="593">
        <f>ROUND($C$48*C57*D57,0)</f>
        <v>2097</v>
      </c>
      <c r="C57" s="531">
        <f t="shared" ref="C57:C65" si="16">IF($C$55="北京市系数",I57,J57)</f>
        <v>0.6</v>
      </c>
      <c r="D57" s="2394">
        <v>0.25</v>
      </c>
      <c r="E57" s="1101"/>
      <c r="F57" s="2185">
        <f t="shared" si="15"/>
        <v>0</v>
      </c>
      <c r="G57" s="3762" t="s">
        <v>2316</v>
      </c>
      <c r="H57" s="2186" t="str">
        <f>项目基本情况!B37</f>
        <v>八级</v>
      </c>
      <c r="I57" s="2191">
        <f>SUMIF(修正!A45:A56,H57,修正!B45:B56)</f>
        <v>0.6</v>
      </c>
      <c r="J57" s="2196"/>
      <c r="K57" s="2361"/>
      <c r="L57" s="1772"/>
      <c r="M57" s="1772"/>
      <c r="N57" s="1772"/>
      <c r="O57" s="1772"/>
    </row>
    <row r="58" spans="1:15" s="1099" customFormat="1">
      <c r="A58" s="1100" t="s">
        <v>496</v>
      </c>
      <c r="B58" s="593">
        <f t="shared" ref="B58:B65" si="17">ROUND($C$48*C58*D58,0)</f>
        <v>1048</v>
      </c>
      <c r="C58" s="531">
        <f t="shared" si="16"/>
        <v>0.3</v>
      </c>
      <c r="D58" s="2394">
        <v>0.25</v>
      </c>
      <c r="E58" s="1101"/>
      <c r="F58" s="2185">
        <f t="shared" si="15"/>
        <v>0</v>
      </c>
      <c r="G58" s="3762"/>
      <c r="H58" s="2186" t="str">
        <f>项目基本情况!B37</f>
        <v>八级</v>
      </c>
      <c r="I58" s="2191">
        <f>SUMIF(修正!A45:A56,H58,修正!C45:C56)</f>
        <v>0.3</v>
      </c>
      <c r="J58" s="2196"/>
      <c r="K58" s="2362"/>
      <c r="L58" s="1772"/>
      <c r="M58" s="1772"/>
      <c r="N58" s="1772"/>
      <c r="O58" s="1772"/>
    </row>
    <row r="59" spans="1:15" s="1099" customFormat="1">
      <c r="A59" s="1100" t="s">
        <v>497</v>
      </c>
      <c r="B59" s="593">
        <f t="shared" si="17"/>
        <v>699</v>
      </c>
      <c r="C59" s="531">
        <f t="shared" si="16"/>
        <v>0.2</v>
      </c>
      <c r="D59" s="2394">
        <v>0.25</v>
      </c>
      <c r="E59" s="1101"/>
      <c r="F59" s="2185">
        <f t="shared" si="15"/>
        <v>0</v>
      </c>
      <c r="G59" s="3762"/>
      <c r="H59" s="2186" t="str">
        <f>项目基本情况!B37</f>
        <v>八级</v>
      </c>
      <c r="I59" s="2191">
        <f>SUMIF(修正!A45:A56,H59,修正!D45:D56)</f>
        <v>0.2</v>
      </c>
      <c r="J59" s="2196"/>
      <c r="K59" s="2361"/>
      <c r="L59" s="1772"/>
      <c r="M59" s="1772"/>
      <c r="N59" s="1772"/>
      <c r="O59" s="1772"/>
    </row>
    <row r="60" spans="1:15" s="1099" customFormat="1">
      <c r="A60" s="1100" t="s">
        <v>498</v>
      </c>
      <c r="B60" s="593">
        <f t="shared" si="17"/>
        <v>699</v>
      </c>
      <c r="C60" s="531">
        <f t="shared" si="16"/>
        <v>0.2</v>
      </c>
      <c r="D60" s="2394">
        <v>0.25</v>
      </c>
      <c r="E60" s="1101"/>
      <c r="F60" s="2185">
        <f t="shared" si="15"/>
        <v>0</v>
      </c>
      <c r="G60" s="3762"/>
      <c r="H60" s="2186" t="str">
        <f>项目基本情况!B37</f>
        <v>八级</v>
      </c>
      <c r="I60" s="2191">
        <f>SUMIF(修正!A45:A56,H60,修正!E45:E56)</f>
        <v>0.2</v>
      </c>
      <c r="J60" s="2196"/>
      <c r="K60" s="2362"/>
      <c r="L60" s="1772"/>
      <c r="M60" s="1772"/>
      <c r="N60" s="1772"/>
      <c r="O60" s="1772"/>
    </row>
    <row r="61" spans="1:15" s="1099" customFormat="1">
      <c r="A61" s="2514" t="s">
        <v>2397</v>
      </c>
      <c r="B61" s="593">
        <f t="shared" si="17"/>
        <v>699</v>
      </c>
      <c r="C61" s="531">
        <f t="shared" si="16"/>
        <v>0.2</v>
      </c>
      <c r="D61" s="2394">
        <v>0.25</v>
      </c>
      <c r="E61" s="592">
        <f>'数据-汇总表'!E11</f>
        <v>0</v>
      </c>
      <c r="F61" s="2185">
        <f t="shared" si="15"/>
        <v>0</v>
      </c>
      <c r="G61" s="2198" t="s">
        <v>2317</v>
      </c>
      <c r="H61" s="2186" t="str">
        <f>项目基本情况!C37</f>
        <v>八级</v>
      </c>
      <c r="I61" s="2191">
        <f>SUMIF(修正!A45:A56,H61,修正!F45:F56)</f>
        <v>0.2</v>
      </c>
      <c r="J61" s="2196"/>
      <c r="K61" s="2361"/>
      <c r="L61" s="1772"/>
      <c r="M61" s="1772"/>
      <c r="N61" s="1772"/>
      <c r="O61" s="1772"/>
    </row>
    <row r="62" spans="1:15" s="1099" customFormat="1">
      <c r="A62" s="1100" t="s">
        <v>499</v>
      </c>
      <c r="B62" s="593">
        <f t="shared" si="17"/>
        <v>699</v>
      </c>
      <c r="C62" s="531">
        <f t="shared" si="16"/>
        <v>0.2</v>
      </c>
      <c r="D62" s="2394">
        <v>0.25</v>
      </c>
      <c r="E62" s="592">
        <f>'数据-汇总表'!E12</f>
        <v>0</v>
      </c>
      <c r="F62" s="2185">
        <f t="shared" si="15"/>
        <v>0</v>
      </c>
      <c r="G62" s="2192" t="s">
        <v>141</v>
      </c>
      <c r="H62" s="2186" t="str">
        <f>IF(G62="商业",项目基本情况!B37,IF(G62="办公",项目基本情况!C37,IF(G62="住宅",项目基本情况!D37,项目基本情况!E37)))</f>
        <v>八级</v>
      </c>
      <c r="I62" s="2191">
        <f>SUMIF(修正!A45:A56,H62,修正!G45:G56)</f>
        <v>0.2</v>
      </c>
      <c r="J62" s="2196"/>
      <c r="K62" s="2362"/>
      <c r="L62" s="1772"/>
      <c r="M62" s="1772"/>
      <c r="N62" s="1772"/>
      <c r="O62" s="1772"/>
    </row>
    <row r="63" spans="1:15" s="1099" customFormat="1">
      <c r="A63" s="1100" t="s">
        <v>500</v>
      </c>
      <c r="B63" s="593">
        <f t="shared" si="17"/>
        <v>0</v>
      </c>
      <c r="C63" s="531">
        <f t="shared" si="16"/>
        <v>0</v>
      </c>
      <c r="D63" s="2394">
        <v>0.25</v>
      </c>
      <c r="E63" s="592">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501</v>
      </c>
      <c r="B64" s="593">
        <f t="shared" si="17"/>
        <v>524</v>
      </c>
      <c r="C64" s="531">
        <f t="shared" si="16"/>
        <v>0.15</v>
      </c>
      <c r="D64" s="2394">
        <v>0.25</v>
      </c>
      <c r="E64" s="592">
        <f>'数据-汇总表'!E14</f>
        <v>0</v>
      </c>
      <c r="F64" s="2185">
        <f t="shared" si="15"/>
        <v>0</v>
      </c>
      <c r="G64" s="2198" t="s">
        <v>2318</v>
      </c>
      <c r="H64" s="2186" t="str">
        <f>项目基本情况!B37</f>
        <v>八级</v>
      </c>
      <c r="I64" s="2191">
        <f>SUMIF(修正!A45:A56,H64,修正!H45:H56)</f>
        <v>0.15</v>
      </c>
      <c r="J64" s="2196"/>
      <c r="K64" s="2362"/>
      <c r="L64" s="1772"/>
      <c r="M64" s="1772"/>
      <c r="N64" s="1772"/>
      <c r="O64" s="1772"/>
    </row>
    <row r="65" spans="1:17" s="1099" customFormat="1" ht="15" thickBot="1">
      <c r="A65" s="1100" t="s">
        <v>502</v>
      </c>
      <c r="B65" s="593">
        <f t="shared" si="17"/>
        <v>524</v>
      </c>
      <c r="C65" s="531">
        <f t="shared" si="16"/>
        <v>0.15</v>
      </c>
      <c r="D65" s="2394">
        <v>0.25</v>
      </c>
      <c r="E65" s="592">
        <f>'数据-汇总表'!E15</f>
        <v>0</v>
      </c>
      <c r="F65" s="2185">
        <f t="shared" si="15"/>
        <v>0</v>
      </c>
      <c r="G65" s="2199" t="s">
        <v>2317</v>
      </c>
      <c r="H65" s="2200" t="str">
        <f>项目基本情况!C37</f>
        <v>八级</v>
      </c>
      <c r="I65" s="2193">
        <f>SUMIF(修正!A45:A56,H65,修正!H45:H56)</f>
        <v>0.15</v>
      </c>
      <c r="J65" s="2197"/>
      <c r="K65" s="2361"/>
      <c r="L65" s="1772"/>
      <c r="M65" s="1772"/>
      <c r="N65" s="1772"/>
      <c r="O65" s="1772"/>
    </row>
    <row r="66" spans="1:17" s="1099" customFormat="1" ht="13.5" thickBot="1">
      <c r="A66" s="1102" t="s">
        <v>503</v>
      </c>
      <c r="B66" s="1103" t="s">
        <v>156</v>
      </c>
      <c r="C66" s="1103" t="s">
        <v>157</v>
      </c>
      <c r="D66" s="1103" t="s">
        <v>2323</v>
      </c>
      <c r="E66" s="1103">
        <f>IF(B46="楼面地价",SUM(E56:E65),'数据-汇总表'!D3)</f>
        <v>28973.439999999999</v>
      </c>
      <c r="F66" s="1104">
        <f>IF(B46="楼面地价",SUM(F56:F65),ROUND(C48*E66/10000,0))</f>
        <v>40496</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414</v>
      </c>
      <c r="B69" s="1305"/>
      <c r="C69" s="1310"/>
      <c r="D69" s="1310"/>
      <c r="E69" s="1310"/>
      <c r="F69" s="1311"/>
      <c r="G69" s="1311"/>
      <c r="H69" s="1310"/>
      <c r="I69" s="1310"/>
      <c r="J69" s="2377"/>
      <c r="K69" s="2378"/>
      <c r="L69" s="2379"/>
      <c r="M69" s="2377"/>
      <c r="N69" s="2377"/>
      <c r="O69" s="2377"/>
      <c r="P69" s="844"/>
      <c r="Q69" s="845"/>
    </row>
    <row r="70" spans="1:17" s="849" customFormat="1" ht="15">
      <c r="A70" s="2705" t="s">
        <v>2788</v>
      </c>
      <c r="B70" s="2706"/>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8"/>
    </row>
    <row r="71" spans="1:17" s="406" customFormat="1" ht="30" customHeight="1">
      <c r="A71" s="3038" t="s">
        <v>40</v>
      </c>
      <c r="B71" s="663" t="str">
        <f>"北京市平均增长率"&amp;TEXT(SUMIF(基准地价修正!N21:N25,A71,基准地价修正!P21:P25),"0.00%")</f>
        <v>北京市平均增长率2.75%</v>
      </c>
      <c r="C71" s="944">
        <v>100</v>
      </c>
      <c r="D71" s="936">
        <f>C71-1.5</f>
        <v>98.5</v>
      </c>
      <c r="E71" s="936">
        <f t="shared" ref="E71:O71" si="20">D71-1.5</f>
        <v>97</v>
      </c>
      <c r="F71" s="936">
        <f t="shared" si="20"/>
        <v>95.5</v>
      </c>
      <c r="G71" s="936">
        <f t="shared" si="20"/>
        <v>94</v>
      </c>
      <c r="H71" s="936">
        <f t="shared" si="20"/>
        <v>92.5</v>
      </c>
      <c r="I71" s="936">
        <f t="shared" si="20"/>
        <v>91</v>
      </c>
      <c r="J71" s="936">
        <f t="shared" si="20"/>
        <v>89.5</v>
      </c>
      <c r="K71" s="936">
        <f t="shared" si="20"/>
        <v>88</v>
      </c>
      <c r="L71" s="936">
        <f t="shared" si="20"/>
        <v>86.5</v>
      </c>
      <c r="M71" s="936">
        <f t="shared" si="20"/>
        <v>85</v>
      </c>
      <c r="N71" s="936">
        <f t="shared" si="20"/>
        <v>83.5</v>
      </c>
      <c r="O71" s="936">
        <f t="shared" si="20"/>
        <v>82</v>
      </c>
      <c r="P71" s="845"/>
    </row>
    <row r="72" spans="1:17" s="406" customFormat="1" ht="15.75" thickBot="1">
      <c r="A72" s="856" t="s">
        <v>415</v>
      </c>
      <c r="B72" s="857"/>
      <c r="C72" s="858"/>
      <c r="D72" s="859"/>
      <c r="E72" s="859"/>
      <c r="F72" s="859"/>
      <c r="G72" s="859"/>
      <c r="H72" s="859"/>
      <c r="I72" s="859"/>
      <c r="J72" s="859"/>
      <c r="K72" s="859"/>
      <c r="L72" s="859"/>
      <c r="M72" s="860"/>
      <c r="N72" s="859"/>
      <c r="O72" s="2380"/>
      <c r="P72" s="845"/>
      <c r="Q72" s="845"/>
    </row>
    <row r="73" spans="1:17" s="406" customFormat="1" ht="15">
      <c r="A73" s="862" t="s">
        <v>399</v>
      </c>
      <c r="B73" s="851"/>
      <c r="C73" s="863" t="s">
        <v>416</v>
      </c>
      <c r="D73" s="140"/>
      <c r="E73" s="140"/>
      <c r="F73" s="140"/>
      <c r="G73" s="140"/>
      <c r="H73" s="140"/>
      <c r="I73" s="140"/>
      <c r="J73" s="140"/>
      <c r="K73" s="140"/>
      <c r="L73" s="141"/>
      <c r="M73" s="1049"/>
      <c r="N73" s="2368"/>
      <c r="O73" s="2368"/>
      <c r="P73" s="867"/>
      <c r="Q73" s="845"/>
    </row>
    <row r="74" spans="1:17" s="406"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417</v>
      </c>
      <c r="B75" s="869" t="s">
        <v>418</v>
      </c>
      <c r="C75" s="122" t="s">
        <v>3278</v>
      </c>
      <c r="D75" s="122" t="s">
        <v>3279</v>
      </c>
      <c r="E75" s="122"/>
      <c r="F75" s="122"/>
      <c r="G75" s="122"/>
      <c r="H75" s="122"/>
      <c r="I75" s="122"/>
      <c r="J75" s="122"/>
      <c r="K75" s="123"/>
      <c r="L75" s="124"/>
      <c r="M75" s="125"/>
      <c r="N75" s="2369"/>
      <c r="O75" s="2369"/>
      <c r="P75" s="333"/>
      <c r="Q75" s="845"/>
    </row>
    <row r="76" spans="1:17" ht="15.75" thickBot="1">
      <c r="A76" s="875"/>
      <c r="B76" s="876"/>
      <c r="C76" s="877">
        <v>100</v>
      </c>
      <c r="D76" s="877">
        <v>95</v>
      </c>
      <c r="E76" s="877"/>
      <c r="F76" s="877"/>
      <c r="G76" s="877"/>
      <c r="H76" s="877"/>
      <c r="I76" s="877"/>
      <c r="J76" s="877"/>
      <c r="K76" s="877"/>
      <c r="L76" s="877"/>
      <c r="M76" s="878"/>
      <c r="N76" s="2370"/>
      <c r="O76" s="2370"/>
      <c r="P76" s="333"/>
      <c r="Q76" s="845"/>
    </row>
    <row r="77" spans="1:17" ht="27.75" thickTop="1">
      <c r="A77" s="875"/>
      <c r="B77" s="879" t="s">
        <v>403</v>
      </c>
      <c r="C77" s="880"/>
      <c r="D77" s="880"/>
      <c r="E77" s="880"/>
      <c r="F77" s="880"/>
      <c r="G77" s="880"/>
      <c r="H77" s="880"/>
      <c r="I77" s="880"/>
      <c r="J77" s="880"/>
      <c r="K77" s="881"/>
      <c r="L77" s="882"/>
      <c r="M77" s="883"/>
      <c r="N77" s="2369"/>
      <c r="O77" s="2369"/>
      <c r="P77" s="333"/>
      <c r="Q77" s="845"/>
    </row>
    <row r="78" spans="1:17" ht="15.75" thickBot="1">
      <c r="A78" s="875"/>
      <c r="B78" s="884"/>
      <c r="C78" s="885"/>
      <c r="D78" s="885"/>
      <c r="E78" s="885"/>
      <c r="F78" s="885"/>
      <c r="G78" s="885"/>
      <c r="H78" s="885"/>
      <c r="I78" s="885"/>
      <c r="J78" s="885"/>
      <c r="K78" s="885"/>
      <c r="L78" s="885"/>
      <c r="M78" s="886"/>
      <c r="N78" s="2370"/>
      <c r="O78" s="2370"/>
      <c r="P78" s="333"/>
      <c r="Q78" s="845"/>
    </row>
    <row r="79" spans="1:17" ht="15.75" thickTop="1">
      <c r="A79" s="875"/>
      <c r="B79" s="887" t="s">
        <v>404</v>
      </c>
      <c r="C79" s="888" t="str">
        <f>C80&amp;"（含）"&amp;"-"&amp;D80</f>
        <v>0（含）-1</v>
      </c>
      <c r="D79" s="888" t="str">
        <f t="shared" ref="D79:L79" si="21">D80&amp;"（含）"&amp;"-"&amp;E80</f>
        <v>1（含）-2</v>
      </c>
      <c r="E79" s="888" t="str">
        <f t="shared" si="21"/>
        <v>2（含）-3</v>
      </c>
      <c r="F79" s="888" t="str">
        <f t="shared" si="21"/>
        <v>3（含）-4</v>
      </c>
      <c r="G79" s="888" t="str">
        <f t="shared" si="21"/>
        <v>4（含）-5</v>
      </c>
      <c r="H79" s="888" t="str">
        <f t="shared" si="21"/>
        <v>5（含）-6</v>
      </c>
      <c r="I79" s="888" t="str">
        <f t="shared" si="21"/>
        <v>6（含）-7</v>
      </c>
      <c r="J79" s="888" t="str">
        <f t="shared" si="21"/>
        <v>7（含）-</v>
      </c>
      <c r="K79" s="888" t="str">
        <f t="shared" si="21"/>
        <v>（含）-</v>
      </c>
      <c r="L79" s="888" t="str">
        <f t="shared" si="21"/>
        <v>（含）-</v>
      </c>
      <c r="M79" s="790" t="str">
        <f>M80&amp;"（含）"&amp;"-"&amp;P80</f>
        <v>（含）-</v>
      </c>
      <c r="N79" s="2370"/>
      <c r="O79" s="2370"/>
      <c r="P79" s="333"/>
      <c r="Q79" s="845"/>
    </row>
    <row r="80" spans="1:17" ht="15">
      <c r="A80" s="875"/>
      <c r="B80" s="889"/>
      <c r="C80" s="890">
        <v>0</v>
      </c>
      <c r="D80" s="890">
        <v>1</v>
      </c>
      <c r="E80" s="890">
        <v>2</v>
      </c>
      <c r="F80" s="890">
        <v>3</v>
      </c>
      <c r="G80" s="890">
        <v>4</v>
      </c>
      <c r="H80" s="890">
        <v>5</v>
      </c>
      <c r="I80" s="890">
        <v>6</v>
      </c>
      <c r="J80" s="890">
        <v>7</v>
      </c>
      <c r="K80" s="891"/>
      <c r="L80" s="892"/>
      <c r="M80" s="893"/>
      <c r="N80" s="2369"/>
      <c r="O80" s="2369"/>
      <c r="P80" s="333"/>
      <c r="Q80" s="845"/>
    </row>
    <row r="81" spans="1:17" ht="15.75" thickBot="1">
      <c r="A81" s="875"/>
      <c r="B81" s="876"/>
      <c r="C81" s="885">
        <v>100</v>
      </c>
      <c r="D81" s="885">
        <f t="shared" ref="D81:M81" si="22">IF($B$46="单位面积地价",C81+$K11,C81-$K11)</f>
        <v>95.5</v>
      </c>
      <c r="E81" s="885">
        <f t="shared" si="22"/>
        <v>91</v>
      </c>
      <c r="F81" s="885">
        <f t="shared" si="22"/>
        <v>86.5</v>
      </c>
      <c r="G81" s="885">
        <f t="shared" si="22"/>
        <v>82</v>
      </c>
      <c r="H81" s="885">
        <f t="shared" si="22"/>
        <v>77.5</v>
      </c>
      <c r="I81" s="885">
        <f t="shared" si="22"/>
        <v>73</v>
      </c>
      <c r="J81" s="885">
        <f t="shared" si="22"/>
        <v>68.5</v>
      </c>
      <c r="K81" s="885">
        <f t="shared" si="22"/>
        <v>64</v>
      </c>
      <c r="L81" s="885">
        <f t="shared" si="22"/>
        <v>59.5</v>
      </c>
      <c r="M81" s="885">
        <f t="shared" si="22"/>
        <v>55</v>
      </c>
      <c r="N81" s="2370"/>
      <c r="O81" s="2370"/>
      <c r="P81" s="333"/>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3"/>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9"/>
      <c r="O90" s="2369"/>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3"/>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9"/>
      <c r="O92" s="2369"/>
      <c r="P92" s="333"/>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70"/>
      <c r="O93" s="2370"/>
      <c r="P93" s="333"/>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9"/>
      <c r="O94" s="2369"/>
      <c r="P94" s="333"/>
      <c r="Q94" s="845"/>
    </row>
    <row r="95" spans="1:17" ht="15.75" thickBot="1">
      <c r="A95" s="875"/>
      <c r="B95" s="884"/>
      <c r="C95" s="885">
        <v>100</v>
      </c>
      <c r="D95" s="885">
        <f>C95-$K21</f>
        <v>99</v>
      </c>
      <c r="E95" s="885">
        <f>D95-$K21</f>
        <v>98</v>
      </c>
      <c r="F95" s="885">
        <f>E95-$K21</f>
        <v>97</v>
      </c>
      <c r="G95" s="885">
        <f>F95-$K21</f>
        <v>96</v>
      </c>
      <c r="H95" s="885"/>
      <c r="I95" s="885"/>
      <c r="J95" s="885"/>
      <c r="K95" s="885"/>
      <c r="L95" s="885"/>
      <c r="M95" s="886"/>
      <c r="N95" s="2370"/>
      <c r="O95" s="2370"/>
      <c r="P95" s="333"/>
      <c r="Q95" s="845"/>
    </row>
    <row r="96" spans="1:17" s="406" customFormat="1" ht="27.75" thickTop="1">
      <c r="A96" s="920"/>
      <c r="B96" s="879" t="s">
        <v>505</v>
      </c>
      <c r="C96" s="919" t="s">
        <v>424</v>
      </c>
      <c r="D96" s="919" t="s">
        <v>425</v>
      </c>
      <c r="E96" s="919" t="s">
        <v>426</v>
      </c>
      <c r="F96" s="919" t="s">
        <v>427</v>
      </c>
      <c r="G96" s="919" t="s">
        <v>428</v>
      </c>
      <c r="H96" s="919"/>
      <c r="I96" s="919"/>
      <c r="J96" s="919"/>
      <c r="K96" s="919"/>
      <c r="L96" s="1105"/>
      <c r="M96" s="963"/>
      <c r="N96" s="2368"/>
      <c r="O96" s="2368"/>
      <c r="P96" s="333"/>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70"/>
      <c r="O97" s="2370"/>
      <c r="P97" s="333"/>
      <c r="Q97" s="845"/>
    </row>
    <row r="98" spans="1:17" s="406" customFormat="1" ht="27.75" thickTop="1">
      <c r="A98" s="920"/>
      <c r="B98" s="879" t="s">
        <v>506</v>
      </c>
      <c r="C98" s="914" t="s">
        <v>424</v>
      </c>
      <c r="D98" s="914" t="s">
        <v>425</v>
      </c>
      <c r="E98" s="914" t="s">
        <v>426</v>
      </c>
      <c r="F98" s="914" t="s">
        <v>427</v>
      </c>
      <c r="G98" s="914" t="s">
        <v>428</v>
      </c>
      <c r="H98" s="919"/>
      <c r="I98" s="919"/>
      <c r="J98" s="919"/>
      <c r="K98" s="919"/>
      <c r="L98" s="919"/>
      <c r="M98" s="963"/>
      <c r="N98" s="2368"/>
      <c r="O98" s="2368"/>
      <c r="P98" s="333"/>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70"/>
      <c r="O99" s="2370"/>
      <c r="P99" s="333"/>
      <c r="Q99" s="845"/>
    </row>
    <row r="100" spans="1:17" s="812" customFormat="1" ht="15.75" thickTop="1">
      <c r="A100" s="894"/>
      <c r="B100" s="1052" t="s">
        <v>2665</v>
      </c>
      <c r="C100" s="914" t="s">
        <v>424</v>
      </c>
      <c r="D100" s="914" t="s">
        <v>425</v>
      </c>
      <c r="E100" s="914" t="s">
        <v>426</v>
      </c>
      <c r="F100" s="914" t="s">
        <v>427</v>
      </c>
      <c r="G100" s="914" t="s">
        <v>428</v>
      </c>
      <c r="H100" s="941"/>
      <c r="I100" s="941"/>
      <c r="J100" s="941"/>
      <c r="K100" s="941"/>
      <c r="L100" s="942"/>
      <c r="M100" s="943"/>
      <c r="N100" s="2371"/>
      <c r="O100" s="2371"/>
      <c r="P100" s="899"/>
      <c r="Q100" s="900"/>
    </row>
    <row r="101" spans="1:17" s="812" customFormat="1" ht="15.75" thickBot="1">
      <c r="A101" s="894"/>
      <c r="B101" s="884"/>
      <c r="C101" s="885">
        <v>100</v>
      </c>
      <c r="D101" s="885">
        <f>C101-$K27</f>
        <v>99</v>
      </c>
      <c r="E101" s="885">
        <f>D101-$K27</f>
        <v>98</v>
      </c>
      <c r="F101" s="885">
        <f>E101-$K27</f>
        <v>97</v>
      </c>
      <c r="G101" s="885">
        <f>F101-$K27</f>
        <v>96</v>
      </c>
      <c r="H101" s="948"/>
      <c r="I101" s="948"/>
      <c r="J101" s="948"/>
      <c r="K101" s="948"/>
      <c r="L101" s="948"/>
      <c r="M101" s="949"/>
      <c r="N101" s="2371"/>
      <c r="O101" s="2371"/>
      <c r="P101" s="899"/>
      <c r="Q101" s="900"/>
    </row>
    <row r="102" spans="1:17" s="812" customFormat="1" ht="15.75" thickTop="1">
      <c r="A102" s="894"/>
      <c r="B102" s="1054" t="s">
        <v>2652</v>
      </c>
      <c r="C102" s="213" t="s">
        <v>2653</v>
      </c>
      <c r="D102" s="213" t="s">
        <v>2654</v>
      </c>
      <c r="E102" s="213" t="s">
        <v>2655</v>
      </c>
      <c r="F102" s="213" t="s">
        <v>2656</v>
      </c>
      <c r="G102" s="213" t="s">
        <v>2657</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507</v>
      </c>
      <c r="D104" s="880" t="s">
        <v>508</v>
      </c>
      <c r="E104" s="880" t="s">
        <v>509</v>
      </c>
      <c r="F104" s="880" t="s">
        <v>510</v>
      </c>
      <c r="G104" s="880"/>
      <c r="H104" s="880"/>
      <c r="I104" s="880"/>
      <c r="J104" s="880"/>
      <c r="K104" s="881"/>
      <c r="L104" s="882"/>
      <c r="M104" s="883"/>
      <c r="N104" s="2369"/>
      <c r="O104" s="2369"/>
      <c r="P104" s="333"/>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70"/>
      <c r="O105" s="2370"/>
      <c r="P105" s="333"/>
      <c r="Q105" s="845"/>
    </row>
    <row r="106" spans="1:17" ht="27.75" thickTop="1">
      <c r="A106" s="875"/>
      <c r="B106" s="879" t="s">
        <v>441</v>
      </c>
      <c r="C106" s="139" t="s">
        <v>3284</v>
      </c>
      <c r="D106" s="139" t="s">
        <v>3286</v>
      </c>
      <c r="E106" s="139" t="s">
        <v>3288</v>
      </c>
      <c r="F106" s="139" t="s">
        <v>3290</v>
      </c>
      <c r="G106" s="139"/>
      <c r="H106" s="131"/>
      <c r="I106" s="131"/>
      <c r="J106" s="131"/>
      <c r="K106" s="132"/>
      <c r="L106" s="133"/>
      <c r="M106" s="134"/>
      <c r="N106" s="2369"/>
      <c r="O106" s="2369"/>
      <c r="P106" s="333"/>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70"/>
      <c r="O107" s="2370"/>
      <c r="P107" s="333"/>
      <c r="Q107" s="845"/>
    </row>
    <row r="108" spans="1:17" ht="15.75" thickTop="1">
      <c r="A108" s="875"/>
      <c r="B108" s="879" t="s">
        <v>484</v>
      </c>
      <c r="C108" s="131"/>
      <c r="D108" s="131"/>
      <c r="E108" s="131"/>
      <c r="F108" s="131"/>
      <c r="G108" s="131"/>
      <c r="H108" s="131"/>
      <c r="I108" s="131"/>
      <c r="J108" s="131"/>
      <c r="K108" s="132"/>
      <c r="L108" s="133"/>
      <c r="M108" s="134"/>
      <c r="N108" s="2369"/>
      <c r="O108" s="2369"/>
      <c r="P108" s="333"/>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70"/>
      <c r="O109" s="2370"/>
      <c r="P109" s="333"/>
      <c r="Q109" s="845"/>
    </row>
    <row r="110" spans="1:17" ht="15.75" thickTop="1">
      <c r="A110" s="875"/>
      <c r="B110" s="887">
        <f>B35</f>
        <v>111</v>
      </c>
      <c r="C110" s="139"/>
      <c r="D110" s="139"/>
      <c r="E110" s="139"/>
      <c r="F110" s="139"/>
      <c r="G110" s="135"/>
      <c r="H110" s="135"/>
      <c r="I110" s="135"/>
      <c r="J110" s="135"/>
      <c r="K110" s="136"/>
      <c r="L110" s="137"/>
      <c r="M110" s="138"/>
      <c r="N110" s="2369"/>
      <c r="O110" s="2369"/>
      <c r="P110" s="333"/>
      <c r="Q110" s="845"/>
    </row>
    <row r="111" spans="1:17" ht="15.75" thickBot="1">
      <c r="A111" s="875"/>
      <c r="B111" s="910"/>
      <c r="C111" s="901"/>
      <c r="D111" s="901"/>
      <c r="E111" s="901"/>
      <c r="F111" s="901"/>
      <c r="G111" s="932"/>
      <c r="H111" s="932"/>
      <c r="I111" s="932"/>
      <c r="J111" s="932"/>
      <c r="K111" s="932"/>
      <c r="L111" s="932"/>
      <c r="M111" s="933"/>
      <c r="N111" s="2370"/>
      <c r="O111" s="2370"/>
      <c r="P111" s="333"/>
      <c r="Q111" s="845"/>
    </row>
    <row r="112" spans="1:17" ht="15" thickTop="1">
      <c r="A112" s="1082"/>
      <c r="B112" s="879">
        <f>B36</f>
        <v>111</v>
      </c>
      <c r="C112" s="140"/>
      <c r="D112" s="140"/>
      <c r="E112" s="140"/>
      <c r="F112" s="140"/>
      <c r="G112" s="131"/>
      <c r="H112" s="131"/>
      <c r="I112" s="131"/>
      <c r="J112" s="131"/>
      <c r="K112" s="132"/>
      <c r="L112" s="133"/>
      <c r="M112" s="134"/>
      <c r="N112" s="2369"/>
      <c r="O112" s="2369"/>
      <c r="P112" s="333"/>
      <c r="Q112" s="845"/>
    </row>
    <row r="113" spans="1:17" ht="15.75" thickBot="1">
      <c r="A113" s="875"/>
      <c r="B113" s="884"/>
      <c r="C113" s="911"/>
      <c r="D113" s="911"/>
      <c r="E113" s="911"/>
      <c r="F113" s="911"/>
      <c r="G113" s="877"/>
      <c r="H113" s="877"/>
      <c r="I113" s="877"/>
      <c r="J113" s="877"/>
      <c r="K113" s="877"/>
      <c r="L113" s="877"/>
      <c r="M113" s="878"/>
      <c r="N113" s="2370"/>
      <c r="O113" s="2370"/>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ht="36" customHeight="1" thickBot="1">
      <c r="A116" s="868" t="s">
        <v>407</v>
      </c>
      <c r="B116" s="869" t="s">
        <v>511</v>
      </c>
      <c r="C116" s="3405" t="str">
        <f>C117&amp;"（含）"&amp;"-"&amp;D117</f>
        <v>0（含）-5000</v>
      </c>
      <c r="D116" s="3405" t="str">
        <f t="shared" ref="D116" si="26">D117&amp;"（含）"&amp;"-"&amp;E117</f>
        <v>5000（含）-50000</v>
      </c>
      <c r="E116" s="3405" t="str">
        <f t="shared" ref="E116" si="27">E117&amp;"（含）"&amp;"-"&amp;F117</f>
        <v>50000（含）-80000</v>
      </c>
      <c r="F116" s="3405" t="str">
        <f t="shared" ref="F116" si="28">F117&amp;"（含）"&amp;"-"&amp;G117</f>
        <v>80000（含）-110000</v>
      </c>
      <c r="G116" s="3405" t="str">
        <f t="shared" ref="G116" si="29">G117&amp;"（含）"&amp;"-"&amp;H117</f>
        <v>110000（含）-</v>
      </c>
      <c r="H116" s="3405" t="str">
        <f t="shared" ref="H116" si="30">H117&amp;"（含）"&amp;"-"&amp;I117</f>
        <v>（含）-</v>
      </c>
      <c r="I116" s="3405" t="str">
        <f t="shared" ref="I116" si="31">I117&amp;"（含）"&amp;"-"&amp;J117</f>
        <v>（含）-</v>
      </c>
      <c r="J116" s="3405" t="str">
        <f t="shared" ref="J116" si="32">J117&amp;"（含）"&amp;"-"&amp;K117</f>
        <v>（含）-</v>
      </c>
      <c r="K116" s="3405" t="str">
        <f t="shared" ref="K116" si="33">K117&amp;"（含）"&amp;"-"&amp;L117</f>
        <v>（含）-</v>
      </c>
      <c r="L116" s="3405" t="str">
        <f t="shared" ref="L116" si="34">L117&amp;"（含）"&amp;"-"&amp;M117</f>
        <v>（含）-</v>
      </c>
      <c r="M116" s="3406" t="str">
        <f>M117&amp;"（含）"&amp;"-"&amp;P117</f>
        <v>（含）-</v>
      </c>
      <c r="N116" s="2369"/>
      <c r="O116" s="2369"/>
      <c r="P116" s="333"/>
      <c r="Q116" s="845"/>
    </row>
    <row r="117" spans="1:17" ht="15">
      <c r="A117" s="875"/>
      <c r="B117" s="887"/>
      <c r="C117" s="871">
        <v>0</v>
      </c>
      <c r="D117" s="871">
        <v>5000</v>
      </c>
      <c r="E117" s="871">
        <v>50000</v>
      </c>
      <c r="F117" s="871">
        <v>80000</v>
      </c>
      <c r="G117" s="871">
        <v>110000</v>
      </c>
      <c r="H117" s="936"/>
      <c r="I117" s="936"/>
      <c r="J117" s="937"/>
      <c r="K117" s="937"/>
      <c r="L117" s="938"/>
      <c r="M117" s="939"/>
      <c r="N117" s="2369"/>
      <c r="O117" s="2369"/>
      <c r="P117" s="333"/>
      <c r="Q117" s="845"/>
    </row>
    <row r="118" spans="1:17" ht="15.75" thickBot="1">
      <c r="A118" s="875"/>
      <c r="B118" s="884"/>
      <c r="C118" s="911">
        <v>100</v>
      </c>
      <c r="D118" s="932">
        <v>101</v>
      </c>
      <c r="E118" s="932">
        <v>102</v>
      </c>
      <c r="F118" s="932">
        <v>103</v>
      </c>
      <c r="G118" s="932">
        <v>104</v>
      </c>
      <c r="H118" s="932"/>
      <c r="I118" s="932"/>
      <c r="J118" s="932"/>
      <c r="K118" s="932"/>
      <c r="L118" s="932"/>
      <c r="M118" s="933"/>
      <c r="N118" s="2370"/>
      <c r="O118" s="2370"/>
      <c r="P118" s="333"/>
      <c r="Q118" s="845"/>
    </row>
    <row r="119" spans="1:17" ht="15" thickTop="1">
      <c r="A119" s="940"/>
      <c r="B119" s="879" t="s">
        <v>512</v>
      </c>
      <c r="C119" s="131" t="s">
        <v>3291</v>
      </c>
      <c r="D119" s="131" t="s">
        <v>3292</v>
      </c>
      <c r="E119" s="131" t="s">
        <v>3294</v>
      </c>
      <c r="F119" s="131"/>
      <c r="G119" s="131"/>
      <c r="H119" s="131"/>
      <c r="I119" s="131"/>
      <c r="J119" s="131"/>
      <c r="K119" s="132"/>
      <c r="L119" s="133"/>
      <c r="M119" s="134"/>
      <c r="N119" s="2369"/>
      <c r="O119" s="2369"/>
      <c r="P119" s="333"/>
      <c r="Q119" s="845"/>
    </row>
    <row r="120" spans="1:17" ht="15.75" thickBot="1">
      <c r="A120" s="875"/>
      <c r="B120" s="884"/>
      <c r="C120" s="885">
        <v>100</v>
      </c>
      <c r="D120" s="885">
        <f t="shared" ref="D120:M120" si="35">C120-$K39</f>
        <v>98</v>
      </c>
      <c r="E120" s="885">
        <f t="shared" si="35"/>
        <v>96</v>
      </c>
      <c r="F120" s="885">
        <f t="shared" si="35"/>
        <v>94</v>
      </c>
      <c r="G120" s="885">
        <f t="shared" si="35"/>
        <v>92</v>
      </c>
      <c r="H120" s="885">
        <f t="shared" si="35"/>
        <v>90</v>
      </c>
      <c r="I120" s="885">
        <f t="shared" si="35"/>
        <v>88</v>
      </c>
      <c r="J120" s="885">
        <f t="shared" si="35"/>
        <v>86</v>
      </c>
      <c r="K120" s="885">
        <f t="shared" si="35"/>
        <v>84</v>
      </c>
      <c r="L120" s="885">
        <f t="shared" si="35"/>
        <v>82</v>
      </c>
      <c r="M120" s="886">
        <f t="shared" si="35"/>
        <v>80</v>
      </c>
      <c r="N120" s="2370"/>
      <c r="O120" s="2370"/>
      <c r="P120" s="333"/>
      <c r="Q120" s="845"/>
    </row>
    <row r="121" spans="1:17" ht="15" thickTop="1">
      <c r="A121" s="940"/>
      <c r="B121" s="879" t="s">
        <v>513</v>
      </c>
      <c r="C121" s="139"/>
      <c r="D121" s="139"/>
      <c r="E121" s="139"/>
      <c r="F121" s="131"/>
      <c r="G121" s="131"/>
      <c r="H121" s="131"/>
      <c r="I121" s="131"/>
      <c r="J121" s="131"/>
      <c r="K121" s="132"/>
      <c r="L121" s="133"/>
      <c r="M121" s="134"/>
      <c r="N121" s="2369"/>
      <c r="O121" s="2369"/>
      <c r="P121" s="333"/>
      <c r="Q121" s="845"/>
    </row>
    <row r="122" spans="1:17" ht="15.75" thickBot="1">
      <c r="A122" s="875"/>
      <c r="B122" s="884"/>
      <c r="C122" s="885">
        <v>100</v>
      </c>
      <c r="D122" s="885">
        <f t="shared" ref="D122:M122" si="36">C122-$K40</f>
        <v>99</v>
      </c>
      <c r="E122" s="885">
        <f t="shared" si="36"/>
        <v>98</v>
      </c>
      <c r="F122" s="885">
        <f t="shared" si="36"/>
        <v>97</v>
      </c>
      <c r="G122" s="885">
        <f t="shared" si="36"/>
        <v>96</v>
      </c>
      <c r="H122" s="885">
        <f t="shared" si="36"/>
        <v>95</v>
      </c>
      <c r="I122" s="885">
        <f t="shared" si="36"/>
        <v>94</v>
      </c>
      <c r="J122" s="885">
        <f t="shared" si="36"/>
        <v>93</v>
      </c>
      <c r="K122" s="885">
        <f t="shared" si="36"/>
        <v>92</v>
      </c>
      <c r="L122" s="885">
        <f t="shared" si="36"/>
        <v>91</v>
      </c>
      <c r="M122" s="886">
        <f t="shared" si="36"/>
        <v>90</v>
      </c>
      <c r="N122" s="2370"/>
      <c r="O122" s="2370"/>
      <c r="P122" s="333"/>
      <c r="Q122" s="845"/>
    </row>
    <row r="123" spans="1:17" s="812" customFormat="1" ht="15" thickTop="1">
      <c r="A123" s="934"/>
      <c r="B123" s="1052" t="s">
        <v>2496</v>
      </c>
      <c r="C123" s="139" t="s">
        <v>3302</v>
      </c>
      <c r="D123" s="139" t="s">
        <v>3303</v>
      </c>
      <c r="E123" s="139" t="s">
        <v>3304</v>
      </c>
      <c r="F123" s="139" t="s">
        <v>3305</v>
      </c>
      <c r="G123" s="139" t="s">
        <v>3306</v>
      </c>
      <c r="H123" s="131"/>
      <c r="I123" s="131"/>
      <c r="J123" s="131"/>
      <c r="K123" s="132"/>
      <c r="L123" s="133"/>
      <c r="M123" s="134"/>
      <c r="N123" s="2371"/>
      <c r="O123" s="2371"/>
      <c r="P123" s="899"/>
      <c r="Q123" s="900"/>
    </row>
    <row r="124" spans="1:17" s="812" customFormat="1" ht="15.75" thickBot="1">
      <c r="A124" s="894"/>
      <c r="B124" s="884"/>
      <c r="C124" s="885">
        <v>100</v>
      </c>
      <c r="D124" s="885">
        <f>C124-$K41</f>
        <v>99</v>
      </c>
      <c r="E124" s="885">
        <f t="shared" ref="E124:M124" si="37">D124-$K41</f>
        <v>98</v>
      </c>
      <c r="F124" s="885">
        <f t="shared" si="37"/>
        <v>97</v>
      </c>
      <c r="G124" s="885">
        <f t="shared" si="37"/>
        <v>96</v>
      </c>
      <c r="H124" s="885">
        <f t="shared" si="37"/>
        <v>95</v>
      </c>
      <c r="I124" s="885">
        <f t="shared" si="37"/>
        <v>94</v>
      </c>
      <c r="J124" s="885">
        <f t="shared" si="37"/>
        <v>93</v>
      </c>
      <c r="K124" s="885">
        <f t="shared" si="37"/>
        <v>92</v>
      </c>
      <c r="L124" s="885">
        <f t="shared" si="37"/>
        <v>91</v>
      </c>
      <c r="M124" s="886">
        <f t="shared" si="37"/>
        <v>90</v>
      </c>
      <c r="N124" s="2371"/>
      <c r="O124" s="2371"/>
      <c r="P124" s="899"/>
      <c r="Q124" s="900"/>
    </row>
    <row r="125" spans="1:17" ht="15" thickTop="1">
      <c r="A125" s="940"/>
      <c r="B125" s="879" t="s">
        <v>514</v>
      </c>
      <c r="C125" s="139"/>
      <c r="D125" s="139"/>
      <c r="E125" s="131"/>
      <c r="F125" s="131"/>
      <c r="G125" s="131"/>
      <c r="H125" s="131"/>
      <c r="I125" s="131"/>
      <c r="J125" s="131"/>
      <c r="K125" s="132"/>
      <c r="L125" s="133"/>
      <c r="M125" s="134"/>
      <c r="N125" s="2369"/>
      <c r="O125" s="2369"/>
      <c r="P125" s="333"/>
      <c r="Q125" s="845"/>
    </row>
    <row r="126" spans="1:17" ht="15.75" thickBot="1">
      <c r="A126" s="875"/>
      <c r="B126" s="884"/>
      <c r="C126" s="885">
        <v>100</v>
      </c>
      <c r="D126" s="885">
        <f t="shared" ref="D126:M126" si="38">C126-$K42</f>
        <v>100</v>
      </c>
      <c r="E126" s="885">
        <f t="shared" si="38"/>
        <v>100</v>
      </c>
      <c r="F126" s="885">
        <f t="shared" si="38"/>
        <v>100</v>
      </c>
      <c r="G126" s="885">
        <f t="shared" si="38"/>
        <v>100</v>
      </c>
      <c r="H126" s="885">
        <f t="shared" si="38"/>
        <v>100</v>
      </c>
      <c r="I126" s="885">
        <f t="shared" si="38"/>
        <v>100</v>
      </c>
      <c r="J126" s="885">
        <f t="shared" si="38"/>
        <v>100</v>
      </c>
      <c r="K126" s="885">
        <f t="shared" si="38"/>
        <v>100</v>
      </c>
      <c r="L126" s="885">
        <f t="shared" si="38"/>
        <v>100</v>
      </c>
      <c r="M126" s="886">
        <f t="shared" si="38"/>
        <v>100</v>
      </c>
      <c r="N126" s="2370"/>
      <c r="O126" s="2370"/>
      <c r="P126" s="333"/>
      <c r="Q126" s="845"/>
    </row>
    <row r="127" spans="1:17" ht="15" thickTop="1">
      <c r="A127" s="940"/>
      <c r="B127" s="879">
        <f>B43</f>
        <v>111</v>
      </c>
      <c r="C127" s="139"/>
      <c r="D127" s="139"/>
      <c r="E127" s="139"/>
      <c r="F127" s="139"/>
      <c r="G127" s="139"/>
      <c r="H127" s="131"/>
      <c r="I127" s="131"/>
      <c r="J127" s="131"/>
      <c r="K127" s="132"/>
      <c r="L127" s="133"/>
      <c r="M127" s="134"/>
      <c r="N127" s="2369"/>
      <c r="O127" s="2369"/>
      <c r="P127" s="333"/>
      <c r="Q127" s="845"/>
    </row>
    <row r="128" spans="1:17" ht="15.75" thickBot="1">
      <c r="A128" s="875"/>
      <c r="B128" s="884"/>
      <c r="C128" s="901"/>
      <c r="D128" s="901"/>
      <c r="E128" s="901"/>
      <c r="F128" s="901"/>
      <c r="G128" s="877"/>
      <c r="H128" s="877"/>
      <c r="I128" s="877"/>
      <c r="J128" s="877"/>
      <c r="K128" s="877"/>
      <c r="L128" s="877"/>
      <c r="M128" s="878"/>
      <c r="N128" s="2370"/>
      <c r="O128" s="2370"/>
      <c r="P128" s="333"/>
      <c r="Q128" s="845"/>
    </row>
    <row r="129" spans="1:17" ht="15" thickTop="1">
      <c r="A129" s="940"/>
      <c r="B129" s="879">
        <f>B44</f>
        <v>111</v>
      </c>
      <c r="C129" s="140"/>
      <c r="D129" s="140"/>
      <c r="E129" s="140"/>
      <c r="F129" s="140"/>
      <c r="G129" s="131"/>
      <c r="H129" s="131"/>
      <c r="I129" s="131"/>
      <c r="J129" s="131"/>
      <c r="K129" s="132"/>
      <c r="L129" s="133"/>
      <c r="M129" s="134"/>
      <c r="N129" s="2369"/>
      <c r="O129" s="2369"/>
      <c r="P129" s="333"/>
      <c r="Q129" s="845"/>
    </row>
    <row r="130" spans="1:17" ht="15.75" thickBot="1">
      <c r="A130" s="875"/>
      <c r="B130" s="884"/>
      <c r="C130" s="911"/>
      <c r="D130" s="911"/>
      <c r="E130" s="911"/>
      <c r="F130" s="911"/>
      <c r="G130" s="877"/>
      <c r="H130" s="877"/>
      <c r="I130" s="877"/>
      <c r="J130" s="877"/>
      <c r="K130" s="877"/>
      <c r="L130" s="877"/>
      <c r="M130" s="878"/>
      <c r="N130" s="2370"/>
      <c r="O130" s="2370"/>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480</v>
      </c>
      <c r="B1" s="737"/>
      <c r="C1" s="738" t="s">
        <v>516</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344</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345</v>
      </c>
      <c r="B3" s="950" t="e">
        <f>ROUND(IF(D3="",B2*10000/'数据-汇总表'!E3,B2*10000/D3),0)</f>
        <v>#DIV/0!</v>
      </c>
      <c r="C3" s="578" t="s">
        <v>2883</v>
      </c>
      <c r="D3" s="3051"/>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389</v>
      </c>
      <c r="B4" s="744"/>
      <c r="C4" s="3728" t="s">
        <v>390</v>
      </c>
      <c r="D4" s="3729"/>
      <c r="E4" s="3730" t="s">
        <v>391</v>
      </c>
      <c r="F4" s="3731"/>
      <c r="G4" s="3728" t="s">
        <v>392</v>
      </c>
      <c r="H4" s="3729"/>
      <c r="I4" s="3728" t="s">
        <v>393</v>
      </c>
      <c r="J4" s="3729"/>
      <c r="K4" s="951" t="s">
        <v>394</v>
      </c>
      <c r="L4" s="2347"/>
      <c r="M4" s="2348"/>
      <c r="N4" s="2348"/>
      <c r="O4" s="2348"/>
      <c r="P4" s="3732" t="s">
        <v>395</v>
      </c>
      <c r="Q4" s="3733"/>
      <c r="R4" s="3738" t="s">
        <v>391</v>
      </c>
      <c r="S4" s="3739"/>
      <c r="T4" s="3738" t="s">
        <v>392</v>
      </c>
      <c r="U4" s="3739"/>
      <c r="V4" s="3744" t="s">
        <v>393</v>
      </c>
      <c r="W4" s="3744"/>
      <c r="X4" s="1316"/>
      <c r="Y4" s="3738" t="s">
        <v>395</v>
      </c>
      <c r="Z4" s="3739"/>
      <c r="AA4" s="3725" t="s">
        <v>391</v>
      </c>
      <c r="AB4" s="3726" t="s">
        <v>392</v>
      </c>
      <c r="AC4" s="3725" t="s">
        <v>393</v>
      </c>
    </row>
    <row r="5" spans="1:29" ht="15">
      <c r="A5" s="746"/>
      <c r="B5" s="747"/>
      <c r="C5" s="3691" t="s">
        <v>1127</v>
      </c>
      <c r="D5" s="3692"/>
      <c r="E5" s="3698" t="s">
        <v>1128</v>
      </c>
      <c r="F5" s="3699"/>
      <c r="G5" s="3691" t="s">
        <v>1131</v>
      </c>
      <c r="H5" s="3692"/>
      <c r="I5" s="3691" t="s">
        <v>1129</v>
      </c>
      <c r="J5" s="3692"/>
      <c r="K5" s="951"/>
      <c r="L5" s="2347"/>
      <c r="M5" s="2348"/>
      <c r="N5" s="2348"/>
      <c r="O5" s="2348"/>
      <c r="P5" s="3734"/>
      <c r="Q5" s="3735"/>
      <c r="R5" s="3740"/>
      <c r="S5" s="3741"/>
      <c r="T5" s="3740"/>
      <c r="U5" s="3741"/>
      <c r="V5" s="3744"/>
      <c r="W5" s="3744"/>
      <c r="X5" s="1316"/>
      <c r="Y5" s="3740"/>
      <c r="Z5" s="3741"/>
      <c r="AA5" s="3726"/>
      <c r="AB5" s="3726"/>
      <c r="AC5" s="3726"/>
    </row>
    <row r="6" spans="1:29" ht="15.75" thickBot="1">
      <c r="A6" s="748"/>
      <c r="B6" s="749"/>
      <c r="C6" s="3763" t="s">
        <v>1130</v>
      </c>
      <c r="D6" s="3764"/>
      <c r="E6" s="3765" t="s">
        <v>1130</v>
      </c>
      <c r="F6" s="3766"/>
      <c r="G6" s="3763" t="s">
        <v>1130</v>
      </c>
      <c r="H6" s="3764"/>
      <c r="I6" s="3763" t="s">
        <v>1130</v>
      </c>
      <c r="J6" s="3764"/>
      <c r="K6" s="951" t="s">
        <v>396</v>
      </c>
      <c r="L6" s="2347"/>
      <c r="M6" s="2348"/>
      <c r="N6" s="2348"/>
      <c r="O6" s="2348"/>
      <c r="P6" s="3736"/>
      <c r="Q6" s="3737"/>
      <c r="R6" s="3740"/>
      <c r="S6" s="3741"/>
      <c r="T6" s="3742"/>
      <c r="U6" s="3743"/>
      <c r="V6" s="3744"/>
      <c r="W6" s="3744"/>
      <c r="X6" s="1316"/>
      <c r="Y6" s="3742"/>
      <c r="Z6" s="3743"/>
      <c r="AA6" s="3727"/>
      <c r="AB6" s="3727"/>
      <c r="AC6" s="3727"/>
    </row>
    <row r="7" spans="1:29" s="406" customFormat="1" ht="15.75" thickBot="1">
      <c r="A7" s="750" t="s">
        <v>397</v>
      </c>
      <c r="B7" s="751"/>
      <c r="C7" s="752">
        <f>'数据-取费表'!B2</f>
        <v>42986</v>
      </c>
      <c r="D7" s="753">
        <v>100</v>
      </c>
      <c r="E7" s="1015"/>
      <c r="F7" s="755">
        <f>SUMIF(65:65,YEAR(E7)&amp;"-"&amp;INT((MONTH(E7)+2)/3),66:66)</f>
        <v>0</v>
      </c>
      <c r="G7" s="1016"/>
      <c r="H7" s="753">
        <f>SUMIF(65:65,YEAR(G7)&amp;"-"&amp;INT((MONTH(G7)+2)/3),66:66)</f>
        <v>0</v>
      </c>
      <c r="I7" s="1016"/>
      <c r="J7" s="753">
        <f>SUMIF(65:65,YEAR(I7)&amp;"-"&amp;INT((MONTH(I7)+2)/3),66:66)</f>
        <v>0</v>
      </c>
      <c r="K7" s="952"/>
      <c r="L7" s="2349"/>
      <c r="M7" s="2350"/>
      <c r="N7" s="2350"/>
      <c r="O7" s="2350"/>
      <c r="P7" s="3749" t="s">
        <v>398</v>
      </c>
      <c r="Q7" s="3751"/>
      <c r="R7" s="1317" t="s">
        <v>65</v>
      </c>
      <c r="S7" s="1318">
        <f t="shared" ref="S7:S15" si="0">F7</f>
        <v>0</v>
      </c>
      <c r="T7" s="1317" t="s">
        <v>65</v>
      </c>
      <c r="U7" s="1318">
        <f t="shared" ref="U7:U15" si="1">H7</f>
        <v>0</v>
      </c>
      <c r="V7" s="1317" t="s">
        <v>65</v>
      </c>
      <c r="W7" s="1318">
        <f t="shared" ref="W7:W15" si="2">J7</f>
        <v>0</v>
      </c>
      <c r="X7" s="1319"/>
      <c r="Y7" s="3749" t="s">
        <v>398</v>
      </c>
      <c r="Z7" s="3750"/>
      <c r="AA7" s="1320" t="e">
        <f>D7/F7</f>
        <v>#DIV/0!</v>
      </c>
      <c r="AB7" s="1320" t="e">
        <f>D7/H7</f>
        <v>#DIV/0!</v>
      </c>
      <c r="AC7" s="1320" t="e">
        <f>D7/J7</f>
        <v>#DIV/0!</v>
      </c>
    </row>
    <row r="8" spans="1:29" s="406" customFormat="1" ht="15.75" thickBot="1">
      <c r="A8" s="750" t="s">
        <v>399</v>
      </c>
      <c r="B8" s="751"/>
      <c r="C8" s="1018" t="s">
        <v>155</v>
      </c>
      <c r="D8" s="753">
        <v>100</v>
      </c>
      <c r="E8" s="1018"/>
      <c r="F8" s="755">
        <f>SUMIF(68:68,E8,69:69)-SUMIF(68:68,C8,69:69)+100</f>
        <v>0</v>
      </c>
      <c r="G8" s="1018"/>
      <c r="H8" s="753">
        <f>SUMIF(68:68,G8,69:69)-SUMIF(68:68,C8,69:69)+100</f>
        <v>0</v>
      </c>
      <c r="I8" s="1018"/>
      <c r="J8" s="753">
        <f>SUMIF(68:68,I8,69:69)-SUMIF(68:68,C8,69:69)+100</f>
        <v>0</v>
      </c>
      <c r="K8" s="952"/>
      <c r="L8" s="2349"/>
      <c r="M8" s="2350"/>
      <c r="N8" s="2350"/>
      <c r="O8" s="2350"/>
      <c r="P8" s="3749" t="s">
        <v>434</v>
      </c>
      <c r="Q8" s="3750"/>
      <c r="R8" s="1317" t="s">
        <v>65</v>
      </c>
      <c r="S8" s="1318">
        <f t="shared" si="0"/>
        <v>0</v>
      </c>
      <c r="T8" s="1317" t="s">
        <v>65</v>
      </c>
      <c r="U8" s="1318">
        <f t="shared" si="1"/>
        <v>0</v>
      </c>
      <c r="V8" s="1317" t="s">
        <v>65</v>
      </c>
      <c r="W8" s="1318">
        <f t="shared" si="2"/>
        <v>0</v>
      </c>
      <c r="X8" s="1319"/>
      <c r="Y8" s="3749" t="s">
        <v>434</v>
      </c>
      <c r="Z8" s="3750"/>
      <c r="AA8" s="1320" t="e">
        <f t="shared" ref="AA8:AA40" si="3">D8/F8</f>
        <v>#DIV/0!</v>
      </c>
      <c r="AB8" s="1320" t="e">
        <f t="shared" ref="AB8:AB40" si="4">D8/H8</f>
        <v>#DIV/0!</v>
      </c>
      <c r="AC8" s="1320" t="e">
        <f t="shared" ref="AC8:AC40" si="5">D8/J8</f>
        <v>#DIV/0!</v>
      </c>
    </row>
    <row r="9" spans="1:29" s="406" customFormat="1">
      <c r="A9" s="757" t="s">
        <v>400</v>
      </c>
      <c r="B9" s="360" t="s">
        <v>418</v>
      </c>
      <c r="C9" s="1020"/>
      <c r="D9" s="424">
        <v>100</v>
      </c>
      <c r="E9" s="1020"/>
      <c r="F9" s="424">
        <f>SUMIF(70:70,E9,71:71)-SUMIF(70:70,C9,71:71)+100</f>
        <v>100</v>
      </c>
      <c r="G9" s="1020"/>
      <c r="H9" s="424">
        <f>SUMIF(70:70,G9,71:71)-SUMIF(70:70,C9,71:71)+100</f>
        <v>100</v>
      </c>
      <c r="I9" s="1020"/>
      <c r="J9" s="424">
        <f>SUMIF(70:70,I9,71:71)-SUMIF(70:70,C9,71:71)+100</f>
        <v>100</v>
      </c>
      <c r="K9" s="952"/>
      <c r="L9" s="2349"/>
      <c r="M9" s="2350"/>
      <c r="N9" s="2350"/>
      <c r="O9" s="2351"/>
      <c r="P9" s="3716" t="s">
        <v>401</v>
      </c>
      <c r="Q9" s="296" t="str">
        <f t="shared" ref="Q9:Q15" si="6">B9</f>
        <v>用途</v>
      </c>
      <c r="R9" s="1317" t="s">
        <v>65</v>
      </c>
      <c r="S9" s="1318">
        <f t="shared" si="0"/>
        <v>100</v>
      </c>
      <c r="T9" s="1317" t="s">
        <v>65</v>
      </c>
      <c r="U9" s="1318">
        <f t="shared" si="1"/>
        <v>100</v>
      </c>
      <c r="V9" s="1317" t="s">
        <v>65</v>
      </c>
      <c r="W9" s="1318">
        <f t="shared" si="2"/>
        <v>100</v>
      </c>
      <c r="X9" s="1319"/>
      <c r="Y9" s="3522" t="s">
        <v>402</v>
      </c>
      <c r="Z9" s="343" t="str">
        <f t="shared" ref="Z9:Z15" si="7">Q9</f>
        <v>用途</v>
      </c>
      <c r="AA9" s="1320">
        <f t="shared" si="3"/>
        <v>1</v>
      </c>
      <c r="AB9" s="1320">
        <f t="shared" si="4"/>
        <v>1</v>
      </c>
      <c r="AC9" s="1320">
        <f t="shared" si="5"/>
        <v>1</v>
      </c>
    </row>
    <row r="10" spans="1:29" s="769" customFormat="1" ht="27">
      <c r="A10" s="763"/>
      <c r="B10" s="764" t="s">
        <v>403</v>
      </c>
      <c r="C10" s="1022"/>
      <c r="D10" s="425">
        <v>100</v>
      </c>
      <c r="E10" s="1022"/>
      <c r="F10" s="425">
        <f>ROUND(100/'数据-取费表'!G16,0)</f>
        <v>114</v>
      </c>
      <c r="G10" s="1022"/>
      <c r="H10" s="425">
        <f>ROUND(100/'数据-取费表'!G16,0)</f>
        <v>114</v>
      </c>
      <c r="I10" s="1022"/>
      <c r="J10" s="425">
        <f>ROUND(100/'数据-取费表'!G16,0)</f>
        <v>114</v>
      </c>
      <c r="K10" s="1079"/>
      <c r="L10" s="2352"/>
      <c r="M10" s="2353"/>
      <c r="N10" s="2353"/>
      <c r="O10" s="2354"/>
      <c r="P10" s="3716"/>
      <c r="Q10" s="296" t="str">
        <f t="shared" si="6"/>
        <v>土地使用年限（年）</v>
      </c>
      <c r="R10" s="1317" t="s">
        <v>65</v>
      </c>
      <c r="S10" s="1318">
        <f t="shared" si="0"/>
        <v>114</v>
      </c>
      <c r="T10" s="1317" t="s">
        <v>65</v>
      </c>
      <c r="U10" s="1318">
        <f t="shared" si="1"/>
        <v>114</v>
      </c>
      <c r="V10" s="1317" t="s">
        <v>65</v>
      </c>
      <c r="W10" s="1318">
        <f t="shared" si="2"/>
        <v>114</v>
      </c>
      <c r="X10" s="1319"/>
      <c r="Y10" s="3522"/>
      <c r="Z10" s="343" t="str">
        <f t="shared" si="7"/>
        <v>土地使用年限（年）</v>
      </c>
      <c r="AA10" s="1320">
        <f t="shared" si="3"/>
        <v>0.8771929824561403</v>
      </c>
      <c r="AB10" s="1320">
        <f t="shared" si="4"/>
        <v>0.8771929824561403</v>
      </c>
      <c r="AC10" s="1320">
        <f t="shared" si="5"/>
        <v>0.8771929824561403</v>
      </c>
    </row>
    <row r="11" spans="1:29" ht="15">
      <c r="A11" s="770"/>
      <c r="B11" s="764" t="s">
        <v>404</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716"/>
      <c r="Q11" s="296" t="str">
        <f t="shared" si="6"/>
        <v>容积率</v>
      </c>
      <c r="R11" s="1317" t="s">
        <v>65</v>
      </c>
      <c r="S11" s="1318" t="e">
        <f t="shared" si="0"/>
        <v>#N/A</v>
      </c>
      <c r="T11" s="1317" t="s">
        <v>65</v>
      </c>
      <c r="U11" s="1318" t="e">
        <f t="shared" si="1"/>
        <v>#N/A</v>
      </c>
      <c r="V11" s="1317" t="s">
        <v>65</v>
      </c>
      <c r="W11" s="1318" t="e">
        <f t="shared" si="2"/>
        <v>#N/A</v>
      </c>
      <c r="X11" s="1319"/>
      <c r="Y11" s="3522"/>
      <c r="Z11" s="343"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716"/>
      <c r="Q12" s="296">
        <f t="shared" si="6"/>
        <v>111</v>
      </c>
      <c r="R12" s="1317" t="s">
        <v>65</v>
      </c>
      <c r="S12" s="1318">
        <f t="shared" si="0"/>
        <v>100</v>
      </c>
      <c r="T12" s="1317" t="s">
        <v>65</v>
      </c>
      <c r="U12" s="1318">
        <f t="shared" si="1"/>
        <v>100</v>
      </c>
      <c r="V12" s="1317" t="s">
        <v>65</v>
      </c>
      <c r="W12" s="1318">
        <f t="shared" si="2"/>
        <v>100</v>
      </c>
      <c r="X12" s="1319"/>
      <c r="Y12" s="3522"/>
      <c r="Z12" s="343">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716"/>
      <c r="Q13" s="296">
        <f t="shared" si="6"/>
        <v>111</v>
      </c>
      <c r="R13" s="1317" t="s">
        <v>65</v>
      </c>
      <c r="S13" s="1318">
        <f t="shared" si="0"/>
        <v>100</v>
      </c>
      <c r="T13" s="1317" t="s">
        <v>65</v>
      </c>
      <c r="U13" s="1318">
        <f t="shared" si="1"/>
        <v>100</v>
      </c>
      <c r="V13" s="1317" t="s">
        <v>65</v>
      </c>
      <c r="W13" s="1318">
        <f t="shared" si="2"/>
        <v>100</v>
      </c>
      <c r="X13" s="1319"/>
      <c r="Y13" s="3522"/>
      <c r="Z13" s="343">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716"/>
      <c r="Q14" s="296">
        <f t="shared" si="6"/>
        <v>111</v>
      </c>
      <c r="R14" s="1317" t="s">
        <v>65</v>
      </c>
      <c r="S14" s="1318">
        <f t="shared" si="0"/>
        <v>100</v>
      </c>
      <c r="T14" s="1317" t="s">
        <v>65</v>
      </c>
      <c r="U14" s="1318">
        <f t="shared" si="1"/>
        <v>100</v>
      </c>
      <c r="V14" s="1317" t="s">
        <v>65</v>
      </c>
      <c r="W14" s="1318">
        <f t="shared" si="2"/>
        <v>100</v>
      </c>
      <c r="X14" s="1319"/>
      <c r="Y14" s="3522"/>
      <c r="Z14" s="343">
        <f t="shared" si="7"/>
        <v>111</v>
      </c>
      <c r="AA14" s="1320">
        <f t="shared" si="3"/>
        <v>1</v>
      </c>
      <c r="AB14" s="1320">
        <f t="shared" si="4"/>
        <v>1</v>
      </c>
      <c r="AC14" s="1320">
        <f t="shared" si="5"/>
        <v>1</v>
      </c>
    </row>
    <row r="15" spans="1:29" ht="67.5">
      <c r="A15" s="782" t="s">
        <v>405</v>
      </c>
      <c r="B15" s="970" t="s">
        <v>517</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721" t="s">
        <v>406</v>
      </c>
      <c r="Q15" s="1321" t="str">
        <f t="shared" si="6"/>
        <v>产业集聚程度</v>
      </c>
      <c r="R15" s="1322" t="s">
        <v>65</v>
      </c>
      <c r="S15" s="1323">
        <f t="shared" si="0"/>
        <v>100</v>
      </c>
      <c r="T15" s="1322" t="s">
        <v>65</v>
      </c>
      <c r="U15" s="1323">
        <f t="shared" si="1"/>
        <v>100</v>
      </c>
      <c r="V15" s="1322" t="s">
        <v>65</v>
      </c>
      <c r="W15" s="1323">
        <f t="shared" si="2"/>
        <v>100</v>
      </c>
      <c r="X15" s="1316"/>
      <c r="Y15" s="3721" t="s">
        <v>406</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722"/>
      <c r="Q16" s="1321"/>
      <c r="R16" s="1322"/>
      <c r="S16" s="1323"/>
      <c r="T16" s="1322"/>
      <c r="U16" s="1323"/>
      <c r="V16" s="1322"/>
      <c r="W16" s="1323"/>
      <c r="X16" s="1316"/>
      <c r="Y16" s="3722"/>
      <c r="Z16" s="1324"/>
      <c r="AA16" s="1325">
        <v>1</v>
      </c>
      <c r="AB16" s="1325">
        <v>1</v>
      </c>
      <c r="AC16" s="1325">
        <v>1</v>
      </c>
    </row>
    <row r="17" spans="1:29" ht="94.5">
      <c r="A17" s="770"/>
      <c r="B17" s="972" t="s">
        <v>455</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722"/>
      <c r="Q17" s="1321" t="str">
        <f>B17</f>
        <v>交通便捷度</v>
      </c>
      <c r="R17" s="1322" t="s">
        <v>65</v>
      </c>
      <c r="S17" s="1323">
        <f>F17</f>
        <v>100</v>
      </c>
      <c r="T17" s="1322" t="s">
        <v>65</v>
      </c>
      <c r="U17" s="1323">
        <f>H17</f>
        <v>100</v>
      </c>
      <c r="V17" s="1322" t="s">
        <v>65</v>
      </c>
      <c r="W17" s="1323">
        <f>J17</f>
        <v>100</v>
      </c>
      <c r="X17" s="1316"/>
      <c r="Y17" s="3722"/>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722"/>
      <c r="Q18" s="1321"/>
      <c r="R18" s="1322"/>
      <c r="S18" s="1323"/>
      <c r="T18" s="1322"/>
      <c r="U18" s="1323"/>
      <c r="V18" s="1322"/>
      <c r="W18" s="1323"/>
      <c r="X18" s="1316"/>
      <c r="Y18" s="3722"/>
      <c r="Z18" s="1324"/>
      <c r="AA18" s="1325">
        <v>1</v>
      </c>
      <c r="AB18" s="1325">
        <v>1</v>
      </c>
      <c r="AC18" s="1325">
        <v>1</v>
      </c>
    </row>
    <row r="19" spans="1:29" ht="27">
      <c r="A19" s="770"/>
      <c r="B19" s="972" t="s">
        <v>1849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722"/>
      <c r="Q19" s="1321" t="str">
        <f t="shared" ref="Q19:Q33" si="8">B19</f>
        <v>区域土地利用方向</v>
      </c>
      <c r="R19" s="1322" t="s">
        <v>65</v>
      </c>
      <c r="S19" s="1323">
        <f>F19</f>
        <v>100</v>
      </c>
      <c r="T19" s="1322" t="s">
        <v>65</v>
      </c>
      <c r="U19" s="1323">
        <f>H19</f>
        <v>100</v>
      </c>
      <c r="V19" s="1322" t="s">
        <v>65</v>
      </c>
      <c r="W19" s="1323">
        <f>J19</f>
        <v>100</v>
      </c>
      <c r="X19" s="1316"/>
      <c r="Y19" s="3722"/>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722"/>
      <c r="Q20" s="1468"/>
      <c r="R20" s="1322"/>
      <c r="S20" s="1323"/>
      <c r="T20" s="1322"/>
      <c r="U20" s="1323"/>
      <c r="V20" s="1322"/>
      <c r="W20" s="1323"/>
      <c r="X20" s="1467"/>
      <c r="Y20" s="3722"/>
      <c r="Z20" s="1469"/>
      <c r="AA20" s="1325"/>
      <c r="AB20" s="1325"/>
      <c r="AC20" s="1325"/>
    </row>
    <row r="21" spans="1:29" ht="81">
      <c r="A21" s="746"/>
      <c r="B21" s="972" t="s">
        <v>518</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722"/>
      <c r="Q21" s="1321" t="str">
        <f t="shared" si="8"/>
        <v>环境状况</v>
      </c>
      <c r="R21" s="1322" t="s">
        <v>65</v>
      </c>
      <c r="S21" s="1323">
        <f>F21</f>
        <v>100</v>
      </c>
      <c r="T21" s="1322" t="s">
        <v>65</v>
      </c>
      <c r="U21" s="1323">
        <f>H21</f>
        <v>100</v>
      </c>
      <c r="V21" s="1322" t="s">
        <v>65</v>
      </c>
      <c r="W21" s="1323">
        <f>J21</f>
        <v>100</v>
      </c>
      <c r="X21" s="1316"/>
      <c r="Y21" s="3722"/>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722"/>
      <c r="Q22" s="1321"/>
      <c r="R22" s="1322"/>
      <c r="S22" s="1323"/>
      <c r="T22" s="1322"/>
      <c r="U22" s="1323"/>
      <c r="V22" s="1322"/>
      <c r="W22" s="1323"/>
      <c r="X22" s="1316"/>
      <c r="Y22" s="3722"/>
      <c r="Z22" s="1324"/>
      <c r="AA22" s="1325">
        <v>1</v>
      </c>
      <c r="AB22" s="1325">
        <v>1</v>
      </c>
      <c r="AC22" s="1325">
        <v>1</v>
      </c>
    </row>
    <row r="23" spans="1:29" s="406" customFormat="1" ht="40.5">
      <c r="A23" s="990"/>
      <c r="B23" s="1034" t="s">
        <v>2665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722"/>
      <c r="Q23" s="296" t="str">
        <f t="shared" si="8"/>
        <v>公共配套设施</v>
      </c>
      <c r="R23" s="1317" t="s">
        <v>65</v>
      </c>
      <c r="S23" s="1318">
        <f>F23</f>
        <v>100</v>
      </c>
      <c r="T23" s="1317" t="s">
        <v>65</v>
      </c>
      <c r="U23" s="1318">
        <f>H23</f>
        <v>100</v>
      </c>
      <c r="V23" s="1317" t="s">
        <v>65</v>
      </c>
      <c r="W23" s="1318">
        <f>J23</f>
        <v>100</v>
      </c>
      <c r="X23" s="1319"/>
      <c r="Y23" s="3722"/>
      <c r="Z23" s="343" t="str">
        <f>Q23</f>
        <v>公共配套设施</v>
      </c>
      <c r="AA23" s="1325">
        <f>D23/F23</f>
        <v>1</v>
      </c>
      <c r="AB23" s="1325">
        <f>D23/H23</f>
        <v>1</v>
      </c>
      <c r="AC23" s="1325">
        <f>D23/J23</f>
        <v>1</v>
      </c>
    </row>
    <row r="24" spans="1:29" s="406" customFormat="1" ht="15">
      <c r="A24" s="990"/>
      <c r="B24" s="973"/>
      <c r="C24" s="2774"/>
      <c r="D24" s="790"/>
      <c r="E24" s="192"/>
      <c r="F24" s="790"/>
      <c r="G24" s="192"/>
      <c r="H24" s="790"/>
      <c r="I24" s="97"/>
      <c r="J24" s="790"/>
      <c r="K24" s="1079"/>
      <c r="L24" s="2349"/>
      <c r="M24" s="2350"/>
      <c r="N24" s="2350"/>
      <c r="O24" s="2351"/>
      <c r="P24" s="3722"/>
      <c r="Q24" s="296"/>
      <c r="R24" s="1317"/>
      <c r="S24" s="1318"/>
      <c r="T24" s="1317"/>
      <c r="U24" s="1318"/>
      <c r="V24" s="1317"/>
      <c r="W24" s="1318"/>
      <c r="X24" s="1319"/>
      <c r="Y24" s="3722"/>
      <c r="Z24" s="343"/>
      <c r="AA24" s="1320">
        <v>1</v>
      </c>
      <c r="AB24" s="1320">
        <v>1</v>
      </c>
      <c r="AC24" s="1320">
        <v>1</v>
      </c>
    </row>
    <row r="25" spans="1:29" s="406" customFormat="1" ht="40.5">
      <c r="A25" s="990"/>
      <c r="B25" s="1034" t="s">
        <v>2666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722"/>
      <c r="Q25" s="2743" t="str">
        <f t="shared" ref="Q25" si="9">B25</f>
        <v>基础设施水平</v>
      </c>
      <c r="R25" s="1317" t="s">
        <v>65</v>
      </c>
      <c r="S25" s="1318">
        <f>F25</f>
        <v>100</v>
      </c>
      <c r="T25" s="1317" t="s">
        <v>65</v>
      </c>
      <c r="U25" s="1318">
        <f>H25</f>
        <v>100</v>
      </c>
      <c r="V25" s="1317" t="s">
        <v>65</v>
      </c>
      <c r="W25" s="1318">
        <f>J25</f>
        <v>100</v>
      </c>
      <c r="X25" s="1319"/>
      <c r="Y25" s="3722"/>
      <c r="Z25" s="343" t="str">
        <f>Q25</f>
        <v>基础设施水平</v>
      </c>
      <c r="AA25" s="1325">
        <f>D25/F25</f>
        <v>1</v>
      </c>
      <c r="AB25" s="1325">
        <f>D25/H25</f>
        <v>1</v>
      </c>
      <c r="AC25" s="1325">
        <f>D25/J25</f>
        <v>1</v>
      </c>
    </row>
    <row r="26" spans="1:29" s="406" customFormat="1" ht="15">
      <c r="A26" s="990"/>
      <c r="B26" s="973"/>
      <c r="C26" s="2774"/>
      <c r="D26" s="790"/>
      <c r="E26" s="1035"/>
      <c r="F26" s="790"/>
      <c r="G26" s="1035"/>
      <c r="H26" s="790"/>
      <c r="I26" s="1035"/>
      <c r="J26" s="790"/>
      <c r="K26" s="1079"/>
      <c r="L26" s="2349"/>
      <c r="M26" s="2350"/>
      <c r="N26" s="2350"/>
      <c r="O26" s="2351"/>
      <c r="P26" s="3722"/>
      <c r="Q26" s="2743"/>
      <c r="R26" s="1317"/>
      <c r="S26" s="1318"/>
      <c r="T26" s="1317"/>
      <c r="U26" s="1318"/>
      <c r="V26" s="1317"/>
      <c r="W26" s="1318"/>
      <c r="X26" s="1319"/>
      <c r="Y26" s="3722"/>
      <c r="Z26" s="343"/>
      <c r="AA26" s="1320">
        <v>1</v>
      </c>
      <c r="AB26" s="1320">
        <v>1</v>
      </c>
      <c r="AC26" s="1320">
        <v>1</v>
      </c>
    </row>
    <row r="27" spans="1:29" ht="15">
      <c r="A27" s="770"/>
      <c r="B27" s="973" t="s">
        <v>436</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722"/>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722"/>
      <c r="Z27" s="1324" t="str">
        <f t="shared" ref="Z27:Z40" si="13">Q27</f>
        <v>临街状况</v>
      </c>
      <c r="AA27" s="1325">
        <f t="shared" si="3"/>
        <v>1</v>
      </c>
      <c r="AB27" s="1325">
        <f t="shared" si="4"/>
        <v>1</v>
      </c>
      <c r="AC27" s="1325">
        <f t="shared" si="5"/>
        <v>1</v>
      </c>
    </row>
    <row r="28" spans="1:29" ht="27">
      <c r="A28" s="770"/>
      <c r="B28" s="974" t="s">
        <v>441</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722"/>
      <c r="Q28" s="1321" t="str">
        <f t="shared" si="8"/>
        <v>毗邻道路的类型与等级</v>
      </c>
      <c r="R28" s="1322" t="s">
        <v>65</v>
      </c>
      <c r="S28" s="1323">
        <f t="shared" si="10"/>
        <v>100</v>
      </c>
      <c r="T28" s="1322" t="s">
        <v>65</v>
      </c>
      <c r="U28" s="1323">
        <f t="shared" si="11"/>
        <v>100</v>
      </c>
      <c r="V28" s="1322" t="s">
        <v>65</v>
      </c>
      <c r="W28" s="1323">
        <f t="shared" si="12"/>
        <v>100</v>
      </c>
      <c r="X28" s="1316"/>
      <c r="Y28" s="3722"/>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57"/>
      <c r="M29" s="2348"/>
      <c r="N29" s="2348"/>
      <c r="O29" s="2356"/>
      <c r="P29" s="3722"/>
      <c r="Q29" s="1321"/>
      <c r="R29" s="1322"/>
      <c r="S29" s="1323"/>
      <c r="T29" s="1322"/>
      <c r="U29" s="1323"/>
      <c r="V29" s="1322"/>
      <c r="W29" s="1323"/>
      <c r="X29" s="1316"/>
      <c r="Y29" s="3722"/>
      <c r="Z29" s="1324"/>
      <c r="AA29" s="1325">
        <v>1</v>
      </c>
      <c r="AB29" s="1325">
        <v>1</v>
      </c>
      <c r="AC29" s="1325">
        <v>1</v>
      </c>
    </row>
    <row r="30" spans="1:29" ht="15">
      <c r="A30" s="770"/>
      <c r="B30" s="995" t="s">
        <v>484</v>
      </c>
      <c r="C30" s="2776">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57"/>
      <c r="M30" s="2348"/>
      <c r="N30" s="2348"/>
      <c r="O30" s="2356"/>
      <c r="P30" s="3722"/>
      <c r="Q30" s="1321" t="str">
        <f t="shared" si="8"/>
        <v>土地级别</v>
      </c>
      <c r="R30" s="1322" t="s">
        <v>65</v>
      </c>
      <c r="S30" s="1323">
        <f t="shared" si="10"/>
        <v>100</v>
      </c>
      <c r="T30" s="1322" t="s">
        <v>65</v>
      </c>
      <c r="U30" s="1323">
        <f t="shared" si="11"/>
        <v>100</v>
      </c>
      <c r="V30" s="1322" t="s">
        <v>65</v>
      </c>
      <c r="W30" s="1323">
        <f t="shared" si="12"/>
        <v>100</v>
      </c>
      <c r="X30" s="1316"/>
      <c r="Y30" s="3722"/>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57"/>
      <c r="M31" s="2348"/>
      <c r="N31" s="2348"/>
      <c r="O31" s="2356"/>
      <c r="P31" s="3722"/>
      <c r="Q31" s="1321">
        <f t="shared" si="8"/>
        <v>111</v>
      </c>
      <c r="R31" s="1322" t="s">
        <v>65</v>
      </c>
      <c r="S31" s="1323">
        <f t="shared" si="10"/>
        <v>100</v>
      </c>
      <c r="T31" s="1322" t="s">
        <v>65</v>
      </c>
      <c r="U31" s="1323">
        <f t="shared" si="11"/>
        <v>100</v>
      </c>
      <c r="V31" s="1322" t="s">
        <v>65</v>
      </c>
      <c r="W31" s="1323">
        <f t="shared" si="12"/>
        <v>100</v>
      </c>
      <c r="X31" s="1316"/>
      <c r="Y31" s="3722"/>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57"/>
      <c r="M32" s="2348"/>
      <c r="N32" s="2348"/>
      <c r="O32" s="2356"/>
      <c r="P32" s="3723" t="s">
        <v>408</v>
      </c>
      <c r="Q32" s="1321">
        <f t="shared" si="8"/>
        <v>111</v>
      </c>
      <c r="R32" s="1322" t="s">
        <v>65</v>
      </c>
      <c r="S32" s="1323">
        <f t="shared" si="10"/>
        <v>100</v>
      </c>
      <c r="T32" s="1322" t="s">
        <v>65</v>
      </c>
      <c r="U32" s="1323">
        <f t="shared" si="11"/>
        <v>100</v>
      </c>
      <c r="V32" s="1322" t="s">
        <v>65</v>
      </c>
      <c r="W32" s="1323">
        <f t="shared" si="12"/>
        <v>100</v>
      </c>
      <c r="X32" s="1316"/>
      <c r="Y32" s="3724" t="s">
        <v>408</v>
      </c>
      <c r="Z32" s="1324">
        <f t="shared" si="13"/>
        <v>111</v>
      </c>
      <c r="AA32" s="1325">
        <f t="shared" si="3"/>
        <v>1</v>
      </c>
      <c r="AB32" s="1325">
        <f t="shared" si="4"/>
        <v>1</v>
      </c>
      <c r="AC32" s="1325">
        <f t="shared" si="5"/>
        <v>1</v>
      </c>
    </row>
    <row r="33" spans="1:29" s="812" customFormat="1" ht="15.75" thickBot="1">
      <c r="A33" s="1083"/>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55"/>
      <c r="M33" s="2358"/>
      <c r="N33" s="2358"/>
      <c r="O33" s="2359"/>
      <c r="P33" s="3724"/>
      <c r="Q33" s="1321">
        <f t="shared" si="8"/>
        <v>111</v>
      </c>
      <c r="R33" s="1327" t="s">
        <v>65</v>
      </c>
      <c r="S33" s="1328">
        <f t="shared" si="10"/>
        <v>100</v>
      </c>
      <c r="T33" s="1327" t="s">
        <v>65</v>
      </c>
      <c r="U33" s="1328">
        <f t="shared" si="11"/>
        <v>100</v>
      </c>
      <c r="V33" s="1327" t="s">
        <v>65</v>
      </c>
      <c r="W33" s="1328">
        <f t="shared" si="12"/>
        <v>100</v>
      </c>
      <c r="X33" s="1329"/>
      <c r="Y33" s="3724"/>
      <c r="Z33" s="1330">
        <f t="shared" si="13"/>
        <v>111</v>
      </c>
      <c r="AA33" s="1325">
        <f t="shared" si="3"/>
        <v>1</v>
      </c>
      <c r="AB33" s="1325">
        <f t="shared" si="4"/>
        <v>1</v>
      </c>
      <c r="AC33" s="1325">
        <f t="shared" si="5"/>
        <v>1</v>
      </c>
    </row>
    <row r="34" spans="1:29" ht="15">
      <c r="A34" s="782" t="s">
        <v>2791</v>
      </c>
      <c r="B34" s="798" t="s">
        <v>485</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724"/>
      <c r="Q34" s="1321" t="str">
        <f>B34</f>
        <v>宗地面积</v>
      </c>
      <c r="R34" s="1322" t="s">
        <v>65</v>
      </c>
      <c r="S34" s="1323" t="e">
        <f t="shared" si="10"/>
        <v>#N/A</v>
      </c>
      <c r="T34" s="1322" t="s">
        <v>65</v>
      </c>
      <c r="U34" s="1323" t="e">
        <f t="shared" si="11"/>
        <v>#N/A</v>
      </c>
      <c r="V34" s="1322" t="s">
        <v>65</v>
      </c>
      <c r="W34" s="1323" t="e">
        <f t="shared" si="12"/>
        <v>#N/A</v>
      </c>
      <c r="X34" s="1316"/>
      <c r="Y34" s="3724"/>
      <c r="Z34" s="1324" t="str">
        <f t="shared" si="13"/>
        <v>宗地面积</v>
      </c>
      <c r="AA34" s="1325" t="e">
        <f t="shared" si="3"/>
        <v>#N/A</v>
      </c>
      <c r="AB34" s="1325" t="e">
        <f t="shared" si="4"/>
        <v>#N/A</v>
      </c>
      <c r="AC34" s="1325" t="e">
        <f t="shared" si="5"/>
        <v>#N/A</v>
      </c>
    </row>
    <row r="35" spans="1:29" ht="15">
      <c r="A35" s="813"/>
      <c r="B35" s="764" t="s">
        <v>486</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57"/>
      <c r="M35" s="2348"/>
      <c r="N35" s="2348"/>
      <c r="O35" s="2356"/>
      <c r="P35" s="3724"/>
      <c r="Q35" s="1321" t="str">
        <f t="shared" ref="Q35:Q40" si="14">B35</f>
        <v>宗地形状</v>
      </c>
      <c r="R35" s="1322" t="s">
        <v>65</v>
      </c>
      <c r="S35" s="1323">
        <f t="shared" si="10"/>
        <v>100</v>
      </c>
      <c r="T35" s="1322" t="s">
        <v>65</v>
      </c>
      <c r="U35" s="1323">
        <f t="shared" si="11"/>
        <v>100</v>
      </c>
      <c r="V35" s="1322" t="s">
        <v>65</v>
      </c>
      <c r="W35" s="1323">
        <f t="shared" si="12"/>
        <v>100</v>
      </c>
      <c r="X35" s="1316"/>
      <c r="Y35" s="3724"/>
      <c r="Z35" s="1324" t="str">
        <f t="shared" si="13"/>
        <v>宗地形状</v>
      </c>
      <c r="AA35" s="1325">
        <f t="shared" si="3"/>
        <v>1</v>
      </c>
      <c r="AB35" s="1325">
        <f t="shared" si="4"/>
        <v>1</v>
      </c>
      <c r="AC35" s="1325">
        <f t="shared" si="5"/>
        <v>1</v>
      </c>
    </row>
    <row r="36" spans="1:29" s="406" customFormat="1" ht="15">
      <c r="A36" s="814"/>
      <c r="B36" s="2609" t="s">
        <v>2498</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9"/>
      <c r="M36" s="2350"/>
      <c r="N36" s="2350"/>
      <c r="O36" s="2351"/>
      <c r="P36" s="3724"/>
      <c r="Q36" s="1321" t="str">
        <f t="shared" si="14"/>
        <v>宗地开发程度</v>
      </c>
      <c r="R36" s="1317" t="s">
        <v>65</v>
      </c>
      <c r="S36" s="1318">
        <f t="shared" si="10"/>
        <v>100</v>
      </c>
      <c r="T36" s="1317" t="s">
        <v>65</v>
      </c>
      <c r="U36" s="1318">
        <f t="shared" si="11"/>
        <v>100</v>
      </c>
      <c r="V36" s="1317" t="s">
        <v>65</v>
      </c>
      <c r="W36" s="1318">
        <f t="shared" si="12"/>
        <v>100</v>
      </c>
      <c r="X36" s="1319"/>
      <c r="Y36" s="3724"/>
      <c r="Z36" s="343" t="str">
        <f t="shared" si="13"/>
        <v>宗地开发程度</v>
      </c>
      <c r="AA36" s="1320">
        <f t="shared" si="3"/>
        <v>1</v>
      </c>
      <c r="AB36" s="1320">
        <f t="shared" si="4"/>
        <v>1</v>
      </c>
      <c r="AC36" s="1320">
        <f t="shared" si="5"/>
        <v>1</v>
      </c>
    </row>
    <row r="37" spans="1:29" ht="15">
      <c r="A37" s="813"/>
      <c r="B37" s="764" t="s">
        <v>488</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57"/>
      <c r="M37" s="2348"/>
      <c r="N37" s="2348"/>
      <c r="O37" s="2356"/>
      <c r="P37" s="3724" t="s">
        <v>519</v>
      </c>
      <c r="Q37" s="1321" t="str">
        <f t="shared" si="14"/>
        <v>工程地质条件</v>
      </c>
      <c r="R37" s="1322" t="s">
        <v>65</v>
      </c>
      <c r="S37" s="1323">
        <f t="shared" si="10"/>
        <v>100</v>
      </c>
      <c r="T37" s="1322" t="s">
        <v>65</v>
      </c>
      <c r="U37" s="1323">
        <f t="shared" si="11"/>
        <v>100</v>
      </c>
      <c r="V37" s="1322" t="s">
        <v>65</v>
      </c>
      <c r="W37" s="1323">
        <f t="shared" si="12"/>
        <v>100</v>
      </c>
      <c r="X37" s="1316"/>
      <c r="Y37" s="3724" t="s">
        <v>519</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57"/>
      <c r="M38" s="2348"/>
      <c r="N38" s="2348"/>
      <c r="O38" s="2356"/>
      <c r="P38" s="3724"/>
      <c r="Q38" s="1321">
        <f t="shared" si="14"/>
        <v>111</v>
      </c>
      <c r="R38" s="1322" t="s">
        <v>65</v>
      </c>
      <c r="S38" s="1323">
        <f t="shared" si="10"/>
        <v>100</v>
      </c>
      <c r="T38" s="1322" t="s">
        <v>65</v>
      </c>
      <c r="U38" s="1323">
        <f t="shared" si="11"/>
        <v>100</v>
      </c>
      <c r="V38" s="1322" t="s">
        <v>65</v>
      </c>
      <c r="W38" s="1323">
        <f t="shared" si="12"/>
        <v>100</v>
      </c>
      <c r="X38" s="1316"/>
      <c r="Y38" s="3724"/>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57"/>
      <c r="M39" s="2348"/>
      <c r="N39" s="2348"/>
      <c r="O39" s="2356"/>
      <c r="P39" s="3724"/>
      <c r="Q39" s="1321">
        <f t="shared" si="14"/>
        <v>111</v>
      </c>
      <c r="R39" s="1322" t="s">
        <v>65</v>
      </c>
      <c r="S39" s="1323">
        <f t="shared" si="10"/>
        <v>100</v>
      </c>
      <c r="T39" s="1322" t="s">
        <v>65</v>
      </c>
      <c r="U39" s="1323">
        <f t="shared" si="11"/>
        <v>100</v>
      </c>
      <c r="V39" s="1322" t="s">
        <v>65</v>
      </c>
      <c r="W39" s="1323">
        <f t="shared" si="12"/>
        <v>100</v>
      </c>
      <c r="X39" s="1316"/>
      <c r="Y39" s="3724"/>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724"/>
      <c r="Q40" s="1321">
        <f t="shared" si="14"/>
        <v>111</v>
      </c>
      <c r="R40" s="1327" t="s">
        <v>65</v>
      </c>
      <c r="S40" s="1328">
        <f t="shared" si="10"/>
        <v>100</v>
      </c>
      <c r="T40" s="1327" t="s">
        <v>65</v>
      </c>
      <c r="U40" s="1328">
        <f t="shared" si="11"/>
        <v>100</v>
      </c>
      <c r="V40" s="1327" t="s">
        <v>65</v>
      </c>
      <c r="W40" s="1328">
        <f t="shared" si="12"/>
        <v>100</v>
      </c>
      <c r="X40" s="1329"/>
      <c r="Y40" s="3724"/>
      <c r="Z40" s="1330">
        <f t="shared" si="13"/>
        <v>111</v>
      </c>
      <c r="AA40" s="1325">
        <f t="shared" si="3"/>
        <v>1</v>
      </c>
      <c r="AB40" s="1325">
        <f t="shared" si="4"/>
        <v>1</v>
      </c>
      <c r="AC40" s="1325">
        <f t="shared" si="5"/>
        <v>1</v>
      </c>
    </row>
    <row r="41" spans="1:29" ht="15">
      <c r="A41" s="820" t="s">
        <v>489</v>
      </c>
      <c r="B41" s="207" t="s">
        <v>3020</v>
      </c>
      <c r="C41" s="1089" t="s">
        <v>23</v>
      </c>
      <c r="D41" s="822"/>
      <c r="E41" s="823"/>
      <c r="F41" s="824"/>
      <c r="G41" s="825"/>
      <c r="H41" s="826"/>
      <c r="I41" s="823"/>
      <c r="J41" s="826"/>
      <c r="K41" s="1398"/>
      <c r="L41" s="2360"/>
      <c r="M41" s="2348"/>
      <c r="N41" s="2348"/>
      <c r="O41" s="2361"/>
      <c r="P41" s="3716" t="str">
        <f>A41</f>
        <v>成交单价</v>
      </c>
      <c r="Q41" s="3716"/>
      <c r="R41" s="3744">
        <f>E41</f>
        <v>0</v>
      </c>
      <c r="S41" s="3744"/>
      <c r="T41" s="3744">
        <f>G41</f>
        <v>0</v>
      </c>
      <c r="U41" s="3744"/>
      <c r="V41" s="3744">
        <f>I41</f>
        <v>0</v>
      </c>
      <c r="W41" s="3744"/>
      <c r="X41" s="1305"/>
      <c r="Y41" s="1331"/>
      <c r="Z41" s="1305"/>
      <c r="AA41" s="1305"/>
      <c r="AB41" s="1305"/>
      <c r="AC41" s="1305"/>
    </row>
    <row r="42" spans="1:29" ht="15.75" thickBot="1">
      <c r="A42" s="827" t="s">
        <v>410</v>
      </c>
      <c r="B42" s="1090"/>
      <c r="C42" s="831" t="e">
        <f>R43</f>
        <v>#DIV/0!</v>
      </c>
      <c r="D42" s="830"/>
      <c r="E42" s="831" t="e">
        <f>R42</f>
        <v>#DIV/0!</v>
      </c>
      <c r="F42" s="832"/>
      <c r="G42" s="829" t="e">
        <f>T42</f>
        <v>#DIV/0!</v>
      </c>
      <c r="H42" s="830"/>
      <c r="I42" s="831" t="e">
        <f>V42</f>
        <v>#DIV/0!</v>
      </c>
      <c r="J42" s="830"/>
      <c r="K42" s="1399"/>
      <c r="L42" s="2360"/>
      <c r="M42" s="2348"/>
      <c r="N42" s="2348"/>
      <c r="O42" s="2361"/>
      <c r="P42" s="3716" t="str">
        <f>A42</f>
        <v>比较价值（元/平方米）</v>
      </c>
      <c r="Q42" s="3716"/>
      <c r="R42" s="3756" t="e">
        <f>ROUND(PRODUCT(R41,AA7:AA40),0)</f>
        <v>#DIV/0!</v>
      </c>
      <c r="S42" s="3756"/>
      <c r="T42" s="3756" t="e">
        <f>ROUND(PRODUCT(T41,AB7:AB40),0)</f>
        <v>#DIV/0!</v>
      </c>
      <c r="U42" s="3756"/>
      <c r="V42" s="3756" t="e">
        <f>ROUND(PRODUCT(V41,AC7:AC40),0)</f>
        <v>#DIV/0!</v>
      </c>
      <c r="W42" s="3756"/>
      <c r="X42" s="1305"/>
      <c r="Y42" s="1305"/>
      <c r="Z42" s="1305"/>
      <c r="AA42" s="1305"/>
      <c r="AB42" s="1305"/>
      <c r="AC42" s="1305"/>
    </row>
    <row r="43" spans="1:29" ht="15.75" thickBot="1">
      <c r="A43" s="115" t="s">
        <v>3013</v>
      </c>
      <c r="B43" s="834"/>
      <c r="C43" s="835" t="e">
        <f>R43</f>
        <v>#DIV/0!</v>
      </c>
      <c r="D43" s="835"/>
      <c r="E43" s="835"/>
      <c r="F43" s="835"/>
      <c r="G43" s="835"/>
      <c r="H43" s="835"/>
      <c r="I43" s="835"/>
      <c r="J43" s="835"/>
      <c r="K43" s="1400"/>
      <c r="L43" s="2360"/>
      <c r="M43" s="2348"/>
      <c r="N43" s="2348"/>
      <c r="O43" s="2361"/>
      <c r="P43" s="3718" t="str">
        <f>A43</f>
        <v>估价对象XX用房的比较价值（楼面单价，元/平方米）</v>
      </c>
      <c r="Q43" s="3719"/>
      <c r="R43" s="3757" t="e">
        <f>ROUND(AVERAGE(R42:V42),0)</f>
        <v>#DIV/0!</v>
      </c>
      <c r="S43" s="3757"/>
      <c r="T43" s="3757"/>
      <c r="U43" s="3757"/>
      <c r="V43" s="3757"/>
      <c r="W43" s="3757"/>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490</v>
      </c>
      <c r="B50" s="1092" t="s">
        <v>491</v>
      </c>
      <c r="C50" s="1775" t="s">
        <v>1888</v>
      </c>
      <c r="D50" s="2392" t="s">
        <v>2322</v>
      </c>
      <c r="E50" s="1093" t="s">
        <v>492</v>
      </c>
      <c r="F50" s="1094" t="s">
        <v>493</v>
      </c>
      <c r="G50" s="3758" t="s">
        <v>2315</v>
      </c>
      <c r="H50" s="3759"/>
      <c r="I50" s="2182" t="s">
        <v>1887</v>
      </c>
      <c r="J50" s="1765" t="str">
        <f>项目基本情况!F35</f>
        <v>怀柔区</v>
      </c>
      <c r="K50" s="2375" t="s">
        <v>1889</v>
      </c>
      <c r="L50" s="2188"/>
      <c r="M50" s="2361"/>
      <c r="N50" s="2361"/>
      <c r="O50" s="2361"/>
    </row>
    <row r="51" spans="1:17" s="1099" customFormat="1">
      <c r="A51" s="1095" t="s">
        <v>494</v>
      </c>
      <c r="B51" s="1096" t="e">
        <f>C43</f>
        <v>#DIV/0!</v>
      </c>
      <c r="C51" s="1097">
        <v>1</v>
      </c>
      <c r="D51" s="2393">
        <v>1</v>
      </c>
      <c r="E51" s="1097">
        <f>'数据-汇总表'!E8+'数据-汇总表'!E9</f>
        <v>28973.439999999999</v>
      </c>
      <c r="F51" s="1098" t="e">
        <f t="shared" ref="F51:F60" si="15">ROUND(B51*E51/10000,0)</f>
        <v>#DIV/0!</v>
      </c>
      <c r="G51" s="3760"/>
      <c r="H51" s="3761"/>
      <c r="I51" s="1773">
        <v>1</v>
      </c>
      <c r="J51" s="1773">
        <v>1</v>
      </c>
      <c r="K51" s="2362"/>
      <c r="L51" s="1772"/>
      <c r="M51" s="1772"/>
      <c r="N51" s="1772"/>
      <c r="O51" s="1772"/>
    </row>
    <row r="52" spans="1:17" s="1099" customFormat="1">
      <c r="A52" s="1100" t="s">
        <v>495</v>
      </c>
      <c r="B52" s="593" t="e">
        <f>ROUND($C$43*C52*D52,0)</f>
        <v>#DIV/0!</v>
      </c>
      <c r="C52" s="531">
        <f t="shared" ref="C52:C60" si="16">IF($C$50="北京市系数",I52,J52)</f>
        <v>0.6</v>
      </c>
      <c r="D52" s="2394">
        <v>0.25</v>
      </c>
      <c r="E52" s="1101"/>
      <c r="F52" s="1098" t="e">
        <f t="shared" si="15"/>
        <v>#DIV/0!</v>
      </c>
      <c r="G52" s="3762" t="s">
        <v>2316</v>
      </c>
      <c r="H52" s="2186" t="str">
        <f>项目基本情况!B37</f>
        <v>八级</v>
      </c>
      <c r="I52" s="1773">
        <f>SUMIF(修正!A45:A56,H52,修正!B45:B56)</f>
        <v>0.6</v>
      </c>
      <c r="J52" s="1774"/>
      <c r="K52" s="2361"/>
      <c r="L52" s="1772"/>
      <c r="M52" s="1772"/>
      <c r="N52" s="1772"/>
      <c r="O52" s="1772"/>
    </row>
    <row r="53" spans="1:17" s="1099" customFormat="1">
      <c r="A53" s="1100" t="s">
        <v>496</v>
      </c>
      <c r="B53" s="593" t="e">
        <f t="shared" ref="B53:B60" si="17">ROUND($C$43*C53*D53,0)</f>
        <v>#DIV/0!</v>
      </c>
      <c r="C53" s="531">
        <f t="shared" si="16"/>
        <v>0.3</v>
      </c>
      <c r="D53" s="2394">
        <v>0.25</v>
      </c>
      <c r="E53" s="1101"/>
      <c r="F53" s="1098" t="e">
        <f t="shared" si="15"/>
        <v>#DIV/0!</v>
      </c>
      <c r="G53" s="3762"/>
      <c r="H53" s="2186" t="str">
        <f>项目基本情况!B37</f>
        <v>八级</v>
      </c>
      <c r="I53" s="1773">
        <f>SUMIF(修正!A45:A56,H53,修正!C45:C56)</f>
        <v>0.3</v>
      </c>
      <c r="J53" s="1774"/>
      <c r="K53" s="2362"/>
      <c r="L53" s="1772"/>
      <c r="M53" s="1772"/>
      <c r="N53" s="1772"/>
      <c r="O53" s="1772"/>
    </row>
    <row r="54" spans="1:17" s="1099" customFormat="1">
      <c r="A54" s="1100" t="s">
        <v>497</v>
      </c>
      <c r="B54" s="593" t="e">
        <f t="shared" si="17"/>
        <v>#DIV/0!</v>
      </c>
      <c r="C54" s="531">
        <f t="shared" si="16"/>
        <v>0.2</v>
      </c>
      <c r="D54" s="2394">
        <v>0.25</v>
      </c>
      <c r="E54" s="1101"/>
      <c r="F54" s="1098" t="e">
        <f t="shared" si="15"/>
        <v>#DIV/0!</v>
      </c>
      <c r="G54" s="3762"/>
      <c r="H54" s="2186" t="str">
        <f>项目基本情况!B37</f>
        <v>八级</v>
      </c>
      <c r="I54" s="1773">
        <f>SUMIF(修正!A45:A56,H54,修正!D45:D56)</f>
        <v>0.2</v>
      </c>
      <c r="J54" s="1774"/>
      <c r="K54" s="2361"/>
      <c r="L54" s="1772"/>
      <c r="M54" s="1772"/>
      <c r="N54" s="1772"/>
      <c r="O54" s="1772"/>
    </row>
    <row r="55" spans="1:17" s="1099" customFormat="1">
      <c r="A55" s="1100" t="s">
        <v>498</v>
      </c>
      <c r="B55" s="593" t="e">
        <f t="shared" si="17"/>
        <v>#DIV/0!</v>
      </c>
      <c r="C55" s="531">
        <f t="shared" si="16"/>
        <v>0.2</v>
      </c>
      <c r="D55" s="2394">
        <v>0.25</v>
      </c>
      <c r="E55" s="1101"/>
      <c r="F55" s="1098" t="e">
        <f t="shared" si="15"/>
        <v>#DIV/0!</v>
      </c>
      <c r="G55" s="3762"/>
      <c r="H55" s="2186" t="str">
        <f>项目基本情况!B37</f>
        <v>八级</v>
      </c>
      <c r="I55" s="1773">
        <f>SUMIF(修正!A45:A56,H55,修正!E45:E56)</f>
        <v>0.2</v>
      </c>
      <c r="J55" s="1774"/>
      <c r="K55" s="2362"/>
      <c r="L55" s="1772"/>
      <c r="M55" s="1772"/>
      <c r="N55" s="1772"/>
      <c r="O55" s="1772"/>
    </row>
    <row r="56" spans="1:17" s="1099" customFormat="1">
      <c r="A56" s="2514" t="s">
        <v>2398</v>
      </c>
      <c r="B56" s="593" t="e">
        <f t="shared" si="17"/>
        <v>#DIV/0!</v>
      </c>
      <c r="C56" s="531">
        <f t="shared" si="16"/>
        <v>0.2</v>
      </c>
      <c r="D56" s="2394">
        <v>0.25</v>
      </c>
      <c r="E56" s="592">
        <f>'数据-汇总表'!E11</f>
        <v>0</v>
      </c>
      <c r="F56" s="1098" t="e">
        <f t="shared" si="15"/>
        <v>#DIV/0!</v>
      </c>
      <c r="G56" s="2198" t="s">
        <v>2317</v>
      </c>
      <c r="H56" s="2186" t="str">
        <f>项目基本情况!C37</f>
        <v>八级</v>
      </c>
      <c r="I56" s="1773">
        <f>SUMIF(修正!A45:A56,H56,修正!F45:F56)</f>
        <v>0.2</v>
      </c>
      <c r="J56" s="1774"/>
      <c r="K56" s="2361"/>
      <c r="L56" s="1772"/>
      <c r="M56" s="1772"/>
      <c r="N56" s="1772"/>
      <c r="O56" s="1772"/>
    </row>
    <row r="57" spans="1:17" s="1099" customFormat="1">
      <c r="A57" s="1100" t="s">
        <v>499</v>
      </c>
      <c r="B57" s="593" t="e">
        <f t="shared" si="17"/>
        <v>#DIV/0!</v>
      </c>
      <c r="C57" s="531">
        <f t="shared" si="16"/>
        <v>0.2</v>
      </c>
      <c r="D57" s="2394">
        <v>0.25</v>
      </c>
      <c r="E57" s="592">
        <f>'数据-汇总表'!E12</f>
        <v>0</v>
      </c>
      <c r="F57" s="1098" t="e">
        <f t="shared" si="15"/>
        <v>#DIV/0!</v>
      </c>
      <c r="G57" s="2192" t="s">
        <v>141</v>
      </c>
      <c r="H57" s="2186" t="str">
        <f>IF(G57="商业",项目基本情况!B37,IF(G57="办公",项目基本情况!C37,IF(G57="住宅",项目基本情况!D37,项目基本情况!E37)))</f>
        <v>八级</v>
      </c>
      <c r="I57" s="1773">
        <f>SUMIF(修正!A45:A56,H57,修正!G45:G56)</f>
        <v>0.2</v>
      </c>
      <c r="J57" s="1774"/>
      <c r="K57" s="2362"/>
      <c r="L57" s="1772"/>
      <c r="M57" s="1772"/>
      <c r="N57" s="1772"/>
      <c r="O57" s="1772"/>
    </row>
    <row r="58" spans="1:17" s="1099" customFormat="1">
      <c r="A58" s="1100" t="s">
        <v>500</v>
      </c>
      <c r="B58" s="593" t="e">
        <f t="shared" si="17"/>
        <v>#DIV/0!</v>
      </c>
      <c r="C58" s="531">
        <f t="shared" si="16"/>
        <v>0</v>
      </c>
      <c r="D58" s="2394">
        <v>0.25</v>
      </c>
      <c r="E58" s="592">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501</v>
      </c>
      <c r="B59" s="593" t="e">
        <f t="shared" si="17"/>
        <v>#DIV/0!</v>
      </c>
      <c r="C59" s="531">
        <f t="shared" si="16"/>
        <v>0.15</v>
      </c>
      <c r="D59" s="2394">
        <v>0.25</v>
      </c>
      <c r="E59" s="592">
        <f>'数据-汇总表'!E14</f>
        <v>0</v>
      </c>
      <c r="F59" s="1098" t="e">
        <f t="shared" si="15"/>
        <v>#DIV/0!</v>
      </c>
      <c r="G59" s="2198" t="s">
        <v>2318</v>
      </c>
      <c r="H59" s="2186" t="str">
        <f>项目基本情况!B37</f>
        <v>八级</v>
      </c>
      <c r="I59" s="1773">
        <f>SUMIF(修正!A45:A56,H59,修正!H45:H56)</f>
        <v>0.15</v>
      </c>
      <c r="J59" s="1774"/>
      <c r="K59" s="2362"/>
      <c r="L59" s="1772"/>
      <c r="M59" s="1772"/>
      <c r="N59" s="1772"/>
      <c r="O59" s="1772"/>
    </row>
    <row r="60" spans="1:17" s="1099" customFormat="1" ht="15" thickBot="1">
      <c r="A60" s="1100" t="s">
        <v>502</v>
      </c>
      <c r="B60" s="593" t="e">
        <f t="shared" si="17"/>
        <v>#DIV/0!</v>
      </c>
      <c r="C60" s="531">
        <f t="shared" si="16"/>
        <v>0.15</v>
      </c>
      <c r="D60" s="2394">
        <v>0.25</v>
      </c>
      <c r="E60" s="592">
        <f>'数据-汇总表'!E15</f>
        <v>0</v>
      </c>
      <c r="F60" s="1098" t="e">
        <f t="shared" si="15"/>
        <v>#DIV/0!</v>
      </c>
      <c r="G60" s="2199" t="s">
        <v>2317</v>
      </c>
      <c r="H60" s="2200" t="str">
        <f>项目基本情况!C37</f>
        <v>八级</v>
      </c>
      <c r="I60" s="1773">
        <f>SUMIF(修正!A45:A56,H60,修正!H45:H56)</f>
        <v>0.15</v>
      </c>
      <c r="J60" s="1774"/>
      <c r="K60" s="2361"/>
      <c r="L60" s="1772"/>
      <c r="M60" s="1772"/>
      <c r="N60" s="1772"/>
      <c r="O60" s="1772"/>
    </row>
    <row r="61" spans="1:17" s="1099" customFormat="1" ht="15" thickBot="1">
      <c r="A61" s="1102" t="s">
        <v>503</v>
      </c>
      <c r="B61" s="1103" t="s">
        <v>156</v>
      </c>
      <c r="C61" s="1103" t="s">
        <v>157</v>
      </c>
      <c r="D61" s="1103" t="s">
        <v>2323</v>
      </c>
      <c r="E61" s="1103">
        <f>IF(B41="楼面地价",SUM(E51:E60),'数据-汇总表'!D3)</f>
        <v>92783.56</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414</v>
      </c>
      <c r="B64" s="1305"/>
      <c r="C64" s="1310"/>
      <c r="D64" s="1310"/>
      <c r="E64" s="1310"/>
      <c r="F64" s="1311"/>
      <c r="G64" s="1311"/>
      <c r="H64" s="1310"/>
      <c r="I64" s="1310"/>
      <c r="J64" s="1310"/>
      <c r="K64" s="1312"/>
      <c r="L64" s="1313"/>
      <c r="M64" s="1310"/>
      <c r="N64" s="1310"/>
      <c r="O64" s="2377"/>
      <c r="P64" s="844"/>
      <c r="Q64" s="845"/>
    </row>
    <row r="65" spans="1:17" s="849" customFormat="1" ht="15">
      <c r="A65" s="2705" t="s">
        <v>2788</v>
      </c>
      <c r="B65" s="2706"/>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8"/>
    </row>
    <row r="66" spans="1:17" s="406" customFormat="1" ht="30.75" customHeight="1">
      <c r="A66" s="3031" t="s">
        <v>2787</v>
      </c>
      <c r="B66" s="663" t="str">
        <f>"北京市平均增长率"&amp;TEXT(基准地价修正!P24,"0.00%")</f>
        <v>北京市平均增长率1.37%</v>
      </c>
      <c r="C66" s="944">
        <v>100</v>
      </c>
      <c r="D66" s="936"/>
      <c r="E66" s="936"/>
      <c r="F66" s="936"/>
      <c r="G66" s="936"/>
      <c r="H66" s="936"/>
      <c r="I66" s="936"/>
      <c r="J66" s="936"/>
      <c r="K66" s="936"/>
      <c r="L66" s="936"/>
      <c r="M66" s="3030"/>
      <c r="N66" s="3030"/>
      <c r="O66" s="3032"/>
      <c r="P66" s="845"/>
    </row>
    <row r="67" spans="1:17" s="406" customFormat="1" ht="15.75" thickBot="1">
      <c r="A67" s="856" t="s">
        <v>415</v>
      </c>
      <c r="B67" s="857"/>
      <c r="C67" s="858"/>
      <c r="D67" s="859"/>
      <c r="E67" s="859"/>
      <c r="F67" s="859"/>
      <c r="G67" s="859"/>
      <c r="H67" s="859"/>
      <c r="I67" s="859"/>
      <c r="J67" s="859"/>
      <c r="K67" s="859"/>
      <c r="L67" s="859"/>
      <c r="M67" s="860"/>
      <c r="N67" s="860"/>
      <c r="O67" s="861"/>
      <c r="P67" s="845"/>
      <c r="Q67" s="845"/>
    </row>
    <row r="68" spans="1:17" s="406" customFormat="1" ht="15">
      <c r="A68" s="862" t="s">
        <v>399</v>
      </c>
      <c r="B68" s="851"/>
      <c r="C68" s="863" t="s">
        <v>416</v>
      </c>
      <c r="D68" s="140"/>
      <c r="E68" s="140"/>
      <c r="F68" s="140"/>
      <c r="G68" s="140"/>
      <c r="H68" s="140"/>
      <c r="I68" s="140"/>
      <c r="J68" s="140"/>
      <c r="K68" s="140"/>
      <c r="L68" s="141"/>
      <c r="M68" s="1049"/>
      <c r="N68" s="2368"/>
      <c r="O68" s="2368"/>
      <c r="P68" s="867"/>
      <c r="Q68" s="845"/>
    </row>
    <row r="69" spans="1:17" s="406"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417</v>
      </c>
      <c r="B70" s="869" t="s">
        <v>418</v>
      </c>
      <c r="C70" s="122"/>
      <c r="D70" s="122"/>
      <c r="E70" s="122"/>
      <c r="F70" s="122"/>
      <c r="G70" s="122"/>
      <c r="H70" s="122"/>
      <c r="I70" s="122"/>
      <c r="J70" s="122"/>
      <c r="K70" s="123"/>
      <c r="L70" s="124"/>
      <c r="M70" s="125"/>
      <c r="N70" s="2369"/>
      <c r="O70" s="2369"/>
      <c r="P70" s="333"/>
      <c r="Q70" s="845"/>
    </row>
    <row r="71" spans="1:17" ht="15.75" thickBot="1">
      <c r="A71" s="875"/>
      <c r="B71" s="876"/>
      <c r="C71" s="877"/>
      <c r="D71" s="877"/>
      <c r="E71" s="877"/>
      <c r="F71" s="877"/>
      <c r="G71" s="877"/>
      <c r="H71" s="877"/>
      <c r="I71" s="877"/>
      <c r="J71" s="877"/>
      <c r="K71" s="877"/>
      <c r="L71" s="877"/>
      <c r="M71" s="878"/>
      <c r="N71" s="2370"/>
      <c r="O71" s="2370"/>
      <c r="P71" s="333"/>
      <c r="Q71" s="845"/>
    </row>
    <row r="72" spans="1:17" ht="27.75" thickTop="1">
      <c r="A72" s="875"/>
      <c r="B72" s="879" t="s">
        <v>403</v>
      </c>
      <c r="C72" s="880"/>
      <c r="D72" s="880"/>
      <c r="E72" s="880"/>
      <c r="F72" s="880"/>
      <c r="G72" s="880"/>
      <c r="H72" s="880"/>
      <c r="I72" s="880"/>
      <c r="J72" s="880"/>
      <c r="K72" s="881"/>
      <c r="L72" s="882"/>
      <c r="M72" s="883"/>
      <c r="N72" s="2369"/>
      <c r="O72" s="2369"/>
      <c r="P72" s="333"/>
      <c r="Q72" s="845"/>
    </row>
    <row r="73" spans="1:17" ht="15.75" thickBot="1">
      <c r="A73" s="875"/>
      <c r="B73" s="884"/>
      <c r="C73" s="885"/>
      <c r="D73" s="885"/>
      <c r="E73" s="885"/>
      <c r="F73" s="885"/>
      <c r="G73" s="885"/>
      <c r="H73" s="885"/>
      <c r="I73" s="885"/>
      <c r="J73" s="885"/>
      <c r="K73" s="885"/>
      <c r="L73" s="885"/>
      <c r="M73" s="886"/>
      <c r="N73" s="2370"/>
      <c r="O73" s="2370"/>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70"/>
      <c r="O74" s="2370"/>
      <c r="P74" s="333"/>
      <c r="Q74" s="845"/>
    </row>
    <row r="75" spans="1:17" ht="15">
      <c r="A75" s="875"/>
      <c r="B75" s="1055"/>
      <c r="C75" s="890"/>
      <c r="D75" s="890"/>
      <c r="E75" s="890"/>
      <c r="F75" s="890"/>
      <c r="G75" s="890"/>
      <c r="H75" s="890"/>
      <c r="I75" s="890"/>
      <c r="J75" s="890"/>
      <c r="K75" s="891"/>
      <c r="L75" s="892"/>
      <c r="M75" s="893"/>
      <c r="N75" s="2369"/>
      <c r="O75" s="2369"/>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3"/>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405</v>
      </c>
      <c r="B83" s="286" t="s">
        <v>158</v>
      </c>
      <c r="C83" s="914" t="s">
        <v>424</v>
      </c>
      <c r="D83" s="914" t="s">
        <v>425</v>
      </c>
      <c r="E83" s="914" t="s">
        <v>426</v>
      </c>
      <c r="F83" s="914" t="s">
        <v>427</v>
      </c>
      <c r="G83" s="914" t="s">
        <v>428</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3"/>
      <c r="Q84" s="845"/>
    </row>
    <row r="85" spans="1:17" ht="15.75" thickTop="1">
      <c r="A85" s="875"/>
      <c r="B85" s="1052" t="s">
        <v>92</v>
      </c>
      <c r="C85" s="919" t="s">
        <v>424</v>
      </c>
      <c r="D85" s="919" t="s">
        <v>425</v>
      </c>
      <c r="E85" s="919" t="s">
        <v>426</v>
      </c>
      <c r="F85" s="919" t="s">
        <v>427</v>
      </c>
      <c r="G85" s="919" t="s">
        <v>428</v>
      </c>
      <c r="H85" s="880"/>
      <c r="I85" s="880"/>
      <c r="J85" s="880"/>
      <c r="K85" s="881"/>
      <c r="L85" s="882"/>
      <c r="M85" s="883"/>
      <c r="N85" s="2369"/>
      <c r="O85" s="2369"/>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3"/>
      <c r="Q86" s="845"/>
    </row>
    <row r="87" spans="1:17" s="406" customFormat="1" ht="27.75" thickTop="1">
      <c r="A87" s="920"/>
      <c r="B87" s="1052" t="s">
        <v>109</v>
      </c>
      <c r="C87" s="914" t="s">
        <v>424</v>
      </c>
      <c r="D87" s="914" t="s">
        <v>425</v>
      </c>
      <c r="E87" s="914" t="s">
        <v>426</v>
      </c>
      <c r="F87" s="914" t="s">
        <v>427</v>
      </c>
      <c r="G87" s="914" t="s">
        <v>428</v>
      </c>
      <c r="H87" s="919"/>
      <c r="I87" s="919"/>
      <c r="J87" s="919"/>
      <c r="K87" s="919"/>
      <c r="L87" s="1105"/>
      <c r="M87" s="963"/>
      <c r="N87" s="2368"/>
      <c r="O87" s="2368"/>
      <c r="P87" s="333"/>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3"/>
      <c r="Q88" s="845"/>
    </row>
    <row r="89" spans="1:17" s="406" customFormat="1" ht="27.75" thickTop="1">
      <c r="A89" s="920"/>
      <c r="B89" s="1052" t="s">
        <v>154</v>
      </c>
      <c r="C89" s="914" t="s">
        <v>424</v>
      </c>
      <c r="D89" s="914" t="s">
        <v>425</v>
      </c>
      <c r="E89" s="914" t="s">
        <v>426</v>
      </c>
      <c r="F89" s="914" t="s">
        <v>427</v>
      </c>
      <c r="G89" s="914" t="s">
        <v>428</v>
      </c>
      <c r="H89" s="919"/>
      <c r="I89" s="919"/>
      <c r="J89" s="919"/>
      <c r="K89" s="919"/>
      <c r="L89" s="919"/>
      <c r="M89" s="963"/>
      <c r="N89" s="2368"/>
      <c r="O89" s="2368"/>
      <c r="P89" s="333"/>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3"/>
      <c r="Q90" s="845"/>
    </row>
    <row r="91" spans="1:17" s="812" customFormat="1" ht="15.75" thickTop="1">
      <c r="A91" s="894"/>
      <c r="B91" s="1052" t="s">
        <v>2665</v>
      </c>
      <c r="C91" s="914" t="s">
        <v>424</v>
      </c>
      <c r="D91" s="914" t="s">
        <v>425</v>
      </c>
      <c r="E91" s="914" t="s">
        <v>426</v>
      </c>
      <c r="F91" s="914" t="s">
        <v>427</v>
      </c>
      <c r="G91" s="914" t="s">
        <v>428</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2667</v>
      </c>
      <c r="C93" s="213" t="s">
        <v>2653</v>
      </c>
      <c r="D93" s="213" t="s">
        <v>2654</v>
      </c>
      <c r="E93" s="213" t="s">
        <v>2655</v>
      </c>
      <c r="F93" s="213" t="s">
        <v>2656</v>
      </c>
      <c r="G93" s="213" t="s">
        <v>2657</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507</v>
      </c>
      <c r="D95" s="880" t="s">
        <v>508</v>
      </c>
      <c r="E95" s="880" t="s">
        <v>509</v>
      </c>
      <c r="F95" s="880" t="s">
        <v>510</v>
      </c>
      <c r="G95" s="880"/>
      <c r="H95" s="880"/>
      <c r="I95" s="880"/>
      <c r="J95" s="880"/>
      <c r="K95" s="881"/>
      <c r="L95" s="882"/>
      <c r="M95" s="883"/>
      <c r="N95" s="2369"/>
      <c r="O95" s="2369"/>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3"/>
      <c r="Q96" s="845"/>
    </row>
    <row r="97" spans="1:17" ht="27.75" thickTop="1">
      <c r="A97" s="875"/>
      <c r="B97" s="1052" t="s">
        <v>144</v>
      </c>
      <c r="C97" s="139"/>
      <c r="D97" s="139"/>
      <c r="E97" s="139"/>
      <c r="F97" s="139"/>
      <c r="G97" s="139"/>
      <c r="H97" s="131"/>
      <c r="I97" s="131"/>
      <c r="J97" s="131"/>
      <c r="K97" s="132"/>
      <c r="L97" s="133"/>
      <c r="M97" s="134"/>
      <c r="N97" s="2369"/>
      <c r="O97" s="2369"/>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3"/>
      <c r="Q98" s="845"/>
    </row>
    <row r="99" spans="1:17" ht="15.75" thickTop="1">
      <c r="A99" s="875"/>
      <c r="B99" s="1052" t="s">
        <v>153</v>
      </c>
      <c r="C99" s="924"/>
      <c r="D99" s="924"/>
      <c r="E99" s="924"/>
      <c r="F99" s="924"/>
      <c r="G99" s="924"/>
      <c r="H99" s="924"/>
      <c r="I99" s="924"/>
      <c r="J99" s="924"/>
      <c r="K99" s="925"/>
      <c r="L99" s="926"/>
      <c r="M99" s="927"/>
      <c r="N99" s="2369"/>
      <c r="O99" s="2369"/>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3"/>
      <c r="Q100" s="845"/>
    </row>
    <row r="101" spans="1:17" ht="15.75" thickTop="1">
      <c r="A101" s="875"/>
      <c r="B101" s="1054">
        <f>B31</f>
        <v>111</v>
      </c>
      <c r="C101" s="139"/>
      <c r="D101" s="139"/>
      <c r="E101" s="139"/>
      <c r="F101" s="139"/>
      <c r="G101" s="135"/>
      <c r="H101" s="135"/>
      <c r="I101" s="135"/>
      <c r="J101" s="135"/>
      <c r="K101" s="136"/>
      <c r="L101" s="137"/>
      <c r="M101" s="138"/>
      <c r="N101" s="2369"/>
      <c r="O101" s="2369"/>
      <c r="P101" s="333"/>
      <c r="Q101" s="845"/>
    </row>
    <row r="102" spans="1:17" ht="15.75" thickBot="1">
      <c r="A102" s="875"/>
      <c r="B102" s="1069"/>
      <c r="C102" s="901"/>
      <c r="D102" s="877"/>
      <c r="E102" s="877"/>
      <c r="F102" s="877"/>
      <c r="G102" s="932"/>
      <c r="H102" s="932"/>
      <c r="I102" s="932"/>
      <c r="J102" s="932"/>
      <c r="K102" s="932"/>
      <c r="L102" s="932"/>
      <c r="M102" s="933"/>
      <c r="N102" s="2370"/>
      <c r="O102" s="2370"/>
      <c r="P102" s="333"/>
      <c r="Q102" s="845"/>
    </row>
    <row r="103" spans="1:17" ht="15" thickTop="1">
      <c r="A103" s="1082"/>
      <c r="B103" s="1052">
        <f>B32</f>
        <v>111</v>
      </c>
      <c r="C103" s="139"/>
      <c r="D103" s="139"/>
      <c r="E103" s="139"/>
      <c r="F103" s="139"/>
      <c r="G103" s="131"/>
      <c r="H103" s="131"/>
      <c r="I103" s="131"/>
      <c r="J103" s="131"/>
      <c r="K103" s="132"/>
      <c r="L103" s="133"/>
      <c r="M103" s="134"/>
      <c r="N103" s="2369"/>
      <c r="O103" s="2369"/>
      <c r="P103" s="333"/>
      <c r="Q103" s="845"/>
    </row>
    <row r="104" spans="1:17" ht="15.75" thickBot="1">
      <c r="A104" s="875"/>
      <c r="B104" s="1053"/>
      <c r="C104" s="901"/>
      <c r="D104" s="901"/>
      <c r="E104" s="901"/>
      <c r="F104" s="901"/>
      <c r="G104" s="877"/>
      <c r="H104" s="877"/>
      <c r="I104" s="877"/>
      <c r="J104" s="877"/>
      <c r="K104" s="877"/>
      <c r="L104" s="877"/>
      <c r="M104" s="878"/>
      <c r="N104" s="2370"/>
      <c r="O104" s="2370"/>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8" t="str">
        <f t="shared" si="25"/>
        <v>(含)-</v>
      </c>
      <c r="L107" s="3298" t="str">
        <f t="shared" si="25"/>
        <v>(含)-</v>
      </c>
      <c r="M107" s="3299" t="str">
        <f>M108&amp;"(含)"&amp;"-"&amp;P108</f>
        <v>(含)-</v>
      </c>
      <c r="N107" s="2369"/>
      <c r="O107" s="2369"/>
      <c r="P107" s="333"/>
      <c r="Q107" s="845"/>
    </row>
    <row r="108" spans="1:17" ht="15">
      <c r="A108" s="875"/>
      <c r="B108" s="1054"/>
      <c r="C108" s="936"/>
      <c r="D108" s="936"/>
      <c r="E108" s="936"/>
      <c r="F108" s="936"/>
      <c r="G108" s="936"/>
      <c r="H108" s="936"/>
      <c r="I108" s="936"/>
      <c r="J108" s="937"/>
      <c r="K108" s="937"/>
      <c r="L108" s="938"/>
      <c r="M108" s="939"/>
      <c r="N108" s="2369"/>
      <c r="O108" s="2369"/>
      <c r="P108" s="333"/>
      <c r="Q108" s="845"/>
    </row>
    <row r="109" spans="1:17" ht="15.75" thickBot="1">
      <c r="A109" s="875"/>
      <c r="B109" s="1053"/>
      <c r="C109" s="911"/>
      <c r="D109" s="932"/>
      <c r="E109" s="932"/>
      <c r="F109" s="932"/>
      <c r="G109" s="932"/>
      <c r="H109" s="932"/>
      <c r="I109" s="932"/>
      <c r="J109" s="932"/>
      <c r="K109" s="932"/>
      <c r="L109" s="932"/>
      <c r="M109" s="933"/>
      <c r="N109" s="2370"/>
      <c r="O109" s="2370"/>
      <c r="P109" s="333"/>
      <c r="Q109" s="845"/>
    </row>
    <row r="110" spans="1:17" ht="15" thickTop="1">
      <c r="A110" s="940"/>
      <c r="B110" s="1052" t="s">
        <v>86</v>
      </c>
      <c r="C110" s="131"/>
      <c r="D110" s="131"/>
      <c r="E110" s="131"/>
      <c r="F110" s="131"/>
      <c r="G110" s="131"/>
      <c r="H110" s="131"/>
      <c r="I110" s="131"/>
      <c r="J110" s="131"/>
      <c r="K110" s="132"/>
      <c r="L110" s="133"/>
      <c r="M110" s="134"/>
      <c r="N110" s="2369"/>
      <c r="O110" s="2369"/>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3"/>
      <c r="Q111" s="845"/>
    </row>
    <row r="112" spans="1:17" s="812" customFormat="1" ht="15" thickTop="1">
      <c r="A112" s="934"/>
      <c r="B112" s="1052" t="s">
        <v>2499</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3"/>
      <c r="Q115" s="845"/>
    </row>
    <row r="116" spans="1:17" ht="15" thickTop="1">
      <c r="A116" s="940"/>
      <c r="B116" s="1052">
        <f>B38</f>
        <v>111</v>
      </c>
      <c r="C116" s="139"/>
      <c r="D116" s="139"/>
      <c r="E116" s="139"/>
      <c r="F116" s="139"/>
      <c r="G116" s="139"/>
      <c r="H116" s="131"/>
      <c r="I116" s="131"/>
      <c r="J116" s="131"/>
      <c r="K116" s="132"/>
      <c r="L116" s="133"/>
      <c r="M116" s="134"/>
      <c r="N116" s="2369"/>
      <c r="O116" s="2369"/>
      <c r="P116" s="333"/>
      <c r="Q116" s="845"/>
    </row>
    <row r="117" spans="1:17" ht="15.75" thickBot="1">
      <c r="A117" s="875"/>
      <c r="B117" s="1053"/>
      <c r="C117" s="901"/>
      <c r="D117" s="877"/>
      <c r="E117" s="877"/>
      <c r="F117" s="877"/>
      <c r="G117" s="877"/>
      <c r="H117" s="877"/>
      <c r="I117" s="877"/>
      <c r="J117" s="877"/>
      <c r="K117" s="877"/>
      <c r="L117" s="877"/>
      <c r="M117" s="878"/>
      <c r="N117" s="2370"/>
      <c r="O117" s="2370"/>
      <c r="P117" s="333"/>
      <c r="Q117" s="845"/>
    </row>
    <row r="118" spans="1:17" ht="15" thickTop="1">
      <c r="A118" s="940"/>
      <c r="B118" s="1052">
        <f>B39</f>
        <v>111</v>
      </c>
      <c r="C118" s="139"/>
      <c r="D118" s="139"/>
      <c r="E118" s="139"/>
      <c r="F118" s="139"/>
      <c r="G118" s="131"/>
      <c r="H118" s="131"/>
      <c r="I118" s="131"/>
      <c r="J118" s="131"/>
      <c r="K118" s="132"/>
      <c r="L118" s="133"/>
      <c r="M118" s="134"/>
      <c r="N118" s="2369"/>
      <c r="O118" s="2369"/>
      <c r="P118" s="333"/>
      <c r="Q118" s="845"/>
    </row>
    <row r="119" spans="1:17" ht="15.75" thickBot="1">
      <c r="A119" s="875"/>
      <c r="B119" s="1053"/>
      <c r="C119" s="901"/>
      <c r="D119" s="901"/>
      <c r="E119" s="901"/>
      <c r="F119" s="901"/>
      <c r="G119" s="877"/>
      <c r="H119" s="877"/>
      <c r="I119" s="877"/>
      <c r="J119" s="877"/>
      <c r="K119" s="877"/>
      <c r="L119" s="877"/>
      <c r="M119" s="878"/>
      <c r="N119" s="2370"/>
      <c r="O119" s="2370"/>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0" zoomScaleSheetLayoutView="96" workbookViewId="0">
      <selection activeCell="C29" sqref="C29"/>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2500</v>
      </c>
      <c r="D1" s="1737">
        <f>SUM(D29:D30,D33:D39)</f>
        <v>28973.439999999999</v>
      </c>
      <c r="E1" s="1622"/>
      <c r="F1" s="1622"/>
      <c r="G1" s="1622"/>
      <c r="H1" s="1622"/>
      <c r="I1" s="1622"/>
      <c r="J1" s="1622"/>
      <c r="K1" s="2381"/>
      <c r="L1" s="1883" t="s">
        <v>1226</v>
      </c>
      <c r="M1" s="2136">
        <f>SUMPRODUCT((区片价!B5:B9=I2)*(区片价!C3:F3=E2)*(区片价!C5:F9))</f>
        <v>0</v>
      </c>
      <c r="N1" s="2139">
        <f>SUMPRODUCT((因素修正幅度!B5:B9=I2)*(因素修正幅度!C3:F3=E2)*(因素修正幅度!C5:F9))</f>
        <v>0</v>
      </c>
      <c r="O1" s="2385"/>
      <c r="P1" s="2385"/>
      <c r="Q1" s="2381"/>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1795</v>
      </c>
      <c r="B2" s="579">
        <f ca="1">C26</f>
        <v>58048</v>
      </c>
      <c r="C2" s="1470" t="s">
        <v>1136</v>
      </c>
      <c r="D2" s="1627" t="s">
        <v>1796</v>
      </c>
      <c r="E2" s="1781" t="s">
        <v>141</v>
      </c>
      <c r="F2" s="1627" t="s">
        <v>1797</v>
      </c>
      <c r="G2" s="1604" t="str">
        <f>IF(E2="商业",项目基本情况!B37,IF(E2="办公",项目基本情况!C37,IF(E2="住宅",项目基本情况!D37,项目基本情况!E37)))</f>
        <v>八级</v>
      </c>
      <c r="H2" s="1627" t="s">
        <v>1798</v>
      </c>
      <c r="I2" s="1604" t="str">
        <f>IF(E2="商业",项目基本情况!B38,IF(E2="办公",项目基本情况!C38,IF(E2="住宅",项目基本情况!D38,项目基本情况!E38)))</f>
        <v>Ⅷ-怀1</v>
      </c>
      <c r="J2" s="1628"/>
      <c r="K2" s="2381"/>
      <c r="L2" s="1884" t="s">
        <v>1283</v>
      </c>
      <c r="M2" s="2137">
        <f>SUMPRODUCT((区片价!B10:B28=I2)*(区片价!C3:F3=E2)*(区片价!C10:F28))</f>
        <v>0</v>
      </c>
      <c r="N2" s="2139">
        <f>SUMPRODUCT((因素修正幅度!B10:B28=I2)*(因素修正幅度!C3:F3=E2)*(因素修正幅度!C10:F28))</f>
        <v>0</v>
      </c>
      <c r="O2" s="2381"/>
      <c r="P2" s="2381"/>
      <c r="Q2" s="2381"/>
      <c r="R2" s="3075">
        <v>1</v>
      </c>
      <c r="S2" s="3075">
        <f>ROUND(IF(G3&gt;1,IF(R2&lt;7,SUMPRODUCT((B93:B98=R2)*(C92:N92=G2)*(C93:N98)),SUMIF(C92:N92,G2,C100:N100)),IF(R2&lt;7,SUMPRODUCT((B102:B107=R2)*(C92:N92=G2)*(C102:N107)),SUMIF(C92:N92,G2,C109:N109))),4)</f>
        <v>6.2645</v>
      </c>
      <c r="T2" s="3075">
        <f ca="1">ROUND($C$5*$C$18*$C$19*$C$20*S2*$C$24,0)</f>
        <v>31184</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20035</v>
      </c>
      <c r="C3" s="1470" t="s">
        <v>1800</v>
      </c>
      <c r="D3" s="1627" t="s">
        <v>1139</v>
      </c>
      <c r="E3" s="1782" t="s">
        <v>3174</v>
      </c>
      <c r="F3" s="1783" t="s">
        <v>3021</v>
      </c>
      <c r="G3" s="1629">
        <f>IF(F3="宗地容积率",'数据-汇总表'!I4,IF(F3="估价对象容积率",'数据-汇总表'!I6,'数据-汇总表'!I7))</f>
        <v>0.31</v>
      </c>
      <c r="H3" s="1630" t="s">
        <v>1140</v>
      </c>
      <c r="I3" s="1784"/>
      <c r="J3" s="1628" t="s">
        <v>1141</v>
      </c>
      <c r="K3" s="2381"/>
      <c r="L3" s="1884" t="s">
        <v>1456</v>
      </c>
      <c r="M3" s="2137">
        <f>SUMPRODUCT((区片价!B29:B48=I2)*(区片价!C3:F3=E2)*(区片价!C29:F48))</f>
        <v>0</v>
      </c>
      <c r="N3" s="2139">
        <f>SUMPRODUCT((因素修正幅度!B29:B48=I2)*(因素修正幅度!C3:F3=E2)*(因素修正幅度!C29:F48))</f>
        <v>0</v>
      </c>
      <c r="O3" s="2381"/>
      <c r="P3" s="2381"/>
      <c r="Q3" s="2381"/>
      <c r="R3" s="3075">
        <v>2</v>
      </c>
      <c r="S3" s="3075">
        <f>ROUND(IF(G3&gt;1,IF(R3&lt;7,SUMPRODUCT((B93:B98=R3)*(C92:N92=G2)*(C93:N98)),SUMIF(C92:N92,G2,C100:N100)),IF(R3&lt;7,SUMPRODUCT((B102:B107=R3)*(C92:N92=G2)*(C102:N107)),SUMIF(C92:N92,G2,C109:N109))),4)</f>
        <v>4.1287000000000003</v>
      </c>
      <c r="T3" s="3075">
        <f t="shared" ref="T3:T16" ca="1" si="0">ROUND($C$5*$C$18*$C$19*$C$20*S3*$C$24,0)</f>
        <v>20552</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70"/>
      <c r="B4" s="3771"/>
      <c r="C4" s="3771"/>
      <c r="D4" s="3772"/>
      <c r="E4" s="3772"/>
      <c r="F4" s="3772"/>
      <c r="G4" s="3772"/>
      <c r="H4" s="3772"/>
      <c r="I4" s="3772"/>
      <c r="J4" s="3773"/>
      <c r="K4" s="2381"/>
      <c r="L4" s="1884" t="s">
        <v>1137</v>
      </c>
      <c r="M4" s="2137">
        <f>SUMPRODUCT((区片价!B49:B75=I2)*(区片价!C3:F3=E2)*(区片价!C49:F75))</f>
        <v>0</v>
      </c>
      <c r="N4" s="2139">
        <f>SUMPRODUCT((因素修正幅度!B49:B75=I2)*(因素修正幅度!C3:F3=E2)*(因素修正幅度!C49:F75))</f>
        <v>0</v>
      </c>
      <c r="O4" s="2381"/>
      <c r="P4" s="2381"/>
      <c r="Q4" s="2381"/>
      <c r="R4" s="3075">
        <v>3</v>
      </c>
      <c r="S4" s="3075">
        <f>ROUND(IF(G3&gt;1,IF(R4&lt;7,SUMPRODUCT((B93:B98=R4)*(C92:N92=G2)*(C93:N98)),SUMIF(C92:N92,G2,C100:N100)),IF(R4&lt;7,SUMPRODUCT((B102:B107=R4)*(C92:N92=G2)*(C102:N107)),SUMIF(C92:N92,G2,C109:N109))),4)</f>
        <v>3.2490000000000001</v>
      </c>
      <c r="T4" s="3075">
        <f t="shared" ca="1" si="0"/>
        <v>16173</v>
      </c>
      <c r="U4" s="3076"/>
      <c r="V4" s="3075">
        <f t="shared" ca="1" si="1"/>
        <v>0</v>
      </c>
      <c r="W4" s="3071"/>
      <c r="X4" s="3071"/>
      <c r="Y4" s="3071"/>
      <c r="Z4" s="3071"/>
      <c r="AA4" s="3071"/>
      <c r="AB4" s="3071"/>
      <c r="AC4" s="3072"/>
      <c r="AD4" s="3073"/>
      <c r="AE4" s="3073"/>
      <c r="AF4" s="3073"/>
      <c r="AG4" s="3073"/>
      <c r="AH4" s="3073"/>
      <c r="AI4" s="3073"/>
      <c r="AJ4" s="3074"/>
    </row>
    <row r="5" spans="1:36" s="1637" customFormat="1" ht="15.75" thickBot="1">
      <c r="A5" s="1877" t="s">
        <v>1937</v>
      </c>
      <c r="B5" s="1631" t="s">
        <v>1801</v>
      </c>
      <c r="C5" s="1632">
        <f>ROUND(IF(E2="商业",IF(F16="增加",C6*C7+C16,C6*C7-C16),IF(E2="住宅",IF(F16="增加",C6*C12+C16,C6*C12-C16),IF(F16="增加",C6+C16,C6-C16))),0)</f>
        <v>5615</v>
      </c>
      <c r="D5" s="3345">
        <f>ROUND(IF(E2="商业",IF(F16="增加",C6+C16,C6-C16)),0)</f>
        <v>0</v>
      </c>
      <c r="E5" s="1633"/>
      <c r="F5" s="1633"/>
      <c r="G5" s="1634"/>
      <c r="H5" s="1634"/>
      <c r="I5" s="1634"/>
      <c r="J5" s="1635"/>
      <c r="K5" s="2386"/>
      <c r="L5" s="1884" t="s">
        <v>1537</v>
      </c>
      <c r="M5" s="2137">
        <f>SUMPRODUCT((区片价!B76:B109=I2)*(区片价!C3:F3=E2)*(区片价!C76:F109))</f>
        <v>0</v>
      </c>
      <c r="N5" s="2139">
        <f>SUMPRODUCT((因素修正幅度!B76:B109=I2)*(因素修正幅度!C3:F3=E2)*(因素修正幅度!C76:F109))</f>
        <v>0</v>
      </c>
      <c r="O5" s="2381"/>
      <c r="P5" s="2381"/>
      <c r="Q5" s="2381"/>
      <c r="R5" s="3075">
        <v>4</v>
      </c>
      <c r="S5" s="3075">
        <f>ROUND(IF(G3&gt;1,IF(R5&lt;7,SUMPRODUCT((B93:B98=R5)*(C92:N92=G2)*(C93:N98)),SUMIF(C92:N92,G2,C100:N100)),IF(R5&lt;7,SUMPRODUCT((B102:B107=R5)*(C92:N92=G2)*(C102:N107)),SUMIF(C92:N92,G2,C109:N109))),4)</f>
        <v>2.4274</v>
      </c>
      <c r="T5" s="3075">
        <f t="shared" ca="1" si="0"/>
        <v>12083</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8" t="s">
        <v>1801</v>
      </c>
      <c r="C6" s="1639">
        <f>SUMIF(L1:L12,G2,M1:M12)</f>
        <v>5600</v>
      </c>
      <c r="D6" s="1640" t="s">
        <v>1802</v>
      </c>
      <c r="E6" s="1641"/>
      <c r="F6" s="1641"/>
      <c r="G6" s="1642"/>
      <c r="H6" s="1642"/>
      <c r="I6" s="1642"/>
      <c r="J6" s="1643"/>
      <c r="K6" s="2387"/>
      <c r="L6" s="1884" t="s">
        <v>202</v>
      </c>
      <c r="M6" s="2137">
        <f>SUMPRODUCT((区片价!B110:B157=I2)*(区片价!C3:F3=E2)*(区片价!C110:F157))</f>
        <v>0</v>
      </c>
      <c r="N6" s="2139">
        <f>SUMPRODUCT((因素修正幅度!B110:B157=I2)*(因素修正幅度!C3:F3=E2)*(因素修正幅度!C110:F157))</f>
        <v>0</v>
      </c>
      <c r="O6" s="2381"/>
      <c r="P6" s="2381"/>
      <c r="Q6" s="2381"/>
      <c r="R6" s="3075">
        <v>5</v>
      </c>
      <c r="S6" s="3075">
        <f>ROUND(IF(G3&gt;1,IF(R6&lt;7,SUMPRODUCT((B93:B98=R6)*(C92:N92=G2)*(C93:N98)),SUMIF(C92:N92,G2,C100:N100)),IF(R6&lt;7,SUMPRODUCT((B102:B107=R6)*(C92:N92=G2)*(C102:N107)),SUMIF(C92:N92,G2,C109:N109))),4)</f>
        <v>1.8254999999999999</v>
      </c>
      <c r="T6" s="3075">
        <f t="shared" ca="1" si="0"/>
        <v>9087</v>
      </c>
      <c r="U6" s="3076"/>
      <c r="V6" s="3075">
        <f t="shared" ca="1" si="1"/>
        <v>0</v>
      </c>
      <c r="W6" s="3071"/>
      <c r="X6" s="3071"/>
      <c r="Y6" s="3071"/>
      <c r="Z6" s="3071"/>
      <c r="AA6" s="3071"/>
      <c r="AB6" s="3071"/>
      <c r="AC6" s="3077"/>
      <c r="AD6" s="3078"/>
      <c r="AE6" s="3078"/>
      <c r="AF6" s="3078"/>
      <c r="AG6" s="3078"/>
      <c r="AH6" s="3078"/>
      <c r="AI6" s="3078"/>
      <c r="AJ6" s="3079"/>
    </row>
    <row r="7" spans="1:36" ht="24">
      <c r="A7" s="3774" t="str">
        <f>IF(E2="商业",IF(C8="不临58条商业街","",2),"")</f>
        <v/>
      </c>
      <c r="B7" s="1644" t="s">
        <v>1803</v>
      </c>
      <c r="C7" s="1645">
        <f>IF(C8="不临58条商业街",1,ROUND(1+(1.6*E8+1.2*E9+0.8*E10+0.4*E11)*C9,4))</f>
        <v>1</v>
      </c>
      <c r="D7" s="1646" t="s">
        <v>1804</v>
      </c>
      <c r="E7" s="1785"/>
      <c r="F7" s="1647"/>
      <c r="G7" s="1648"/>
      <c r="H7" s="1648"/>
      <c r="I7" s="1648"/>
      <c r="J7" s="1649"/>
      <c r="K7" s="2387"/>
      <c r="L7" s="1884" t="s">
        <v>1540</v>
      </c>
      <c r="M7" s="2137">
        <f>SUMPRODUCT((区片价!B158:B205=I2)*(区片价!C3:F3=E2)*(区片价!C158:F205))</f>
        <v>0</v>
      </c>
      <c r="N7" s="2139">
        <f>SUMPRODUCT((因素修正幅度!B158:B205=I2)*(因素修正幅度!C3:F3=E2)*(因素修正幅度!C158:F205))</f>
        <v>0</v>
      </c>
      <c r="O7" s="2381"/>
      <c r="P7" s="2381"/>
      <c r="Q7" s="2381"/>
      <c r="R7" s="3075">
        <v>6</v>
      </c>
      <c r="S7" s="3075">
        <f>ROUND(IF(G3&gt;1,IF(R7&lt;7,SUMPRODUCT((B93:B98=R7)*(C92:N92=G2)*(C93:N98)),SUMIF(C92:N92,G2,C100:N100)),IF(R7&lt;7,SUMPRODUCT((B102:B107=R7)*(C92:N92=G2)*(C102:N107)),SUMIF(C92:N92,G2,C109:N109))),4)</f>
        <v>1.4597</v>
      </c>
      <c r="T7" s="3075">
        <f t="shared" ca="1" si="0"/>
        <v>7266</v>
      </c>
      <c r="U7" s="3076"/>
      <c r="V7" s="3075">
        <f t="shared" ca="1" si="1"/>
        <v>0</v>
      </c>
      <c r="W7" s="3080" t="s">
        <v>2892</v>
      </c>
      <c r="X7" s="3081" t="str">
        <f>G2</f>
        <v>八级</v>
      </c>
      <c r="Y7" s="3081" t="s">
        <v>2893</v>
      </c>
      <c r="Z7" s="3082">
        <f>G3</f>
        <v>0.31</v>
      </c>
      <c r="AA7" s="3083"/>
      <c r="AB7" s="3083"/>
      <c r="AC7" s="3084"/>
      <c r="AD7" s="3085"/>
      <c r="AE7" s="3085"/>
      <c r="AF7" s="3085"/>
      <c r="AG7" s="3085"/>
      <c r="AH7" s="3085"/>
      <c r="AI7" s="3085"/>
      <c r="AJ7" s="3086"/>
    </row>
    <row r="8" spans="1:36" ht="24">
      <c r="A8" s="3775"/>
      <c r="B8" s="1630" t="s">
        <v>1805</v>
      </c>
      <c r="C8" s="1786" t="s">
        <v>3125</v>
      </c>
      <c r="D8" s="1650" t="s">
        <v>1142</v>
      </c>
      <c r="E8" s="1651" t="e">
        <f>ROUND(C11/E7,4)</f>
        <v>#DIV/0!</v>
      </c>
      <c r="F8" s="1652" t="s">
        <v>1806</v>
      </c>
      <c r="G8" s="1653"/>
      <c r="H8" s="1653"/>
      <c r="I8" s="1653"/>
      <c r="J8" s="1654"/>
      <c r="K8" s="2381"/>
      <c r="L8" s="1884" t="s">
        <v>1542</v>
      </c>
      <c r="M8" s="2137">
        <f>SUMPRODUCT((区片价!B206:B244=I2)*(区片价!C3:F3=E2)*(区片价!C206:F244))</f>
        <v>5600</v>
      </c>
      <c r="N8" s="2139">
        <f>SUMPRODUCT((因素修正幅度!B206:B244=I2)*(因素修正幅度!C3:F3=E2)*(因素修正幅度!C206:F244))</f>
        <v>0.14399999999999999</v>
      </c>
      <c r="O8" s="2381"/>
      <c r="P8" s="2381"/>
      <c r="Q8" s="2381"/>
      <c r="R8" s="3075">
        <v>7</v>
      </c>
      <c r="S8" s="3076"/>
      <c r="T8" s="3075">
        <f t="shared" ca="1" si="0"/>
        <v>0</v>
      </c>
      <c r="U8" s="3076"/>
      <c r="V8" s="3075">
        <f t="shared" ca="1" si="1"/>
        <v>0</v>
      </c>
      <c r="W8" s="3767" t="s">
        <v>2894</v>
      </c>
      <c r="X8" s="3768"/>
      <c r="Y8" s="3087" t="s">
        <v>164</v>
      </c>
      <c r="Z8" s="3087" t="s">
        <v>165</v>
      </c>
      <c r="AA8" s="3087" t="s">
        <v>160</v>
      </c>
      <c r="AB8" s="3087" t="s">
        <v>161</v>
      </c>
      <c r="AC8" s="3087" t="s">
        <v>162</v>
      </c>
      <c r="AD8" s="3087" t="s">
        <v>163</v>
      </c>
      <c r="AE8" s="3087" t="s">
        <v>1177</v>
      </c>
      <c r="AF8" s="3087" t="s">
        <v>1178</v>
      </c>
      <c r="AG8" s="3087" t="s">
        <v>1179</v>
      </c>
      <c r="AH8" s="3087" t="s">
        <v>1180</v>
      </c>
      <c r="AI8" s="3087" t="s">
        <v>1181</v>
      </c>
      <c r="AJ8" s="3087" t="s">
        <v>1182</v>
      </c>
    </row>
    <row r="9" spans="1:36" ht="15">
      <c r="A9" s="3775"/>
      <c r="B9" s="1630" t="s">
        <v>1807</v>
      </c>
      <c r="C9" s="1655">
        <f>SUMIF(修正!C59:C119,C8,修正!E59:E119)</f>
        <v>0</v>
      </c>
      <c r="D9" s="531" t="s">
        <v>1143</v>
      </c>
      <c r="E9" s="531" t="e">
        <f>ROUND(C11/E7,4)</f>
        <v>#DIV/0!</v>
      </c>
      <c r="F9" s="1652" t="s">
        <v>1808</v>
      </c>
      <c r="G9" s="1653"/>
      <c r="H9" s="1653"/>
      <c r="I9" s="1653"/>
      <c r="J9" s="1654"/>
      <c r="K9" s="2381"/>
      <c r="L9" s="1884" t="s">
        <v>1544</v>
      </c>
      <c r="M9" s="2137">
        <f>SUMPRODUCT((区片价!B245:B289=I2)*(区片价!C3:F3=E2)*(区片价!C245:F289))</f>
        <v>0</v>
      </c>
      <c r="N9" s="2139">
        <f>SUMPRODUCT((因素修正幅度!B245:B289=I2)*(因素修正幅度!C3:F3=E2)*(因素修正幅度!C245:F289))</f>
        <v>0</v>
      </c>
      <c r="O9" s="2381"/>
      <c r="P9" s="2381"/>
      <c r="Q9" s="2381"/>
      <c r="R9" s="3075">
        <v>8</v>
      </c>
      <c r="S9" s="3076"/>
      <c r="T9" s="3075">
        <f t="shared" ca="1" si="0"/>
        <v>0</v>
      </c>
      <c r="U9" s="3076"/>
      <c r="V9" s="3075">
        <f t="shared" ca="1" si="1"/>
        <v>0</v>
      </c>
      <c r="W9" s="3769" t="s">
        <v>2895</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75"/>
      <c r="B10" s="1630" t="s">
        <v>1809</v>
      </c>
      <c r="C10" s="531">
        <f>SUMIF(修正!C59:C119,C8,修正!F59:F119)</f>
        <v>0</v>
      </c>
      <c r="D10" s="531" t="s">
        <v>1144</v>
      </c>
      <c r="E10" s="531" t="e">
        <f>ROUND(C11/E7,4)</f>
        <v>#DIV/0!</v>
      </c>
      <c r="F10" s="1652" t="s">
        <v>1810</v>
      </c>
      <c r="G10" s="1653"/>
      <c r="H10" s="1653"/>
      <c r="I10" s="1653"/>
      <c r="J10" s="1654"/>
      <c r="K10" s="2381"/>
      <c r="L10" s="1884" t="s">
        <v>1548</v>
      </c>
      <c r="M10" s="2137">
        <f>SUMPRODUCT((区片价!B290:B316=I2)*(区片价!C3:F3=E2)*(区片价!C290:F316))</f>
        <v>0</v>
      </c>
      <c r="N10" s="2139">
        <f>SUMPRODUCT((因素修正幅度!B290:B316=I2)*(因素修正幅度!C3:F3=E2)*(因素修正幅度!C290:F316))</f>
        <v>0</v>
      </c>
      <c r="O10" s="2381"/>
      <c r="P10" s="2381"/>
      <c r="Q10" s="2381"/>
      <c r="R10" s="3075">
        <v>9</v>
      </c>
      <c r="S10" s="3076"/>
      <c r="T10" s="3075">
        <f t="shared" ca="1" si="0"/>
        <v>0</v>
      </c>
      <c r="U10" s="3076"/>
      <c r="V10" s="3075">
        <f t="shared" ca="1" si="1"/>
        <v>0</v>
      </c>
      <c r="W10" s="3769"/>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75"/>
      <c r="B11" s="1656" t="s">
        <v>1811</v>
      </c>
      <c r="C11" s="1657">
        <f>C10/4</f>
        <v>0</v>
      </c>
      <c r="D11" s="1657" t="s">
        <v>1145</v>
      </c>
      <c r="E11" s="1657" t="e">
        <f>ROUND(C11/E7,4)</f>
        <v>#DIV/0!</v>
      </c>
      <c r="F11" s="1658" t="s">
        <v>1812</v>
      </c>
      <c r="G11" s="1659"/>
      <c r="H11" s="1659"/>
      <c r="I11" s="1659"/>
      <c r="J11" s="1660"/>
      <c r="K11" s="2381"/>
      <c r="L11" s="1884" t="s">
        <v>1947</v>
      </c>
      <c r="M11" s="2137">
        <f>SUMPRODUCT((区片价!B317:B337=I2)*(区片价!C3:F3=E2)*(区片价!C317:F337))</f>
        <v>0</v>
      </c>
      <c r="N11" s="2139">
        <f>SUMPRODUCT((因素修正幅度!B317:B337=I2)*(因素修正幅度!C3:F3=E2)*(因素修正幅度!C317:F337))</f>
        <v>0</v>
      </c>
      <c r="O11" s="2381"/>
      <c r="P11" s="2381"/>
      <c r="Q11" s="2381"/>
      <c r="R11" s="3075">
        <v>10</v>
      </c>
      <c r="S11" s="3076"/>
      <c r="T11" s="3075">
        <f t="shared" ca="1" si="0"/>
        <v>0</v>
      </c>
      <c r="U11" s="3076"/>
      <c r="V11" s="3075">
        <f t="shared" ca="1" si="1"/>
        <v>0</v>
      </c>
      <c r="W11" s="3769" t="s">
        <v>2896</v>
      </c>
      <c r="X11" s="3091" t="s">
        <v>2893</v>
      </c>
      <c r="Y11" s="3092">
        <f>$G$3</f>
        <v>0.31</v>
      </c>
      <c r="Z11" s="3092">
        <f t="shared" ref="Z11:AJ11" si="3">$G$3</f>
        <v>0.31</v>
      </c>
      <c r="AA11" s="3092">
        <f t="shared" si="3"/>
        <v>0.31</v>
      </c>
      <c r="AB11" s="3092">
        <f t="shared" si="3"/>
        <v>0.31</v>
      </c>
      <c r="AC11" s="3092">
        <f t="shared" si="3"/>
        <v>0.31</v>
      </c>
      <c r="AD11" s="3092">
        <f t="shared" si="3"/>
        <v>0.31</v>
      </c>
      <c r="AE11" s="3092">
        <f t="shared" si="3"/>
        <v>0.31</v>
      </c>
      <c r="AF11" s="3092">
        <f t="shared" si="3"/>
        <v>0.31</v>
      </c>
      <c r="AG11" s="3092">
        <f t="shared" si="3"/>
        <v>0.31</v>
      </c>
      <c r="AH11" s="3092">
        <f t="shared" si="3"/>
        <v>0.31</v>
      </c>
      <c r="AI11" s="3092">
        <f t="shared" si="3"/>
        <v>0.31</v>
      </c>
      <c r="AJ11" s="3092">
        <f t="shared" si="3"/>
        <v>0.31</v>
      </c>
    </row>
    <row r="12" spans="1:36" ht="26.25" thickBot="1">
      <c r="A12" s="3774" t="s">
        <v>1945</v>
      </c>
      <c r="B12" s="1661" t="s">
        <v>1813</v>
      </c>
      <c r="C12" s="1645">
        <f>ROUND(C15*D15*E15*F15*G15*H15*I15*J15,4)</f>
        <v>1</v>
      </c>
      <c r="D12" s="1662" t="s">
        <v>1814</v>
      </c>
      <c r="E12" s="1663"/>
      <c r="F12" s="1663"/>
      <c r="G12" s="1664"/>
      <c r="H12" s="1664"/>
      <c r="I12" s="1664"/>
      <c r="J12" s="1665"/>
      <c r="K12" s="2381"/>
      <c r="L12" s="1885" t="s">
        <v>1948</v>
      </c>
      <c r="M12" s="2138">
        <f>SUMPRODUCT((区片价!B338:B344=I2)*(区片价!C3:F3=E2)*(区片价!C338:F344))</f>
        <v>0</v>
      </c>
      <c r="N12" s="2139">
        <f>SUMPRODUCT((因素修正幅度!B338:B344=I2)*(因素修正幅度!C3:F3=E2)*(因素修正幅度!C338:F344))</f>
        <v>0</v>
      </c>
      <c r="O12" s="2381"/>
      <c r="P12" s="2381"/>
      <c r="Q12" s="2381"/>
      <c r="R12" s="3075">
        <v>11</v>
      </c>
      <c r="S12" s="3076"/>
      <c r="T12" s="3075">
        <f t="shared" ca="1" si="0"/>
        <v>0</v>
      </c>
      <c r="U12" s="3076"/>
      <c r="V12" s="3075">
        <f t="shared" ca="1" si="1"/>
        <v>0</v>
      </c>
      <c r="W12" s="3769"/>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76"/>
      <c r="B13" s="1666" t="s">
        <v>1815</v>
      </c>
      <c r="C13" s="1667" t="s">
        <v>1816</v>
      </c>
      <c r="D13" s="1668" t="s">
        <v>1817</v>
      </c>
      <c r="E13" s="1668" t="s">
        <v>1818</v>
      </c>
      <c r="F13" s="81" t="s">
        <v>1146</v>
      </c>
      <c r="G13" s="1787" t="s">
        <v>1869</v>
      </c>
      <c r="H13" s="1787" t="s">
        <v>1869</v>
      </c>
      <c r="I13" s="1787" t="s">
        <v>1869</v>
      </c>
      <c r="J13" s="1788" t="s">
        <v>1869</v>
      </c>
      <c r="K13" s="2381"/>
      <c r="L13" s="2381"/>
      <c r="M13" s="2381"/>
      <c r="N13" s="2381"/>
      <c r="O13" s="2381"/>
      <c r="P13" s="2381"/>
      <c r="Q13" s="2381"/>
      <c r="R13" s="3075">
        <v>12</v>
      </c>
      <c r="S13" s="3076"/>
      <c r="T13" s="3075">
        <f t="shared" ca="1" si="0"/>
        <v>0</v>
      </c>
      <c r="U13" s="3076"/>
      <c r="V13" s="3075">
        <f t="shared" ca="1" si="1"/>
        <v>0</v>
      </c>
      <c r="W13" s="3769"/>
      <c r="X13" s="3093"/>
      <c r="Y13" s="3090">
        <f>(-0.163*(Y12^2)-0.59*Y12+7617)*(10^(-4))/Y11</f>
        <v>2.4570967741935483</v>
      </c>
      <c r="Z13" s="3090">
        <f t="shared" ref="Z13:AJ13" si="5">(-0.163*(Z12^2)-0.59*Z12+7617)*(10^(-4))/Z11</f>
        <v>2.4570967741935483</v>
      </c>
      <c r="AA13" s="3090">
        <f t="shared" si="5"/>
        <v>2.4570967741935483</v>
      </c>
      <c r="AB13" s="3090">
        <f t="shared" si="5"/>
        <v>2.4570967741935483</v>
      </c>
      <c r="AC13" s="3090">
        <f t="shared" si="5"/>
        <v>2.4570967741935483</v>
      </c>
      <c r="AD13" s="3090">
        <f t="shared" si="5"/>
        <v>2.4570967741935483</v>
      </c>
      <c r="AE13" s="3090">
        <f t="shared" si="5"/>
        <v>2.4570967741935483</v>
      </c>
      <c r="AF13" s="3090">
        <f t="shared" si="5"/>
        <v>2.4570967741935483</v>
      </c>
      <c r="AG13" s="3090">
        <f t="shared" si="5"/>
        <v>2.4570967741935483</v>
      </c>
      <c r="AH13" s="3090">
        <f t="shared" si="5"/>
        <v>2.4570967741935483</v>
      </c>
      <c r="AI13" s="3090">
        <f t="shared" si="5"/>
        <v>2.4570967741935483</v>
      </c>
      <c r="AJ13" s="3090">
        <f t="shared" si="5"/>
        <v>2.4570967741935483</v>
      </c>
    </row>
    <row r="14" spans="1:36" ht="15">
      <c r="A14" s="3776"/>
      <c r="B14" s="1669"/>
      <c r="C14" s="1789"/>
      <c r="D14" s="1486"/>
      <c r="E14" s="1486"/>
      <c r="F14" s="1790"/>
      <c r="G14" s="1670" t="s">
        <v>1846</v>
      </c>
      <c r="H14" s="1671"/>
      <c r="I14" s="1672"/>
      <c r="J14" s="1673"/>
      <c r="K14" s="2381"/>
      <c r="L14" s="2381"/>
      <c r="M14" s="2381"/>
      <c r="N14" s="2381"/>
      <c r="O14" s="2381"/>
      <c r="P14" s="2381"/>
      <c r="Q14" s="2381"/>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77"/>
      <c r="B15" s="1674" t="s">
        <v>1819</v>
      </c>
      <c r="C15" s="560">
        <f>IF(C14="有",1.1,1)</f>
        <v>1</v>
      </c>
      <c r="D15" s="560">
        <f>IF(D14="有",1.1,1)</f>
        <v>1</v>
      </c>
      <c r="E15" s="560">
        <f>IF(E14="有",1.1,1)</f>
        <v>1</v>
      </c>
      <c r="F15" s="560">
        <f>IF(F14="500米范围内",1.2,IF(F14="500-1000米",1.1,1))</f>
        <v>1</v>
      </c>
      <c r="G15" s="1791">
        <v>1</v>
      </c>
      <c r="H15" s="1791">
        <v>1</v>
      </c>
      <c r="I15" s="1791">
        <v>1</v>
      </c>
      <c r="J15" s="1792">
        <v>1</v>
      </c>
      <c r="K15" s="2381"/>
      <c r="L15" s="1705" t="s">
        <v>1835</v>
      </c>
      <c r="M15" s="1706" t="s">
        <v>1836</v>
      </c>
      <c r="N15" s="1706" t="s">
        <v>1837</v>
      </c>
      <c r="O15" s="1706" t="s">
        <v>977</v>
      </c>
      <c r="P15" s="1707" t="s">
        <v>1838</v>
      </c>
      <c r="Q15" s="2381"/>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74" t="s">
        <v>1946</v>
      </c>
      <c r="B16" s="1644" t="s">
        <v>1820</v>
      </c>
      <c r="C16" s="1777">
        <f>ROUND(SUM(G17:J17)/C17,0)</f>
        <v>15</v>
      </c>
      <c r="D16" s="1675" t="s">
        <v>1821</v>
      </c>
      <c r="E16" s="1793" t="s">
        <v>3126</v>
      </c>
      <c r="F16" s="1794" t="s">
        <v>3127</v>
      </c>
      <c r="G16" s="1795" t="s">
        <v>3128</v>
      </c>
      <c r="H16" s="1795"/>
      <c r="I16" s="1795"/>
      <c r="J16" s="1796"/>
      <c r="K16" s="2381"/>
      <c r="L16" s="1711" t="s">
        <v>1840</v>
      </c>
      <c r="M16" s="1655">
        <v>0.25</v>
      </c>
      <c r="N16" s="1655">
        <v>0.2</v>
      </c>
      <c r="O16" s="1655">
        <v>0.15</v>
      </c>
      <c r="P16" s="2731">
        <v>0.1</v>
      </c>
      <c r="Q16" s="2732"/>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75"/>
      <c r="B17" s="1676" t="s">
        <v>1822</v>
      </c>
      <c r="C17" s="1677">
        <f>SUMPRODUCT((修正!A2:A5=E2)*(修正!B1:M1=G2)*(修正!B2:M5))</f>
        <v>2</v>
      </c>
      <c r="D17" s="1678" t="s">
        <v>1823</v>
      </c>
      <c r="E17" s="1748" t="str">
        <f>IF(OR(G2="八级",G2="九级",G2="十级",G2="十一级",G2="十二级"),"五通一平","七通一平")</f>
        <v>五通一平</v>
      </c>
      <c r="F17" s="1679" t="s">
        <v>1824</v>
      </c>
      <c r="G17" s="1677">
        <f>SUMPRODUCT((七通一平=G16)*(修正!B1:M1=G2)*(修正!B6:M14))</f>
        <v>30</v>
      </c>
      <c r="H17" s="1677">
        <f>SUMPRODUCT((七通一平=H16)*(修正!B1:M1=G2)*(修正!B6:M14))</f>
        <v>0</v>
      </c>
      <c r="I17" s="1677">
        <f>SUMPRODUCT((七通一平=I16)*(修正!B1:M1=G2)*(修正!B6:M14))</f>
        <v>0</v>
      </c>
      <c r="J17" s="1680">
        <f>SUMPRODUCT((七通一平=J16)*(修正!B1:M1=G2)*(修正!B6:M14))</f>
        <v>0</v>
      </c>
      <c r="K17" s="2381"/>
      <c r="L17" s="1718" t="s">
        <v>1829</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1938</v>
      </c>
      <c r="B18" s="1681" t="s">
        <v>1825</v>
      </c>
      <c r="C18" s="1682">
        <f>SUMIF(修正!C18:C39,E3,修正!E18:E39)</f>
        <v>0.8</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1939</v>
      </c>
      <c r="B19" s="1681" t="s">
        <v>1826</v>
      </c>
      <c r="C19" s="1690">
        <f>ROUND(IF(H19="按公示增长率计算",SUMPRODUCT((地价!A3:A19=YEAR(G19)&amp;"-"&amp;ROUNDUP(MONTH(G19)/3,0))*(地价!X2:AB2=E2)*(地价!X3:AB19)),IF(H19="地价指数",M20/M19,(1+I19)^O19)),4)</f>
        <v>1.2363999999999999</v>
      </c>
      <c r="D19" s="1691" t="s">
        <v>1147</v>
      </c>
      <c r="E19" s="1692">
        <v>41640</v>
      </c>
      <c r="F19" s="1691" t="s">
        <v>1148</v>
      </c>
      <c r="G19" s="1693">
        <f>'数据-取费表'!B2</f>
        <v>42986</v>
      </c>
      <c r="H19" s="3018" t="s">
        <v>2955</v>
      </c>
      <c r="I19" s="1694" t="str">
        <f>IF(H19="季度增幅（自定义）",SUMIF(N21:N24,E2,O21:O24),"")</f>
        <v/>
      </c>
      <c r="J19" s="1687"/>
      <c r="K19" s="2388"/>
      <c r="L19" s="3243" t="s">
        <v>2953</v>
      </c>
      <c r="M19" s="3245">
        <f>ROUND(SUMIF(地价!B2:F2,E2,地价!B19:F19),0)</f>
        <v>258</v>
      </c>
      <c r="N19" s="3241" t="s">
        <v>1871</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1940</v>
      </c>
      <c r="B20" s="1750" t="s">
        <v>1827</v>
      </c>
      <c r="C20" s="1697">
        <f ca="1">ROUND(POWER(1+G20,J20-I20)*(POWER(1+G20,I20)-1)/(POWER(1+G20,J20)-1),4)</f>
        <v>0.89529999999999998</v>
      </c>
      <c r="D20" s="1751" t="s">
        <v>1828</v>
      </c>
      <c r="E20" s="3300">
        <f ca="1">存贷款利率!D4/100</f>
        <v>4.3499999999999997E-2</v>
      </c>
      <c r="F20" s="1751" t="s">
        <v>1829</v>
      </c>
      <c r="G20" s="1752">
        <f ca="1">SUMIF(M15:P15,E2,M17:P17)</f>
        <v>5.1999999999999998E-2</v>
      </c>
      <c r="H20" s="1751" t="s">
        <v>1830</v>
      </c>
      <c r="I20" s="1753">
        <f>SUMIF('数据-取费表'!C6:C15,E2,'数据-取费表'!F6:F15)/COUNTIF('数据-取费表'!C6:C15,E2)</f>
        <v>34.31</v>
      </c>
      <c r="J20" s="1754">
        <f>IF(E2="住宅",70,IF(E2="商业",40,50))</f>
        <v>50</v>
      </c>
      <c r="K20" s="2388"/>
      <c r="L20" s="3244" t="s">
        <v>2954</v>
      </c>
      <c r="M20" s="3246">
        <f>ROUND(SUMPRODUCT((地价!A4:A19=YEAR(G19)&amp;"-"&amp;ROUNDUP(MONTH(G19)/3,0))*(地价!B2:F2=E2)*(地价!B4:F19)),0)</f>
        <v>319</v>
      </c>
      <c r="N20" s="3242" t="s">
        <v>2782</v>
      </c>
      <c r="O20" s="3019" t="s">
        <v>2783</v>
      </c>
      <c r="P20" s="3020" t="s">
        <v>2792</v>
      </c>
      <c r="R20" s="2738"/>
      <c r="S20" s="2738"/>
      <c r="T20" s="2733"/>
      <c r="U20" s="2733"/>
      <c r="V20" s="2733"/>
      <c r="W20" s="2732"/>
      <c r="X20" s="2732"/>
      <c r="Y20" s="2732"/>
      <c r="Z20" s="2739"/>
      <c r="AA20" s="2740"/>
      <c r="AB20" s="2740"/>
      <c r="AC20" s="2740"/>
      <c r="AD20" s="2740"/>
      <c r="AE20" s="1688"/>
      <c r="AF20" s="1688"/>
    </row>
    <row r="21" spans="1:37" s="1637" customFormat="1" ht="14.25">
      <c r="A21" s="1880" t="s">
        <v>1941</v>
      </c>
      <c r="B21" s="1797" t="s">
        <v>3129</v>
      </c>
      <c r="C21" s="1755">
        <f>IF(B21="容积率修正",IF(G3&lt;=10,D22,J22),C23)</f>
        <v>4.0247999999999999</v>
      </c>
      <c r="D21" s="1756"/>
      <c r="E21" s="1756"/>
      <c r="F21" s="1756"/>
      <c r="G21" s="1756"/>
      <c r="H21" s="1756"/>
      <c r="I21" s="1756"/>
      <c r="J21" s="1757"/>
      <c r="K21" s="2388"/>
      <c r="N21" s="3021" t="s">
        <v>2784</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1944</v>
      </c>
      <c r="B22" s="1699" t="s">
        <v>1831</v>
      </c>
      <c r="C22" s="1778" t="s">
        <v>1844</v>
      </c>
      <c r="D22" s="1778">
        <f>IF(E22=G22,F22,IF(G3&lt;=10,ROUND(F22+(H22-F22)*(G3-E22)/(G22-E22),4),"——"))</f>
        <v>4.0247999999999999</v>
      </c>
      <c r="E22" s="1629">
        <f>ROUNDDOWN(G3,1)</f>
        <v>0.3</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629">
        <f>ROUNDUP(G3,1)</f>
        <v>0.4</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778" t="s">
        <v>1161</v>
      </c>
      <c r="J22" s="1758" t="str">
        <f>IF(G3&gt;10,D113,"——")</f>
        <v>——</v>
      </c>
      <c r="K22" s="2388"/>
      <c r="N22" s="3021" t="s">
        <v>2785</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1942</v>
      </c>
      <c r="B24" s="1681" t="s">
        <v>1833</v>
      </c>
      <c r="C24" s="1690">
        <f>SUMIF(A45:A88,E2,B45:B88)</f>
        <v>1.0011000000000001</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1943</v>
      </c>
      <c r="B25" s="1702" t="s">
        <v>1834</v>
      </c>
      <c r="C25" s="1703"/>
      <c r="D25" s="1648"/>
      <c r="E25" s="1648"/>
      <c r="F25" s="1704"/>
      <c r="G25" s="1648"/>
      <c r="H25" s="1648"/>
      <c r="I25" s="1648"/>
      <c r="J25" s="1649"/>
      <c r="K25" s="2381"/>
      <c r="N25" s="3028" t="s">
        <v>2786</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1865</v>
      </c>
      <c r="C26" s="537">
        <f ca="1">E29+SUM(E33:E39)</f>
        <v>58048</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1866</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1864</v>
      </c>
      <c r="C28" s="1720" t="s">
        <v>1839</v>
      </c>
      <c r="D28" s="1720" t="s">
        <v>1855</v>
      </c>
      <c r="E28" s="1721" t="s">
        <v>1856</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1859</v>
      </c>
      <c r="C29" s="537">
        <f ca="1">ROUND(C5*C18*C19*C20*C21*C24,0)</f>
        <v>20035</v>
      </c>
      <c r="D29" s="3399">
        <f>'数据-汇总表'!F19</f>
        <v>28973.439999999999</v>
      </c>
      <c r="E29" s="1780">
        <f ca="1">ROUND(C29*D29/10000,0)</f>
        <v>58048</v>
      </c>
      <c r="F29" s="1724" t="s">
        <v>1841</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1860</v>
      </c>
      <c r="C30" s="560">
        <f ca="1">ROUND(IF(E2="工业",C29*M39,C29*M38),0)</f>
        <v>5009</v>
      </c>
      <c r="D30" s="1747"/>
      <c r="E30" s="1780">
        <f ca="1">ROUND(C30*D30/10000,0)</f>
        <v>0</v>
      </c>
      <c r="F30" s="1729" t="s">
        <v>1857</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1861</v>
      </c>
      <c r="C31" s="1734" t="s">
        <v>1862</v>
      </c>
      <c r="D31" s="1664"/>
      <c r="E31" s="1734"/>
      <c r="F31" s="1734"/>
      <c r="G31" s="1662" t="s">
        <v>1863</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1839</v>
      </c>
      <c r="D32" s="168" t="s">
        <v>1855</v>
      </c>
      <c r="E32" s="168" t="s">
        <v>1856</v>
      </c>
      <c r="F32" s="1737" t="s">
        <v>1843</v>
      </c>
      <c r="G32" s="1698" t="s">
        <v>1839</v>
      </c>
      <c r="H32" s="1698" t="s">
        <v>1855</v>
      </c>
      <c r="I32" s="1698" t="s">
        <v>1856</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86" t="s">
        <v>3061</v>
      </c>
      <c r="B33" s="1740" t="s">
        <v>1163</v>
      </c>
      <c r="C33" s="537">
        <f ca="1">ROUND(D5*C19*C20*C24*F33,0)</f>
        <v>0</v>
      </c>
      <c r="D33" s="1746"/>
      <c r="E33" s="531">
        <f ca="1">ROUND(C33*D33/10000,0)</f>
        <v>0</v>
      </c>
      <c r="F33" s="531">
        <f>SUMIF(修正!A45:A56,G2,修正!B45:B56)</f>
        <v>0.6</v>
      </c>
      <c r="G33" s="531">
        <f t="shared" ref="G33:G39" ca="1" si="6">ROUND(IF(E2="工业",C33*$M$39,C33*$M$38),0)</f>
        <v>0</v>
      </c>
      <c r="H33" s="531">
        <f>D33</f>
        <v>0</v>
      </c>
      <c r="I33" s="531">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87"/>
      <c r="B34" s="1667" t="s">
        <v>1164</v>
      </c>
      <c r="C34" s="537">
        <f ca="1">ROUND(D5*C19*C20*C24*F34,0)</f>
        <v>0</v>
      </c>
      <c r="D34" s="1746"/>
      <c r="E34" s="531">
        <f t="shared" ref="E34:E39" ca="1" si="7">ROUND(C34*D34/10000,0)</f>
        <v>0</v>
      </c>
      <c r="F34" s="531">
        <f>SUMIF(修正!A45:A56,G2,修正!C45:C56)</f>
        <v>0.3</v>
      </c>
      <c r="G34" s="531">
        <f t="shared" ca="1" si="6"/>
        <v>0</v>
      </c>
      <c r="H34" s="531">
        <f t="shared" ref="H34:H39" si="8">D34</f>
        <v>0</v>
      </c>
      <c r="I34" s="531">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87"/>
      <c r="B35" s="1667" t="s">
        <v>1165</v>
      </c>
      <c r="C35" s="537">
        <f ca="1">ROUND(D5*C19*C20*C24*F35,0)</f>
        <v>0</v>
      </c>
      <c r="D35" s="1746"/>
      <c r="E35" s="531">
        <f t="shared" ca="1" si="7"/>
        <v>0</v>
      </c>
      <c r="F35" s="531">
        <f>SUMIF(修正!A45:A56,G2,修正!D45:D56)</f>
        <v>0.2</v>
      </c>
      <c r="G35" s="531">
        <f t="shared" ca="1" si="6"/>
        <v>0</v>
      </c>
      <c r="H35" s="531">
        <f t="shared" si="8"/>
        <v>0</v>
      </c>
      <c r="I35" s="531">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88"/>
      <c r="B36" s="1667" t="s">
        <v>1166</v>
      </c>
      <c r="C36" s="537">
        <f ca="1">ROUND(D5*C19*C20*C24*F36,0)</f>
        <v>0</v>
      </c>
      <c r="D36" s="1746"/>
      <c r="E36" s="531">
        <f t="shared" ca="1" si="7"/>
        <v>0</v>
      </c>
      <c r="F36" s="531">
        <f>SUMIF(修正!A45:A56,G2,修正!E45:E56)</f>
        <v>0.2</v>
      </c>
      <c r="G36" s="531">
        <f t="shared" ca="1" si="6"/>
        <v>0</v>
      </c>
      <c r="H36" s="531">
        <f t="shared" si="8"/>
        <v>0</v>
      </c>
      <c r="I36" s="531">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1167</v>
      </c>
      <c r="C37" s="531">
        <f ca="1">ROUND(C5*C19*C20*C24*F37,0)</f>
        <v>1244</v>
      </c>
      <c r="D37" s="1746"/>
      <c r="E37" s="531">
        <f t="shared" ca="1" si="7"/>
        <v>0</v>
      </c>
      <c r="F37" s="537">
        <f>SUMIF(修正!A45:A56,G2,修正!F45:F56)</f>
        <v>0.2</v>
      </c>
      <c r="G37" s="531">
        <f t="shared" ca="1" si="6"/>
        <v>311</v>
      </c>
      <c r="H37" s="531">
        <f t="shared" si="8"/>
        <v>0</v>
      </c>
      <c r="I37" s="531">
        <f t="shared" ca="1" si="9"/>
        <v>0</v>
      </c>
      <c r="J37" s="1741"/>
      <c r="K37" s="2381"/>
      <c r="L37" s="2389" t="s">
        <v>1858</v>
      </c>
      <c r="M37" s="2390"/>
      <c r="N37" s="2381"/>
      <c r="O37" s="2381"/>
      <c r="P37" s="2381"/>
      <c r="Q37" s="2381"/>
      <c r="R37" s="2381"/>
      <c r="S37" s="2381"/>
      <c r="T37" s="2381"/>
      <c r="U37" s="2381"/>
      <c r="V37" s="2381"/>
      <c r="W37" s="2381"/>
      <c r="X37" s="2381"/>
      <c r="Y37" s="2381"/>
      <c r="Z37" s="2382"/>
    </row>
    <row r="38" spans="1:37" ht="12.75">
      <c r="A38" s="1739"/>
      <c r="B38" s="1667" t="s">
        <v>1168</v>
      </c>
      <c r="C38" s="531">
        <f ca="1">ROUND(C5*C19*C20*C24*F38,0)</f>
        <v>1244</v>
      </c>
      <c r="D38" s="1746"/>
      <c r="E38" s="531">
        <f t="shared" ca="1" si="7"/>
        <v>0</v>
      </c>
      <c r="F38" s="537">
        <f>SUMIF(修正!A45:A56,G2,修正!G45:G56)</f>
        <v>0.2</v>
      </c>
      <c r="G38" s="531">
        <f t="shared" ca="1" si="6"/>
        <v>311</v>
      </c>
      <c r="H38" s="531">
        <f t="shared" si="8"/>
        <v>0</v>
      </c>
      <c r="I38" s="531">
        <f t="shared" ca="1" si="9"/>
        <v>0</v>
      </c>
      <c r="J38" s="1741"/>
      <c r="K38" s="2381"/>
      <c r="L38" s="1761" t="s">
        <v>1842</v>
      </c>
      <c r="M38" s="1762">
        <v>0.25</v>
      </c>
      <c r="N38" s="2381"/>
      <c r="O38" s="2381"/>
      <c r="P38" s="2381"/>
      <c r="Q38" s="2381"/>
      <c r="R38" s="2381"/>
      <c r="S38" s="2381"/>
      <c r="T38" s="2381"/>
      <c r="U38" s="2381"/>
      <c r="V38" s="2381"/>
      <c r="W38" s="2381"/>
      <c r="X38" s="2381"/>
      <c r="Y38" s="2381"/>
      <c r="Z38" s="2382"/>
    </row>
    <row r="39" spans="1:37" ht="13.5" thickBot="1">
      <c r="A39" s="1727"/>
      <c r="B39" s="1742" t="s">
        <v>1169</v>
      </c>
      <c r="C39" s="560">
        <f ca="1">ROUND(C5*C19*C20*C24*F39,0)</f>
        <v>933</v>
      </c>
      <c r="D39" s="1747"/>
      <c r="E39" s="560">
        <f t="shared" ca="1" si="7"/>
        <v>0</v>
      </c>
      <c r="F39" s="1743">
        <f>SUMIF(修正!A45:A56,G2,修正!H45:H56)</f>
        <v>0.15</v>
      </c>
      <c r="G39" s="560" t="e">
        <f t="shared" si="6"/>
        <v>#DIV/0!</v>
      </c>
      <c r="H39" s="560">
        <f t="shared" si="8"/>
        <v>0</v>
      </c>
      <c r="I39" s="560" t="e">
        <f t="shared" si="9"/>
        <v>#DIV/0!</v>
      </c>
      <c r="J39" s="1744"/>
      <c r="K39" s="2381"/>
      <c r="L39" s="1763" t="s">
        <v>1838</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1778</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1779</v>
      </c>
      <c r="B47" s="1497" t="s">
        <v>1780</v>
      </c>
      <c r="C47" s="1498" t="s">
        <v>1781</v>
      </c>
      <c r="D47" s="1499" t="s">
        <v>1852</v>
      </c>
      <c r="E47" s="1500" t="s">
        <v>1854</v>
      </c>
      <c r="F47" s="2603" t="s">
        <v>2493</v>
      </c>
      <c r="G47" s="1499" t="s">
        <v>1850</v>
      </c>
      <c r="H47" s="2604" t="s">
        <v>2494</v>
      </c>
      <c r="I47" s="1499" t="s">
        <v>1853</v>
      </c>
      <c r="J47" s="944" t="s">
        <v>424</v>
      </c>
      <c r="K47" s="944" t="s">
        <v>425</v>
      </c>
      <c r="L47" s="944" t="s">
        <v>426</v>
      </c>
      <c r="M47" s="944" t="s">
        <v>427</v>
      </c>
      <c r="N47" s="944" t="s">
        <v>428</v>
      </c>
      <c r="AA47" s="2382"/>
      <c r="AB47" s="2382"/>
      <c r="AC47" s="2382"/>
      <c r="AD47" s="2382"/>
      <c r="AE47" s="2382"/>
      <c r="AF47" s="2382"/>
      <c r="AG47" s="2382"/>
      <c r="AH47" s="2382"/>
      <c r="AI47" s="2382"/>
      <c r="AJ47" s="2382"/>
      <c r="AK47" s="2382"/>
    </row>
    <row r="48" spans="1:37" s="2381" customFormat="1" ht="24">
      <c r="A48" s="1496" t="s">
        <v>1782</v>
      </c>
      <c r="B48" s="1501">
        <f>估价对象房地状况!C4</f>
        <v>0</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96">
      <c r="A49" s="1496" t="s">
        <v>92</v>
      </c>
      <c r="B49" s="1505" t="str">
        <f>估价对象房地状况!C18</f>
        <v>估价对象紧邻城市次干道——怀耿路，半径1公里内有866、H07、H09、H44路等公交线路，周边有怀耿路、杨雁路两条城市次干道，西北距离怀柔火车站4公里，交通便捷度较差</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6" t="s">
        <v>109</v>
      </c>
      <c r="B50" s="1505" t="str">
        <f>估价对象房地状况!C19</f>
        <v>一般</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6" t="s">
        <v>1783</v>
      </c>
      <c r="B51" s="3303" t="s">
        <v>3023</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6" t="s">
        <v>1784</v>
      </c>
      <c r="B52" s="1505" t="str">
        <f>估价对象房地状况!C24</f>
        <v>城市主干道-怀耿路</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6" t="s">
        <v>1785</v>
      </c>
      <c r="B53" s="3302" t="s">
        <v>3022</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108">
      <c r="A54" s="1507" t="s">
        <v>1786</v>
      </c>
      <c r="B5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7" t="s">
        <v>1787</v>
      </c>
      <c r="B55" s="1505" t="str">
        <f>估价对象房地状况!C22</f>
        <v>估价对象所在区域基础设施水平达到七通</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96.75" thickBot="1">
      <c r="A56" s="1509" t="s">
        <v>1788</v>
      </c>
      <c r="B56" s="1510" t="str">
        <f>估价对象房地状况!C20</f>
        <v>周边约1公里范围内有北京影视研修学院、北京怀柔中视腾飞影视培训学校等演艺教育学校，人文环境一般；周边有约1公里有栖河，自然环境一般。综合评价自然与人文环境一般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1162</v>
      </c>
      <c r="B57" s="1491">
        <f>1+E59</f>
        <v>1.0011000000000001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1779</v>
      </c>
      <c r="B58" s="1497"/>
      <c r="C58" s="1498" t="s">
        <v>1781</v>
      </c>
      <c r="D58" s="1499" t="s">
        <v>1852</v>
      </c>
      <c r="E58" s="1500" t="s">
        <v>1854</v>
      </c>
      <c r="F58" s="2603" t="s">
        <v>2290</v>
      </c>
      <c r="G58" s="1499" t="s">
        <v>1850</v>
      </c>
      <c r="H58" s="2604" t="s">
        <v>2494</v>
      </c>
      <c r="I58" s="1499" t="s">
        <v>1853</v>
      </c>
      <c r="J58" s="944" t="s">
        <v>424</v>
      </c>
      <c r="K58" s="944" t="s">
        <v>425</v>
      </c>
      <c r="L58" s="944" t="s">
        <v>426</v>
      </c>
      <c r="M58" s="944" t="s">
        <v>427</v>
      </c>
      <c r="N58" s="944" t="s">
        <v>428</v>
      </c>
      <c r="AA58" s="2382"/>
      <c r="AB58" s="2382"/>
      <c r="AC58" s="2382"/>
      <c r="AD58" s="2382"/>
      <c r="AE58" s="2382"/>
      <c r="AF58" s="2382"/>
      <c r="AG58" s="2382"/>
      <c r="AH58" s="2382"/>
      <c r="AI58" s="2382"/>
      <c r="AJ58" s="2382"/>
      <c r="AK58" s="2382"/>
    </row>
    <row r="59" spans="1:37" s="2381" customFormat="1" ht="69.75" customHeight="1">
      <c r="A59" s="1496" t="s">
        <v>1093</v>
      </c>
      <c r="B59" s="1501" t="str">
        <f>估价对象房地状况!C17</f>
        <v>估价对象位于怀柔区杨宋镇，目前投用项目有中影基地、星美影视城、百汇演艺学校等类似用房以及相关行业酒店等配套设施，产业聚集度较好</v>
      </c>
      <c r="C59" s="1486" t="s">
        <v>3175</v>
      </c>
      <c r="D59" s="2602">
        <f t="shared" ref="D59:D67" si="15">SUMIF($J$58:$N$58,C59,J59:N59)</f>
        <v>1.1999999999999999E-3</v>
      </c>
      <c r="E59" s="1503">
        <f>ROUND(SUM(D59:D67),4)</f>
        <v>1.1000000000000001E-3</v>
      </c>
      <c r="F59" s="1504">
        <f>IF(E2="办公",SUMIF(L1:L12,G2,N1:N12),"——")</f>
        <v>0.14399999999999999</v>
      </c>
      <c r="G59" s="3383">
        <f t="shared" ref="G59:H67" si="16">IFERROR(ROUNDDOWN($F$59*H59/2,4),"——")</f>
        <v>1.1999999999999999E-3</v>
      </c>
      <c r="H59" s="2618">
        <f t="shared" si="16"/>
        <v>1.72E-2</v>
      </c>
      <c r="I59" s="1502">
        <v>0.24</v>
      </c>
      <c r="J59" s="2601">
        <f t="shared" ref="J59:J67" si="17">K59+$G59</f>
        <v>2.3999999999999998E-3</v>
      </c>
      <c r="K59" s="2601">
        <f t="shared" ref="K59:K67" si="18">$L59+$G59</f>
        <v>1.1999999999999999E-3</v>
      </c>
      <c r="L59" s="2601">
        <v>0</v>
      </c>
      <c r="M59" s="2601">
        <f t="shared" ref="M59:N67" si="19">L59-$G59</f>
        <v>-1.1999999999999999E-3</v>
      </c>
      <c r="N59" s="2601">
        <f t="shared" si="19"/>
        <v>-2.3999999999999998E-3</v>
      </c>
      <c r="AA59" s="2382"/>
      <c r="AB59" s="2382"/>
      <c r="AC59" s="2382"/>
      <c r="AD59" s="2382"/>
      <c r="AE59" s="2382"/>
      <c r="AF59" s="2382"/>
      <c r="AG59" s="2382"/>
      <c r="AH59" s="2382"/>
      <c r="AI59" s="2382"/>
      <c r="AJ59" s="2382"/>
      <c r="AK59" s="2382"/>
    </row>
    <row r="60" spans="1:37" s="2381" customFormat="1" ht="99" customHeight="1">
      <c r="A60" s="1496" t="s">
        <v>92</v>
      </c>
      <c r="B60" s="1505" t="str">
        <f>估价对象房地状况!C18</f>
        <v>估价对象紧邻城市次干道——怀耿路，半径1公里内有866、H07、H09、H44路等公交线路，周边有怀耿路、杨雁路两条城市次干道，西北距离怀柔火车站4公里，交通便捷度较差</v>
      </c>
      <c r="C60" s="1486" t="s">
        <v>3176</v>
      </c>
      <c r="D60" s="2602">
        <f t="shared" si="15"/>
        <v>-1.5E-3</v>
      </c>
      <c r="E60" s="1506"/>
      <c r="F60" s="1504"/>
      <c r="G60" s="3383">
        <f t="shared" si="16"/>
        <v>1.5E-3</v>
      </c>
      <c r="H60" s="2618">
        <f t="shared" si="16"/>
        <v>2.1600000000000001E-2</v>
      </c>
      <c r="I60" s="1502">
        <v>0.3</v>
      </c>
      <c r="J60" s="2601">
        <f t="shared" si="17"/>
        <v>3.0000000000000001E-3</v>
      </c>
      <c r="K60" s="2601">
        <f t="shared" si="18"/>
        <v>1.5E-3</v>
      </c>
      <c r="L60" s="2601">
        <v>0</v>
      </c>
      <c r="M60" s="2601">
        <f t="shared" si="19"/>
        <v>-1.5E-3</v>
      </c>
      <c r="N60" s="2601">
        <f t="shared" si="19"/>
        <v>-3.0000000000000001E-3</v>
      </c>
      <c r="AA60" s="2382"/>
      <c r="AB60" s="2382"/>
      <c r="AC60" s="2382"/>
      <c r="AD60" s="2382"/>
      <c r="AE60" s="2382"/>
      <c r="AF60" s="2382"/>
      <c r="AG60" s="2382"/>
      <c r="AH60" s="2382"/>
      <c r="AI60" s="2382"/>
      <c r="AJ60" s="2382"/>
      <c r="AK60" s="2382"/>
    </row>
    <row r="61" spans="1:37" s="2381" customFormat="1" ht="24">
      <c r="A61" s="1496" t="s">
        <v>109</v>
      </c>
      <c r="B61" s="1505" t="str">
        <f>估价对象房地状况!C19</f>
        <v>一般</v>
      </c>
      <c r="C61" s="1486" t="s">
        <v>3171</v>
      </c>
      <c r="D61" s="2602">
        <f t="shared" si="15"/>
        <v>0</v>
      </c>
      <c r="E61" s="1506"/>
      <c r="F61" s="1504"/>
      <c r="G61" s="3383">
        <f t="shared" si="16"/>
        <v>4.0000000000000002E-4</v>
      </c>
      <c r="H61" s="2618">
        <f t="shared" si="16"/>
        <v>5.7000000000000002E-3</v>
      </c>
      <c r="I61" s="1502">
        <v>0.08</v>
      </c>
      <c r="J61" s="2601">
        <f t="shared" si="17"/>
        <v>8.0000000000000004E-4</v>
      </c>
      <c r="K61" s="2601">
        <f t="shared" si="18"/>
        <v>4.0000000000000002E-4</v>
      </c>
      <c r="L61" s="2601">
        <v>0</v>
      </c>
      <c r="M61" s="2601">
        <f t="shared" si="19"/>
        <v>-4.0000000000000002E-4</v>
      </c>
      <c r="N61" s="2601">
        <f t="shared" si="19"/>
        <v>-8.0000000000000004E-4</v>
      </c>
      <c r="AA61" s="2382"/>
      <c r="AB61" s="2382"/>
      <c r="AC61" s="2382"/>
      <c r="AD61" s="2382"/>
      <c r="AE61" s="2382"/>
      <c r="AF61" s="2382"/>
      <c r="AG61" s="2382"/>
      <c r="AH61" s="2382"/>
      <c r="AI61" s="2382"/>
      <c r="AJ61" s="2382"/>
      <c r="AK61" s="2382"/>
    </row>
    <row r="62" spans="1:37" s="2381" customFormat="1" ht="36">
      <c r="A62" s="1496" t="s">
        <v>1783</v>
      </c>
      <c r="B62" s="3303" t="s">
        <v>3023</v>
      </c>
      <c r="C62" s="1486" t="s">
        <v>3175</v>
      </c>
      <c r="D62" s="2602">
        <f t="shared" si="15"/>
        <v>2.0000000000000001E-4</v>
      </c>
      <c r="E62" s="1506"/>
      <c r="F62" s="1504"/>
      <c r="G62" s="3383">
        <f t="shared" si="16"/>
        <v>2.0000000000000001E-4</v>
      </c>
      <c r="H62" s="2618">
        <f t="shared" si="16"/>
        <v>2.8E-3</v>
      </c>
      <c r="I62" s="1502">
        <v>0.04</v>
      </c>
      <c r="J62" s="2601">
        <f t="shared" si="17"/>
        <v>4.0000000000000002E-4</v>
      </c>
      <c r="K62" s="2601">
        <f t="shared" si="18"/>
        <v>2.0000000000000001E-4</v>
      </c>
      <c r="L62" s="2601">
        <v>0</v>
      </c>
      <c r="M62" s="2601">
        <f t="shared" si="19"/>
        <v>-2.0000000000000001E-4</v>
      </c>
      <c r="N62" s="2601">
        <f t="shared" si="19"/>
        <v>-4.0000000000000002E-4</v>
      </c>
      <c r="AA62" s="2382"/>
      <c r="AB62" s="2382"/>
      <c r="AC62" s="2382"/>
      <c r="AD62" s="2382"/>
      <c r="AE62" s="2382"/>
      <c r="AF62" s="2382"/>
      <c r="AG62" s="2382"/>
      <c r="AH62" s="2382"/>
      <c r="AI62" s="2382"/>
      <c r="AJ62" s="2382"/>
      <c r="AK62" s="2382"/>
    </row>
    <row r="63" spans="1:37" s="2381" customFormat="1" ht="24">
      <c r="A63" s="1496" t="s">
        <v>1784</v>
      </c>
      <c r="B63" s="1505" t="str">
        <f>估价对象房地状况!C24</f>
        <v>城市主干道-怀耿路</v>
      </c>
      <c r="C63" s="1486" t="s">
        <v>3175</v>
      </c>
      <c r="D63" s="2602">
        <f t="shared" si="15"/>
        <v>2.0000000000000001E-4</v>
      </c>
      <c r="E63" s="1506"/>
      <c r="F63" s="1504"/>
      <c r="G63" s="3383">
        <f t="shared" si="16"/>
        <v>2.0000000000000001E-4</v>
      </c>
      <c r="H63" s="2618">
        <f t="shared" si="16"/>
        <v>3.5999999999999999E-3</v>
      </c>
      <c r="I63" s="1502">
        <v>0.05</v>
      </c>
      <c r="J63" s="2601">
        <f t="shared" si="17"/>
        <v>4.0000000000000002E-4</v>
      </c>
      <c r="K63" s="2601">
        <f t="shared" si="18"/>
        <v>2.0000000000000001E-4</v>
      </c>
      <c r="L63" s="2601">
        <v>0</v>
      </c>
      <c r="M63" s="2601">
        <f t="shared" si="19"/>
        <v>-2.0000000000000001E-4</v>
      </c>
      <c r="N63" s="2601">
        <f t="shared" si="19"/>
        <v>-4.0000000000000002E-4</v>
      </c>
      <c r="AA63" s="2382"/>
      <c r="AB63" s="2382"/>
      <c r="AC63" s="2382"/>
      <c r="AD63" s="2382"/>
      <c r="AE63" s="2382"/>
      <c r="AF63" s="2382"/>
      <c r="AG63" s="2382"/>
      <c r="AH63" s="2382"/>
      <c r="AI63" s="2382"/>
      <c r="AJ63" s="2382"/>
      <c r="AK63" s="2382"/>
    </row>
    <row r="64" spans="1:37" s="2381" customFormat="1" ht="36">
      <c r="A64" s="1496" t="s">
        <v>1785</v>
      </c>
      <c r="B64" s="3302" t="s">
        <v>3178</v>
      </c>
      <c r="C64" s="1486" t="s">
        <v>3176</v>
      </c>
      <c r="D64" s="2602">
        <f t="shared" si="15"/>
        <v>-2.0000000000000001E-4</v>
      </c>
      <c r="E64" s="1506"/>
      <c r="F64" s="1504"/>
      <c r="G64" s="3383">
        <f t="shared" si="16"/>
        <v>2.0000000000000001E-4</v>
      </c>
      <c r="H64" s="2618">
        <f t="shared" si="16"/>
        <v>3.5999999999999999E-3</v>
      </c>
      <c r="I64" s="1502">
        <v>0.05</v>
      </c>
      <c r="J64" s="2601">
        <f t="shared" si="17"/>
        <v>4.0000000000000002E-4</v>
      </c>
      <c r="K64" s="2601">
        <f t="shared" si="18"/>
        <v>2.0000000000000001E-4</v>
      </c>
      <c r="L64" s="2601">
        <v>0</v>
      </c>
      <c r="M64" s="2601">
        <f t="shared" si="19"/>
        <v>-2.0000000000000001E-4</v>
      </c>
      <c r="N64" s="2601">
        <f t="shared" si="19"/>
        <v>-4.0000000000000002E-4</v>
      </c>
      <c r="AA64" s="2382"/>
      <c r="AB64" s="2382"/>
      <c r="AC64" s="2382"/>
      <c r="AD64" s="2382"/>
      <c r="AE64" s="2382"/>
      <c r="AF64" s="2382"/>
      <c r="AG64" s="2382"/>
      <c r="AH64" s="2382"/>
      <c r="AI64" s="2382"/>
      <c r="AJ64" s="2382"/>
      <c r="AK64" s="2382"/>
    </row>
    <row r="65" spans="1:37" s="2381" customFormat="1" ht="109.5" customHeight="1">
      <c r="A65" s="1496" t="s">
        <v>1786</v>
      </c>
      <c r="B65"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65" s="1486" t="s">
        <v>3171</v>
      </c>
      <c r="D65" s="2602">
        <f t="shared" si="15"/>
        <v>0</v>
      </c>
      <c r="E65" s="1506"/>
      <c r="F65" s="1504"/>
      <c r="G65" s="3383">
        <f t="shared" si="16"/>
        <v>2.9999999999999997E-4</v>
      </c>
      <c r="H65" s="2618">
        <f t="shared" si="16"/>
        <v>4.3E-3</v>
      </c>
      <c r="I65" s="1502">
        <v>0.06</v>
      </c>
      <c r="J65" s="2601">
        <f t="shared" si="17"/>
        <v>5.9999999999999995E-4</v>
      </c>
      <c r="K65" s="2601">
        <f t="shared" si="18"/>
        <v>2.9999999999999997E-4</v>
      </c>
      <c r="L65" s="2601">
        <v>0</v>
      </c>
      <c r="M65" s="2601">
        <f t="shared" si="19"/>
        <v>-2.9999999999999997E-4</v>
      </c>
      <c r="N65" s="2601">
        <f t="shared" si="19"/>
        <v>-5.9999999999999995E-4</v>
      </c>
      <c r="AA65" s="2382"/>
      <c r="AB65" s="2382"/>
      <c r="AC65" s="2382"/>
      <c r="AD65" s="2382"/>
      <c r="AE65" s="2382"/>
      <c r="AF65" s="2382"/>
      <c r="AG65" s="2382"/>
      <c r="AH65" s="2382"/>
      <c r="AI65" s="2382"/>
      <c r="AJ65" s="2382"/>
      <c r="AK65" s="2382"/>
    </row>
    <row r="66" spans="1:37" s="2381" customFormat="1" ht="24">
      <c r="A66" s="1496" t="s">
        <v>1787</v>
      </c>
      <c r="B66" s="2598" t="str">
        <f>估价对象房地状况!C22</f>
        <v>估价对象所在区域基础设施水平达到七通</v>
      </c>
      <c r="C66" s="1486" t="s">
        <v>3179</v>
      </c>
      <c r="D66" s="2602">
        <f t="shared" si="15"/>
        <v>1.1999999999999999E-3</v>
      </c>
      <c r="E66" s="1506"/>
      <c r="F66" s="1504"/>
      <c r="G66" s="3383">
        <f t="shared" si="16"/>
        <v>5.9999999999999995E-4</v>
      </c>
      <c r="H66" s="2618">
        <f t="shared" si="16"/>
        <v>8.6E-3</v>
      </c>
      <c r="I66" s="1502">
        <v>0.12</v>
      </c>
      <c r="J66" s="2601">
        <f t="shared" si="17"/>
        <v>1.1999999999999999E-3</v>
      </c>
      <c r="K66" s="2601">
        <f t="shared" si="18"/>
        <v>5.9999999999999995E-4</v>
      </c>
      <c r="L66" s="2601">
        <v>0</v>
      </c>
      <c r="M66" s="2601">
        <f t="shared" si="19"/>
        <v>-5.9999999999999995E-4</v>
      </c>
      <c r="N66" s="2601">
        <f t="shared" si="19"/>
        <v>-1.1999999999999999E-3</v>
      </c>
      <c r="AA66" s="2382"/>
      <c r="AB66" s="2382"/>
      <c r="AC66" s="2382"/>
      <c r="AD66" s="2382"/>
      <c r="AE66" s="2382"/>
      <c r="AF66" s="2382"/>
      <c r="AG66" s="2382"/>
      <c r="AH66" s="2382"/>
      <c r="AI66" s="2382"/>
      <c r="AJ66" s="2382"/>
      <c r="AK66" s="2382"/>
    </row>
    <row r="67" spans="1:37" s="2381" customFormat="1" ht="117" customHeight="1" thickBot="1">
      <c r="A67" s="1509" t="s">
        <v>1788</v>
      </c>
      <c r="B67" s="1514" t="str">
        <f>估价对象房地状况!C20</f>
        <v>周边约1公里范围内有北京影视研修学院、北京怀柔中视腾飞影视培训学校等演艺教育学校，人文环境一般；周边有约1公里有栖河，自然环境一般。综合评价自然与人文环境一般</v>
      </c>
      <c r="C67" s="1486" t="s">
        <v>3171</v>
      </c>
      <c r="D67" s="2602">
        <f t="shared" si="15"/>
        <v>0</v>
      </c>
      <c r="E67" s="1512"/>
      <c r="F67" s="1504"/>
      <c r="G67" s="3383">
        <f t="shared" si="16"/>
        <v>2.9999999999999997E-4</v>
      </c>
      <c r="H67" s="2618">
        <f t="shared" si="16"/>
        <v>4.3E-3</v>
      </c>
      <c r="I67" s="1511">
        <v>0.06</v>
      </c>
      <c r="J67" s="2601">
        <f t="shared" si="17"/>
        <v>5.9999999999999995E-4</v>
      </c>
      <c r="K67" s="2601">
        <f t="shared" si="18"/>
        <v>2.9999999999999997E-4</v>
      </c>
      <c r="L67" s="2601">
        <v>0</v>
      </c>
      <c r="M67" s="2601">
        <f t="shared" si="19"/>
        <v>-2.9999999999999997E-4</v>
      </c>
      <c r="N67" s="2601">
        <f t="shared" si="19"/>
        <v>-5.9999999999999995E-4</v>
      </c>
      <c r="AA67" s="2382"/>
      <c r="AB67" s="2382"/>
      <c r="AC67" s="2382"/>
      <c r="AD67" s="2382"/>
      <c r="AE67" s="2382"/>
      <c r="AF67" s="2382"/>
      <c r="AG67" s="2382"/>
      <c r="AH67" s="2382"/>
      <c r="AI67" s="2382"/>
      <c r="AJ67" s="2382"/>
      <c r="AK67" s="2382"/>
    </row>
    <row r="68" spans="1:37" s="2381" customFormat="1" ht="15">
      <c r="A68" s="1490" t="s">
        <v>977</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1779</v>
      </c>
      <c r="B69" s="1497"/>
      <c r="C69" s="1498" t="s">
        <v>1781</v>
      </c>
      <c r="D69" s="1499" t="s">
        <v>1852</v>
      </c>
      <c r="E69" s="1500" t="s">
        <v>1854</v>
      </c>
      <c r="F69" s="2603" t="s">
        <v>2290</v>
      </c>
      <c r="G69" s="1499" t="s">
        <v>1850</v>
      </c>
      <c r="H69" s="2604" t="s">
        <v>2494</v>
      </c>
      <c r="I69" s="1499" t="s">
        <v>1853</v>
      </c>
      <c r="J69" s="944" t="s">
        <v>424</v>
      </c>
      <c r="K69" s="944" t="s">
        <v>425</v>
      </c>
      <c r="L69" s="944" t="s">
        <v>426</v>
      </c>
      <c r="M69" s="944" t="s">
        <v>427</v>
      </c>
      <c r="N69" s="944" t="s">
        <v>428</v>
      </c>
      <c r="AA69" s="2382"/>
      <c r="AB69" s="2382"/>
      <c r="AC69" s="2382"/>
      <c r="AD69" s="2382"/>
      <c r="AE69" s="2382"/>
      <c r="AF69" s="2382"/>
      <c r="AG69" s="2382"/>
      <c r="AH69" s="2382"/>
      <c r="AI69" s="2382"/>
      <c r="AJ69" s="2382"/>
      <c r="AK69" s="2382"/>
    </row>
    <row r="70" spans="1:37" s="2381" customFormat="1" ht="24">
      <c r="A70" s="1496" t="s">
        <v>110</v>
      </c>
      <c r="B70" s="1501">
        <f>估价对象房地状况!C15</f>
        <v>0</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96">
      <c r="A71" s="1496" t="s">
        <v>92</v>
      </c>
      <c r="B71" s="1505" t="str">
        <f>估价对象房地状况!C18</f>
        <v>估价对象紧邻城市次干道——怀耿路，半径1公里内有866、H07、H09、H44路等公交线路，周边有怀耿路、杨雁路两条城市次干道，西北距离怀柔火车站4公里，交通便捷度较差</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t="str">
        <f>估价对象房地状况!C19</f>
        <v>一般</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1789</v>
      </c>
      <c r="B73" s="1505" t="str">
        <f>估价对象房地状况!C24</f>
        <v>城市主干道-怀耿路</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6" t="s">
        <v>1786</v>
      </c>
      <c r="B7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1787</v>
      </c>
      <c r="B75" s="2598" t="str">
        <f>估价对象房地状况!C22</f>
        <v>估价对象所在区域基础设施水平达到七通</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1785</v>
      </c>
      <c r="B76" s="3302" t="s">
        <v>3022</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96">
      <c r="A77" s="1496" t="s">
        <v>1788</v>
      </c>
      <c r="B77" s="1501" t="str">
        <f>估价对象房地状况!C20</f>
        <v>周边约1公里范围内有北京影视研修学院、北京怀柔中视腾飞影视培训学校等演艺教育学校，人文环境一般；周边有约1公里有栖河，自然环境一般。综合评价自然与人文环境一般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1790</v>
      </c>
      <c r="B78" s="3301"/>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1104</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1779</v>
      </c>
      <c r="B80" s="1497"/>
      <c r="C80" s="1498" t="s">
        <v>1781</v>
      </c>
      <c r="D80" s="1499" t="s">
        <v>1852</v>
      </c>
      <c r="E80" s="1500" t="s">
        <v>1854</v>
      </c>
      <c r="F80" s="2603" t="s">
        <v>2290</v>
      </c>
      <c r="G80" s="1499" t="s">
        <v>1850</v>
      </c>
      <c r="H80" s="2604" t="s">
        <v>2494</v>
      </c>
      <c r="I80" s="1499" t="s">
        <v>1853</v>
      </c>
      <c r="J80" s="944" t="s">
        <v>424</v>
      </c>
      <c r="K80" s="944" t="s">
        <v>425</v>
      </c>
      <c r="L80" s="944" t="s">
        <v>426</v>
      </c>
      <c r="M80" s="944" t="s">
        <v>427</v>
      </c>
      <c r="N80" s="944" t="s">
        <v>428</v>
      </c>
      <c r="Z80" s="1626"/>
      <c r="AA80" s="1625"/>
      <c r="AG80" s="1624"/>
      <c r="AK80" s="1625"/>
    </row>
    <row r="81" spans="1:37" ht="36">
      <c r="A81" s="1496" t="s">
        <v>158</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1789</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1786</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1787</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1785</v>
      </c>
      <c r="B87" s="3302" t="s">
        <v>2492</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1791</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78" t="s">
        <v>1760</v>
      </c>
      <c r="B90" s="3778"/>
      <c r="C90" s="3778"/>
      <c r="D90" s="3778"/>
      <c r="E90" s="3778"/>
      <c r="F90" s="3778"/>
      <c r="G90" s="3778"/>
      <c r="H90" s="3778"/>
      <c r="I90" s="3778"/>
      <c r="J90" s="3778"/>
      <c r="K90" s="2607"/>
      <c r="L90" s="2607"/>
      <c r="M90" s="2607"/>
      <c r="N90" s="2607"/>
    </row>
    <row r="91" spans="1:37">
      <c r="A91" s="3780" t="s">
        <v>68</v>
      </c>
      <c r="B91" s="3780" t="s">
        <v>1761</v>
      </c>
      <c r="C91" s="1585" t="s">
        <v>1762</v>
      </c>
      <c r="D91" s="1586"/>
      <c r="E91" s="1586"/>
      <c r="F91" s="1586"/>
      <c r="G91" s="1586"/>
      <c r="H91" s="1586"/>
      <c r="I91" s="1586"/>
      <c r="J91" s="1587"/>
      <c r="K91" s="1575"/>
      <c r="L91" s="1575"/>
      <c r="M91" s="1575"/>
      <c r="N91" s="1575"/>
    </row>
    <row r="92" spans="1:37">
      <c r="A92" s="3780"/>
      <c r="B92" s="3780"/>
      <c r="C92" s="2606" t="s">
        <v>164</v>
      </c>
      <c r="D92" s="2606" t="s">
        <v>165</v>
      </c>
      <c r="E92" s="2606" t="s">
        <v>160</v>
      </c>
      <c r="F92" s="2606" t="s">
        <v>161</v>
      </c>
      <c r="G92" s="2606" t="s">
        <v>162</v>
      </c>
      <c r="H92" s="2606" t="s">
        <v>163</v>
      </c>
      <c r="I92" s="2606" t="s">
        <v>1177</v>
      </c>
      <c r="J92" s="2606" t="s">
        <v>1178</v>
      </c>
      <c r="K92" s="2606" t="s">
        <v>1179</v>
      </c>
      <c r="L92" s="2606" t="s">
        <v>1180</v>
      </c>
      <c r="M92" s="2606" t="s">
        <v>1181</v>
      </c>
      <c r="N92" s="2606" t="s">
        <v>1182</v>
      </c>
    </row>
    <row r="93" spans="1:37">
      <c r="A93" s="3781"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82"/>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82"/>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82"/>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82"/>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82"/>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82"/>
      <c r="B99" s="1588" t="s">
        <v>1764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83"/>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81" t="s">
        <v>1765</v>
      </c>
      <c r="B101" s="1592" t="s">
        <v>93</v>
      </c>
      <c r="C101" s="1593">
        <f>$G$3</f>
        <v>0.31</v>
      </c>
      <c r="D101" s="1593">
        <f t="shared" ref="D101:N101" si="31">$G$3</f>
        <v>0.31</v>
      </c>
      <c r="E101" s="1593">
        <f t="shared" si="31"/>
        <v>0.31</v>
      </c>
      <c r="F101" s="1593">
        <f t="shared" si="31"/>
        <v>0.31</v>
      </c>
      <c r="G101" s="1593">
        <f t="shared" si="31"/>
        <v>0.31</v>
      </c>
      <c r="H101" s="1593">
        <f t="shared" si="31"/>
        <v>0.31</v>
      </c>
      <c r="I101" s="1593">
        <f t="shared" si="31"/>
        <v>0.31</v>
      </c>
      <c r="J101" s="1593">
        <f t="shared" si="31"/>
        <v>0.31</v>
      </c>
      <c r="K101" s="1593">
        <f t="shared" si="31"/>
        <v>0.31</v>
      </c>
      <c r="L101" s="1593">
        <f t="shared" si="31"/>
        <v>0.31</v>
      </c>
      <c r="M101" s="1593">
        <f t="shared" si="31"/>
        <v>0.31</v>
      </c>
      <c r="N101" s="1593">
        <f t="shared" si="31"/>
        <v>0.31</v>
      </c>
    </row>
    <row r="102" spans="1:14">
      <c r="A102" s="3782"/>
      <c r="B102" s="1588">
        <v>1</v>
      </c>
      <c r="C102" s="1589">
        <f>1.9362/C101</f>
        <v>6.2458064516129026</v>
      </c>
      <c r="D102" s="1589">
        <f>1.9362/D101</f>
        <v>6.2458064516129026</v>
      </c>
      <c r="E102" s="1589">
        <f>1.8629/E101</f>
        <v>6.0093548387096778</v>
      </c>
      <c r="F102" s="1589">
        <f>1.8629/F101</f>
        <v>6.0093548387096778</v>
      </c>
      <c r="G102" s="1589">
        <f>1.8629/G101</f>
        <v>6.0093548387096778</v>
      </c>
      <c r="H102" s="1589">
        <f>1.8629/H101</f>
        <v>6.0093548387096778</v>
      </c>
      <c r="I102" s="1589">
        <f>1.8629/I101</f>
        <v>6.0093548387096778</v>
      </c>
      <c r="J102" s="1589">
        <f>1.942/J101</f>
        <v>6.2645161290322582</v>
      </c>
      <c r="K102" s="1589">
        <f>1.942/K101</f>
        <v>6.2645161290322582</v>
      </c>
      <c r="L102" s="1589">
        <f>1.942/L101</f>
        <v>6.2645161290322582</v>
      </c>
      <c r="M102" s="1589">
        <f>1.942/M101</f>
        <v>6.2645161290322582</v>
      </c>
      <c r="N102" s="1589">
        <f>1.942/N101</f>
        <v>6.2645161290322582</v>
      </c>
    </row>
    <row r="103" spans="1:14">
      <c r="A103" s="3782"/>
      <c r="B103" s="1588">
        <v>2</v>
      </c>
      <c r="C103" s="1589">
        <f>1.4198/C101</f>
        <v>4.58</v>
      </c>
      <c r="D103" s="1589">
        <f>1.4198/D101</f>
        <v>4.58</v>
      </c>
      <c r="E103" s="1589">
        <f>1.3372/E101</f>
        <v>4.3135483870967741</v>
      </c>
      <c r="F103" s="1589">
        <f>1.3372/F101</f>
        <v>4.3135483870967741</v>
      </c>
      <c r="G103" s="1589">
        <f>1.3372/G101</f>
        <v>4.3135483870967741</v>
      </c>
      <c r="H103" s="1589">
        <f>1.3372/H101</f>
        <v>4.3135483870967741</v>
      </c>
      <c r="I103" s="1589">
        <f>1.3372/I101</f>
        <v>4.3135483870967741</v>
      </c>
      <c r="J103" s="1589">
        <f>1.2799/J101</f>
        <v>4.128709677419355</v>
      </c>
      <c r="K103" s="1589">
        <f>1.2799/K101</f>
        <v>4.128709677419355</v>
      </c>
      <c r="L103" s="1589">
        <f>1.2799/L101</f>
        <v>4.128709677419355</v>
      </c>
      <c r="M103" s="1589">
        <f>1.2799/M101</f>
        <v>4.128709677419355</v>
      </c>
      <c r="N103" s="1589">
        <f>1.2799/N101</f>
        <v>4.128709677419355</v>
      </c>
    </row>
    <row r="104" spans="1:14">
      <c r="A104" s="3782"/>
      <c r="B104" s="1588">
        <v>3</v>
      </c>
      <c r="C104" s="1589">
        <f>1.1594/C101</f>
        <v>3.7399999999999998</v>
      </c>
      <c r="D104" s="1589">
        <f>1.1594/D101</f>
        <v>3.7399999999999998</v>
      </c>
      <c r="E104" s="1589">
        <f>1.0788/E101</f>
        <v>3.48</v>
      </c>
      <c r="F104" s="1589">
        <f>1.0788/F101</f>
        <v>3.48</v>
      </c>
      <c r="G104" s="1589">
        <f>1.0788/G101</f>
        <v>3.48</v>
      </c>
      <c r="H104" s="1589">
        <f>1.0788/H101</f>
        <v>3.48</v>
      </c>
      <c r="I104" s="1589">
        <f>1.0788/I101</f>
        <v>3.48</v>
      </c>
      <c r="J104" s="1589">
        <f>1.0072/J101</f>
        <v>3.2490322580645166</v>
      </c>
      <c r="K104" s="1589">
        <f>1.0072/K101</f>
        <v>3.2490322580645166</v>
      </c>
      <c r="L104" s="1589">
        <f>1.0072/L101</f>
        <v>3.2490322580645166</v>
      </c>
      <c r="M104" s="1589">
        <f>1.0072/M101</f>
        <v>3.2490322580645166</v>
      </c>
      <c r="N104" s="1589">
        <f>1.0072/N101</f>
        <v>3.2490322580645166</v>
      </c>
    </row>
    <row r="105" spans="1:14">
      <c r="A105" s="3782"/>
      <c r="B105" s="1588">
        <v>4</v>
      </c>
      <c r="C105" s="1589">
        <f>0.9622/C101</f>
        <v>3.1038709677419356</v>
      </c>
      <c r="D105" s="1589">
        <f>0.9622/D101</f>
        <v>3.1038709677419356</v>
      </c>
      <c r="E105" s="1589">
        <f>0.8656/E101</f>
        <v>2.7922580645161292</v>
      </c>
      <c r="F105" s="1589">
        <f>0.8656/F101</f>
        <v>2.7922580645161292</v>
      </c>
      <c r="G105" s="1589">
        <f>0.8656/G101</f>
        <v>2.7922580645161292</v>
      </c>
      <c r="H105" s="1589">
        <f>0.8656/H101</f>
        <v>2.7922580645161292</v>
      </c>
      <c r="I105" s="1589">
        <f>0.8656/I101</f>
        <v>2.7922580645161292</v>
      </c>
      <c r="J105" s="1589">
        <f>0.7525/J101</f>
        <v>2.4274193548387095</v>
      </c>
      <c r="K105" s="1589">
        <f>0.7525/K101</f>
        <v>2.4274193548387095</v>
      </c>
      <c r="L105" s="1589">
        <f>0.7525/L101</f>
        <v>2.4274193548387095</v>
      </c>
      <c r="M105" s="1589">
        <f>0.7525/M101</f>
        <v>2.4274193548387095</v>
      </c>
      <c r="N105" s="1589">
        <f>0.7525/N101</f>
        <v>2.4274193548387095</v>
      </c>
    </row>
    <row r="106" spans="1:14">
      <c r="A106" s="3782"/>
      <c r="B106" s="1588">
        <v>5</v>
      </c>
      <c r="C106" s="1589">
        <f>0.8417/C101</f>
        <v>2.7151612903225808</v>
      </c>
      <c r="D106" s="1589">
        <f>0.8417/D101</f>
        <v>2.7151612903225808</v>
      </c>
      <c r="E106" s="1589">
        <f>0.7371/E101</f>
        <v>2.3777419354838707</v>
      </c>
      <c r="F106" s="1589">
        <f>0.7371/F101</f>
        <v>2.3777419354838707</v>
      </c>
      <c r="G106" s="1589">
        <f>0.7371/G101</f>
        <v>2.3777419354838707</v>
      </c>
      <c r="H106" s="1589">
        <f>0.7371/H101</f>
        <v>2.3777419354838707</v>
      </c>
      <c r="I106" s="1589">
        <f>0.7371/I101</f>
        <v>2.3777419354838707</v>
      </c>
      <c r="J106" s="1589">
        <f>0.5659/J101</f>
        <v>1.8254838709677419</v>
      </c>
      <c r="K106" s="1589">
        <f>0.5659/K101</f>
        <v>1.8254838709677419</v>
      </c>
      <c r="L106" s="1589">
        <f>0.5659/L101</f>
        <v>1.8254838709677419</v>
      </c>
      <c r="M106" s="1589">
        <f>0.5659/M101</f>
        <v>1.8254838709677419</v>
      </c>
      <c r="N106" s="1589">
        <f>0.5659/N101</f>
        <v>1.8254838709677419</v>
      </c>
    </row>
    <row r="107" spans="1:14">
      <c r="A107" s="3782"/>
      <c r="B107" s="1588">
        <v>6</v>
      </c>
      <c r="C107" s="1589">
        <f>0.7608/C101</f>
        <v>2.4541935483870967</v>
      </c>
      <c r="D107" s="1589">
        <f>0.7608/D101</f>
        <v>2.4541935483870967</v>
      </c>
      <c r="E107" s="1589">
        <f>0.6482/E101</f>
        <v>2.0909677419354837</v>
      </c>
      <c r="F107" s="1589">
        <f>0.6482/F101</f>
        <v>2.0909677419354837</v>
      </c>
      <c r="G107" s="1589">
        <f>0.6482/G101</f>
        <v>2.0909677419354837</v>
      </c>
      <c r="H107" s="1589">
        <f>0.6482/H101</f>
        <v>2.0909677419354837</v>
      </c>
      <c r="I107" s="1589">
        <f>0.6482/I101</f>
        <v>2.0909677419354837</v>
      </c>
      <c r="J107" s="1589">
        <f>0.4525/J101</f>
        <v>1.4596774193548387</v>
      </c>
      <c r="K107" s="1589">
        <f>0.4525/K101</f>
        <v>1.4596774193548387</v>
      </c>
      <c r="L107" s="1589">
        <f>0.4525/L101</f>
        <v>1.4596774193548387</v>
      </c>
      <c r="M107" s="1589">
        <f>0.4525/M101</f>
        <v>1.4596774193548387</v>
      </c>
      <c r="N107" s="1589">
        <f>0.4525/N101</f>
        <v>1.4596774193548387</v>
      </c>
    </row>
    <row r="108" spans="1:14">
      <c r="A108" s="3782"/>
      <c r="B108" s="3784" t="s">
        <v>1767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83"/>
      <c r="B109" s="3785"/>
      <c r="C109" s="1591">
        <f>(-0.163*(C108^2)-0.59*C108+7617)*(10^(-4))/C101</f>
        <v>2.4570967741935483</v>
      </c>
      <c r="D109" s="1591">
        <f>(-0.163*(D108^2)-0.59*D108+7617)*(10^(-4))/D101</f>
        <v>2.4570967741935483</v>
      </c>
      <c r="E109" s="1591">
        <f>(-0.161*(E108^2)-7.509*E108+6533)*(10^(-4))/E101</f>
        <v>2.1074193548387097</v>
      </c>
      <c r="F109" s="1591">
        <f>(-0.161*(F108^2)-7.509*F108+6533)*(10^(-4))/F101</f>
        <v>2.1074193548387097</v>
      </c>
      <c r="G109" s="1591">
        <f>(-0.161*(G108^2)-7.509*G108+6533)*(10^(-4))/G101</f>
        <v>2.1074193548387097</v>
      </c>
      <c r="H109" s="1591">
        <f>(-0.161*(H108^2)-7.509*H108+6533)*(10^(-4))/H101</f>
        <v>2.1074193548387097</v>
      </c>
      <c r="I109" s="1591">
        <f>(-0.161*(I108^2)-7.509*I108+6533)*(10^(-4))/I101</f>
        <v>2.1074193548387097</v>
      </c>
      <c r="J109" s="1591">
        <f>(-0.214*(J108^2)-21.991*J108+4665)*(10^(-4))/J101</f>
        <v>1.5048387096774194</v>
      </c>
      <c r="K109" s="1591">
        <f>(-0.214*(K108^2)-21.991*K108+4665)*(10^(-4))/K101</f>
        <v>1.5048387096774194</v>
      </c>
      <c r="L109" s="1591">
        <f>(-0.214*(L108^2)-21.991*L108+4665)*(10^(-4))/L101</f>
        <v>1.5048387096774194</v>
      </c>
      <c r="M109" s="1591">
        <f>(-0.214*(M108^2)-21.991*M108+4665)*(10^(-4))/M101</f>
        <v>1.5048387096774194</v>
      </c>
      <c r="N109" s="1591">
        <f>(-0.214*(N108^2)-21.991*N108+4665)*(10^(-4))/N101</f>
        <v>1.5048387096774194</v>
      </c>
    </row>
    <row r="110" spans="1:14">
      <c r="A110" s="3779" t="s">
        <v>1768</v>
      </c>
      <c r="B110" s="3779"/>
      <c r="C110" s="3779"/>
      <c r="D110" s="3779"/>
      <c r="E110" s="3779"/>
      <c r="F110" s="3779"/>
      <c r="G110" s="3779"/>
      <c r="H110" s="3779"/>
      <c r="I110" s="3779"/>
      <c r="J110" s="3779"/>
      <c r="K110" s="2605"/>
      <c r="L110" s="2605"/>
      <c r="M110" s="2605"/>
      <c r="N110" s="2605"/>
    </row>
    <row r="112" spans="1:14" ht="12.75" thickBot="1"/>
    <row r="113" spans="1:13" ht="25.5" thickBot="1">
      <c r="A113" s="1601" t="s">
        <v>1770</v>
      </c>
      <c r="B113" s="2608">
        <f>G3</f>
        <v>0.31</v>
      </c>
      <c r="C113" s="1602" t="s">
        <v>1771</v>
      </c>
      <c r="D113" s="1603">
        <f>SUMPRODUCT((A115:A118=F113)*(B114:M114=H113)*B115:M118)</f>
        <v>0.7651</v>
      </c>
      <c r="E113" s="1604" t="s">
        <v>68</v>
      </c>
      <c r="F113" s="1605" t="str">
        <f>E2</f>
        <v>办公</v>
      </c>
      <c r="G113" s="1604" t="s">
        <v>1560</v>
      </c>
      <c r="H113" s="1605" t="str">
        <f>G2</f>
        <v>八级</v>
      </c>
      <c r="I113" s="1604"/>
      <c r="J113" s="1596"/>
      <c r="K113" s="1596"/>
      <c r="L113" s="1596"/>
      <c r="M113" s="1596"/>
    </row>
    <row r="114" spans="1:13" ht="12.75">
      <c r="A114" s="1608"/>
      <c r="B114" s="1609" t="s">
        <v>164</v>
      </c>
      <c r="C114" s="1609" t="s">
        <v>165</v>
      </c>
      <c r="D114" s="1609" t="s">
        <v>160</v>
      </c>
      <c r="E114" s="1610" t="s">
        <v>161</v>
      </c>
      <c r="F114" s="1610" t="s">
        <v>162</v>
      </c>
      <c r="G114" s="1610" t="s">
        <v>163</v>
      </c>
      <c r="H114" s="1611" t="s">
        <v>1177</v>
      </c>
      <c r="I114" s="1611" t="s">
        <v>1178</v>
      </c>
      <c r="J114" s="1612" t="s">
        <v>1179</v>
      </c>
      <c r="K114" s="1612" t="s">
        <v>1180</v>
      </c>
      <c r="L114" s="1612" t="s">
        <v>1181</v>
      </c>
      <c r="M114" s="1613" t="s">
        <v>1182</v>
      </c>
    </row>
    <row r="115" spans="1:13" ht="12.75">
      <c r="A115" s="1614" t="s">
        <v>1772</v>
      </c>
      <c r="B115" s="1615">
        <f>ROUND(0.9335-0.0094*B113,4)</f>
        <v>0.93059999999999998</v>
      </c>
      <c r="C115" s="1615">
        <f>B115</f>
        <v>0.93059999999999998</v>
      </c>
      <c r="D115" s="1615">
        <f>ROUND(0.8331-0.0109*B113,4)</f>
        <v>0.82969999999999999</v>
      </c>
      <c r="E115" s="1615">
        <f>D115</f>
        <v>0.82969999999999999</v>
      </c>
      <c r="F115" s="1615">
        <f>E115</f>
        <v>0.82969999999999999</v>
      </c>
      <c r="G115" s="1615">
        <f>F115</f>
        <v>0.82969999999999999</v>
      </c>
      <c r="H115" s="1615">
        <f>G115</f>
        <v>0.82969999999999999</v>
      </c>
      <c r="I115" s="1615">
        <f>ROUND(0.689-0.0155*B113,4)</f>
        <v>0.68420000000000003</v>
      </c>
      <c r="J115" s="1615">
        <f t="shared" ref="J115:M118" si="33">I115</f>
        <v>0.68420000000000003</v>
      </c>
      <c r="K115" s="1615">
        <f t="shared" si="33"/>
        <v>0.68420000000000003</v>
      </c>
      <c r="L115" s="1615">
        <f t="shared" si="33"/>
        <v>0.68420000000000003</v>
      </c>
      <c r="M115" s="1616">
        <f t="shared" si="33"/>
        <v>0.68420000000000003</v>
      </c>
    </row>
    <row r="116" spans="1:13" ht="12.75">
      <c r="A116" s="1614" t="s">
        <v>1773</v>
      </c>
      <c r="B116" s="1615">
        <f>ROUND(0.949-0.012*B113,4)</f>
        <v>0.94530000000000003</v>
      </c>
      <c r="C116" s="1615">
        <f>B116</f>
        <v>0.94530000000000003</v>
      </c>
      <c r="D116" s="1615">
        <f>ROUND(0.8567-0.013*B113,4)</f>
        <v>0.85270000000000001</v>
      </c>
      <c r="E116" s="1615">
        <f t="shared" ref="E116:H117" si="34">D116</f>
        <v>0.85270000000000001</v>
      </c>
      <c r="F116" s="1615">
        <f t="shared" si="34"/>
        <v>0.85270000000000001</v>
      </c>
      <c r="G116" s="1615">
        <f t="shared" si="34"/>
        <v>0.85270000000000001</v>
      </c>
      <c r="H116" s="1615">
        <f t="shared" si="34"/>
        <v>0.85270000000000001</v>
      </c>
      <c r="I116" s="1615">
        <f>ROUND(0.7694-0.014*B113,4)</f>
        <v>0.7651</v>
      </c>
      <c r="J116" s="1615">
        <f t="shared" si="33"/>
        <v>0.7651</v>
      </c>
      <c r="K116" s="1615">
        <f t="shared" si="33"/>
        <v>0.7651</v>
      </c>
      <c r="L116" s="1615">
        <f t="shared" si="33"/>
        <v>0.7651</v>
      </c>
      <c r="M116" s="1616">
        <f t="shared" si="33"/>
        <v>0.7651</v>
      </c>
    </row>
    <row r="117" spans="1:13" ht="12.75">
      <c r="A117" s="1617" t="s">
        <v>977</v>
      </c>
      <c r="B117" s="1615">
        <f>ROUND(0.8808-0.006*B113,4)</f>
        <v>0.87890000000000001</v>
      </c>
      <c r="C117" s="1615">
        <f>B117</f>
        <v>0.87890000000000001</v>
      </c>
      <c r="D117" s="1615">
        <f>ROUND(0.8748-0.008*B113,4)</f>
        <v>0.87229999999999996</v>
      </c>
      <c r="E117" s="1615">
        <f t="shared" si="34"/>
        <v>0.87229999999999996</v>
      </c>
      <c r="F117" s="1615">
        <f t="shared" si="34"/>
        <v>0.87229999999999996</v>
      </c>
      <c r="G117" s="1615">
        <f t="shared" si="34"/>
        <v>0.87229999999999996</v>
      </c>
      <c r="H117" s="1615">
        <f t="shared" si="34"/>
        <v>0.87229999999999996</v>
      </c>
      <c r="I117" s="1615">
        <f>ROUND(0.7412-0.0095*B113,4)</f>
        <v>0.73829999999999996</v>
      </c>
      <c r="J117" s="1615">
        <f t="shared" si="33"/>
        <v>0.73829999999999996</v>
      </c>
      <c r="K117" s="1615">
        <f t="shared" si="33"/>
        <v>0.73829999999999996</v>
      </c>
      <c r="L117" s="1615">
        <f t="shared" si="33"/>
        <v>0.73829999999999996</v>
      </c>
      <c r="M117" s="1616">
        <f t="shared" si="33"/>
        <v>0.73829999999999996</v>
      </c>
    </row>
    <row r="118" spans="1:13" ht="13.5" thickBot="1">
      <c r="A118" s="1121" t="s">
        <v>1774</v>
      </c>
      <c r="B118" s="1618">
        <f>ROUND(0.7275-0.01*B113,4)</f>
        <v>0.72440000000000004</v>
      </c>
      <c r="C118" s="1618">
        <f>B118</f>
        <v>0.72440000000000004</v>
      </c>
      <c r="D118" s="1618">
        <f>ROUND(0.7043-0.012*B113,4)</f>
        <v>0.7006</v>
      </c>
      <c r="E118" s="1618">
        <f>D118</f>
        <v>0.7006</v>
      </c>
      <c r="F118" s="1618">
        <f>E118</f>
        <v>0.7006</v>
      </c>
      <c r="G118" s="1618">
        <f>ROUND(0.6299-0.0122*B113,4)</f>
        <v>0.62609999999999999</v>
      </c>
      <c r="H118" s="1618">
        <f>G118</f>
        <v>0.62609999999999999</v>
      </c>
      <c r="I118" s="1618">
        <f>ROUND(0.5667-0.0136*B113,4)</f>
        <v>0.5625</v>
      </c>
      <c r="J118" s="1618">
        <f t="shared" si="33"/>
        <v>0.5625</v>
      </c>
      <c r="K118" s="1618">
        <f t="shared" si="33"/>
        <v>0.5625</v>
      </c>
      <c r="L118" s="1618">
        <f t="shared" si="33"/>
        <v>0.5625</v>
      </c>
      <c r="M118" s="1619">
        <f t="shared" si="33"/>
        <v>0.5625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49" t="s">
        <v>1870</v>
      </c>
      <c r="D17" s="1569"/>
      <c r="E17" s="1497" t="s">
        <v>1573</v>
      </c>
      <c r="F17" s="1570"/>
      <c r="G17" s="1570"/>
    </row>
    <row r="18" spans="1:9" s="1576" customFormat="1" ht="19.5" customHeight="1">
      <c r="A18" s="3780" t="s">
        <v>1197</v>
      </c>
      <c r="B18" s="1571" t="s">
        <v>1574</v>
      </c>
      <c r="C18" s="1572" t="s">
        <v>1575</v>
      </c>
      <c r="D18" s="1573"/>
      <c r="E18" s="1571">
        <v>1</v>
      </c>
      <c r="F18" s="1574" t="s">
        <v>1576</v>
      </c>
      <c r="G18" s="1575"/>
      <c r="H18" s="1567"/>
      <c r="I18" s="1567"/>
    </row>
    <row r="19" spans="1:9" s="1576" customFormat="1" ht="19.5" customHeight="1">
      <c r="A19" s="3780"/>
      <c r="B19" s="3780" t="s">
        <v>1577</v>
      </c>
      <c r="C19" s="1572" t="s">
        <v>1578</v>
      </c>
      <c r="D19" s="1573"/>
      <c r="E19" s="1571">
        <v>0.9</v>
      </c>
      <c r="F19" s="1574" t="s">
        <v>1579</v>
      </c>
      <c r="G19" s="1575"/>
      <c r="H19" s="1567"/>
      <c r="I19" s="1567"/>
    </row>
    <row r="20" spans="1:9" s="1576" customFormat="1" ht="19.5" customHeight="1">
      <c r="A20" s="3780"/>
      <c r="B20" s="3780"/>
      <c r="C20" s="1572" t="s">
        <v>1580</v>
      </c>
      <c r="D20" s="1573"/>
      <c r="E20" s="1571">
        <v>1.1000000000000001</v>
      </c>
      <c r="F20" s="1574" t="s">
        <v>1581</v>
      </c>
      <c r="G20" s="1575"/>
      <c r="H20" s="1567"/>
      <c r="I20" s="1567"/>
    </row>
    <row r="21" spans="1:9" s="1576" customFormat="1" ht="19.5" customHeight="1">
      <c r="A21" s="3780"/>
      <c r="B21" s="3780"/>
      <c r="C21" s="1572" t="s">
        <v>1582</v>
      </c>
      <c r="D21" s="1573"/>
      <c r="E21" s="1571">
        <v>0.8</v>
      </c>
      <c r="F21" s="1574" t="s">
        <v>1583</v>
      </c>
      <c r="G21" s="1575"/>
      <c r="H21" s="1567"/>
      <c r="I21" s="1567"/>
    </row>
    <row r="22" spans="1:9" s="1576" customFormat="1" ht="19.5" customHeight="1">
      <c r="A22" s="3780"/>
      <c r="B22" s="3780"/>
      <c r="C22" s="1572" t="s">
        <v>1584</v>
      </c>
      <c r="D22" s="1573"/>
      <c r="E22" s="1571">
        <v>0.5</v>
      </c>
      <c r="F22" s="1574"/>
      <c r="G22" s="1575"/>
      <c r="H22" s="1567"/>
      <c r="I22" s="1567"/>
    </row>
    <row r="23" spans="1:9" s="1576" customFormat="1" ht="19.5" customHeight="1">
      <c r="A23" s="3780" t="s">
        <v>1198</v>
      </c>
      <c r="B23" s="1571" t="s">
        <v>1574</v>
      </c>
      <c r="C23" s="1572" t="s">
        <v>1585</v>
      </c>
      <c r="D23" s="1573"/>
      <c r="E23" s="1571">
        <v>1</v>
      </c>
      <c r="F23" s="1574" t="s">
        <v>1586</v>
      </c>
      <c r="G23" s="1575"/>
      <c r="H23" s="1567"/>
      <c r="I23" s="1567"/>
    </row>
    <row r="24" spans="1:9" s="1576" customFormat="1" ht="19.5" customHeight="1">
      <c r="A24" s="3780"/>
      <c r="B24" s="3780" t="s">
        <v>1577</v>
      </c>
      <c r="C24" s="1572" t="s">
        <v>1587</v>
      </c>
      <c r="D24" s="1573"/>
      <c r="E24" s="1571">
        <v>0.5</v>
      </c>
      <c r="F24" s="1574"/>
      <c r="G24" s="1575"/>
      <c r="H24" s="1567"/>
      <c r="I24" s="1567"/>
    </row>
    <row r="25" spans="1:9" s="1576" customFormat="1" ht="19.5" customHeight="1">
      <c r="A25" s="3780"/>
      <c r="B25" s="3780"/>
      <c r="C25" s="1572" t="s">
        <v>1588</v>
      </c>
      <c r="D25" s="1573"/>
      <c r="E25" s="1571">
        <v>1.1000000000000001</v>
      </c>
      <c r="F25" s="1574"/>
      <c r="G25" s="1575"/>
      <c r="H25" s="1567"/>
      <c r="I25" s="1567"/>
    </row>
    <row r="26" spans="1:9" s="1576" customFormat="1" ht="19.5" customHeight="1">
      <c r="A26" s="3780"/>
      <c r="B26" s="3780"/>
      <c r="C26" s="1572" t="s">
        <v>1589</v>
      </c>
      <c r="D26" s="1573"/>
      <c r="E26" s="1571">
        <v>1.1000000000000001</v>
      </c>
      <c r="F26" s="1574"/>
      <c r="G26" s="1575"/>
      <c r="H26" s="1567"/>
      <c r="I26" s="1567"/>
    </row>
    <row r="27" spans="1:9" s="1576" customFormat="1" ht="19.5" customHeight="1">
      <c r="A27" s="3780"/>
      <c r="B27" s="3780"/>
      <c r="C27" s="1572" t="s">
        <v>1590</v>
      </c>
      <c r="D27" s="1573"/>
      <c r="E27" s="1571">
        <v>0.9</v>
      </c>
      <c r="F27" s="1574" t="s">
        <v>1591</v>
      </c>
      <c r="G27" s="1575"/>
      <c r="H27" s="1567"/>
      <c r="I27" s="1567"/>
    </row>
    <row r="28" spans="1:9" s="1576" customFormat="1" ht="19.5" customHeight="1">
      <c r="A28" s="3780"/>
      <c r="B28" s="3780"/>
      <c r="C28" s="1572" t="s">
        <v>1592</v>
      </c>
      <c r="D28" s="1573"/>
      <c r="E28" s="1571">
        <v>0.9</v>
      </c>
      <c r="F28" s="1574" t="s">
        <v>1593</v>
      </c>
      <c r="G28" s="1575"/>
      <c r="H28" s="1567"/>
      <c r="I28" s="1567"/>
    </row>
    <row r="29" spans="1:9" s="1576" customFormat="1" ht="19.5" customHeight="1">
      <c r="A29" s="3780"/>
      <c r="B29" s="3780"/>
      <c r="C29" s="1572" t="s">
        <v>1594</v>
      </c>
      <c r="D29" s="1573"/>
      <c r="E29" s="1571">
        <v>0.9</v>
      </c>
      <c r="F29" s="1574" t="s">
        <v>1595</v>
      </c>
      <c r="G29" s="1575"/>
      <c r="H29" s="1567"/>
      <c r="I29" s="1567"/>
    </row>
    <row r="30" spans="1:9" s="1576" customFormat="1" ht="19.5" customHeight="1">
      <c r="A30" s="3780"/>
      <c r="B30" s="3780"/>
      <c r="C30" s="1572" t="s">
        <v>1596</v>
      </c>
      <c r="D30" s="1573"/>
      <c r="E30" s="1571">
        <v>0.9</v>
      </c>
      <c r="F30" s="1574" t="s">
        <v>1597</v>
      </c>
      <c r="G30" s="1575"/>
      <c r="H30" s="1567"/>
      <c r="I30" s="1567"/>
    </row>
    <row r="31" spans="1:9" s="1576" customFormat="1" ht="19.5" customHeight="1">
      <c r="A31" s="3780"/>
      <c r="B31" s="3780"/>
      <c r="C31" s="1572" t="s">
        <v>1598</v>
      </c>
      <c r="D31" s="1573"/>
      <c r="E31" s="1571">
        <v>0.8</v>
      </c>
      <c r="F31" s="1574" t="s">
        <v>1599</v>
      </c>
      <c r="G31" s="1575"/>
      <c r="H31" s="1567"/>
      <c r="I31" s="1567"/>
    </row>
    <row r="32" spans="1:9" s="1576" customFormat="1" ht="19.5" customHeight="1">
      <c r="A32" s="3780"/>
      <c r="B32" s="3780"/>
      <c r="C32" s="1572" t="s">
        <v>1600</v>
      </c>
      <c r="D32" s="1573"/>
      <c r="E32" s="1571">
        <v>0.8</v>
      </c>
      <c r="F32" s="1574" t="s">
        <v>1601</v>
      </c>
      <c r="G32" s="1575"/>
      <c r="H32" s="1567"/>
      <c r="I32" s="1567"/>
    </row>
    <row r="33" spans="1:9" s="1576" customFormat="1" ht="19.5" customHeight="1">
      <c r="A33" s="3780" t="s">
        <v>1199</v>
      </c>
      <c r="B33" s="1571" t="s">
        <v>1574</v>
      </c>
      <c r="C33" s="1572" t="s">
        <v>1602</v>
      </c>
      <c r="D33" s="1573"/>
      <c r="E33" s="1571">
        <v>1</v>
      </c>
      <c r="F33" s="1574" t="s">
        <v>1603</v>
      </c>
      <c r="G33" s="1575"/>
      <c r="H33" s="1567"/>
      <c r="I33" s="1567"/>
    </row>
    <row r="34" spans="1:9" s="1576" customFormat="1" ht="19.5" customHeight="1">
      <c r="A34" s="3780"/>
      <c r="B34" s="1571" t="s">
        <v>1577</v>
      </c>
      <c r="C34" s="1572" t="s">
        <v>1604</v>
      </c>
      <c r="D34" s="1573"/>
      <c r="E34" s="1571">
        <v>1.5</v>
      </c>
      <c r="F34" s="1574" t="s">
        <v>1605</v>
      </c>
      <c r="G34" s="1575"/>
      <c r="H34" s="1567"/>
      <c r="I34" s="1567"/>
    </row>
    <row r="35" spans="1:9" s="1576" customFormat="1" ht="19.5" customHeight="1">
      <c r="A35" s="3780" t="s">
        <v>1200</v>
      </c>
      <c r="B35" s="1571" t="s">
        <v>1574</v>
      </c>
      <c r="C35" s="1572" t="s">
        <v>1606</v>
      </c>
      <c r="D35" s="1573"/>
      <c r="E35" s="1571">
        <v>1</v>
      </c>
      <c r="F35" s="1574" t="s">
        <v>1607</v>
      </c>
      <c r="G35" s="1575"/>
      <c r="H35" s="1567"/>
      <c r="I35" s="1567"/>
    </row>
    <row r="36" spans="1:9" s="1576" customFormat="1" ht="19.5" customHeight="1">
      <c r="A36" s="3780"/>
      <c r="B36" s="3780" t="s">
        <v>1577</v>
      </c>
      <c r="C36" s="1572" t="s">
        <v>1608</v>
      </c>
      <c r="D36" s="1573"/>
      <c r="E36" s="1571">
        <v>1</v>
      </c>
      <c r="F36" s="1574" t="s">
        <v>1609</v>
      </c>
      <c r="G36" s="1575"/>
      <c r="H36" s="1567"/>
      <c r="I36" s="1567"/>
    </row>
    <row r="37" spans="1:9" s="1576" customFormat="1" ht="19.5" customHeight="1">
      <c r="A37" s="3780"/>
      <c r="B37" s="3780"/>
      <c r="C37" s="1572" t="s">
        <v>1610</v>
      </c>
      <c r="D37" s="1573"/>
      <c r="E37" s="1571">
        <v>1.5</v>
      </c>
      <c r="F37" s="1574" t="s">
        <v>1611</v>
      </c>
      <c r="G37" s="1575"/>
      <c r="H37" s="1567"/>
      <c r="I37" s="1567"/>
    </row>
    <row r="38" spans="1:9" s="1576" customFormat="1" ht="19.5" customHeight="1">
      <c r="A38" s="3780"/>
      <c r="B38" s="3780"/>
      <c r="C38" s="1572" t="s">
        <v>1612</v>
      </c>
      <c r="D38" s="1573"/>
      <c r="E38" s="1571">
        <v>1</v>
      </c>
      <c r="F38" s="1574" t="s">
        <v>1613</v>
      </c>
      <c r="G38" s="1575"/>
      <c r="H38" s="1567"/>
      <c r="I38" s="1567"/>
    </row>
    <row r="39" spans="1:9" s="1576" customFormat="1" ht="19.5" customHeight="1">
      <c r="A39" s="3780"/>
      <c r="B39" s="3780"/>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6"/>
      <c r="B60" s="1766"/>
      <c r="C60" s="1766" t="s">
        <v>1759</v>
      </c>
      <c r="D60" s="1766"/>
      <c r="E60" s="1584" t="s">
        <v>23</v>
      </c>
      <c r="F60" s="1766" t="s">
        <v>23</v>
      </c>
    </row>
    <row r="61" spans="1:8" s="1567" customFormat="1" ht="24">
      <c r="A61" s="1571">
        <v>1</v>
      </c>
      <c r="B61" s="3780" t="s">
        <v>1628</v>
      </c>
      <c r="C61" s="1497" t="s">
        <v>1629</v>
      </c>
      <c r="D61" s="1497" t="s">
        <v>1630</v>
      </c>
      <c r="E61" s="1584">
        <v>0.5</v>
      </c>
      <c r="F61" s="1571">
        <v>80</v>
      </c>
    </row>
    <row r="62" spans="1:8" s="1567" customFormat="1" ht="24">
      <c r="A62" s="1571">
        <v>2</v>
      </c>
      <c r="B62" s="3780"/>
      <c r="C62" s="1497" t="s">
        <v>1631</v>
      </c>
      <c r="D62" s="1497" t="s">
        <v>1632</v>
      </c>
      <c r="E62" s="1584">
        <v>0.5</v>
      </c>
      <c r="F62" s="1571">
        <v>80</v>
      </c>
    </row>
    <row r="63" spans="1:8" s="1567" customFormat="1" ht="36">
      <c r="A63" s="1571">
        <v>3</v>
      </c>
      <c r="B63" s="3780"/>
      <c r="C63" s="1497" t="s">
        <v>1633</v>
      </c>
      <c r="D63" s="1497" t="s">
        <v>1634</v>
      </c>
      <c r="E63" s="1584">
        <v>0.5</v>
      </c>
      <c r="F63" s="1571">
        <v>80</v>
      </c>
    </row>
    <row r="64" spans="1:8" s="1567" customFormat="1" ht="36">
      <c r="A64" s="1571">
        <v>4</v>
      </c>
      <c r="B64" s="3780"/>
      <c r="C64" s="1497" t="s">
        <v>1635</v>
      </c>
      <c r="D64" s="1497" t="s">
        <v>1636</v>
      </c>
      <c r="E64" s="1584">
        <v>0.4</v>
      </c>
      <c r="F64" s="1571">
        <v>60</v>
      </c>
    </row>
    <row r="65" spans="1:6" s="1567" customFormat="1" ht="36">
      <c r="A65" s="1571">
        <v>5</v>
      </c>
      <c r="B65" s="3780"/>
      <c r="C65" s="1497" t="s">
        <v>1637</v>
      </c>
      <c r="D65" s="1497" t="s">
        <v>1638</v>
      </c>
      <c r="E65" s="1584">
        <v>0.2</v>
      </c>
      <c r="F65" s="1571">
        <v>30</v>
      </c>
    </row>
    <row r="66" spans="1:6" s="1567" customFormat="1" ht="36">
      <c r="A66" s="1571">
        <v>6</v>
      </c>
      <c r="B66" s="3780"/>
      <c r="C66" s="1497" t="s">
        <v>1639</v>
      </c>
      <c r="D66" s="1497" t="s">
        <v>1640</v>
      </c>
      <c r="E66" s="1584">
        <v>0.3</v>
      </c>
      <c r="F66" s="1571">
        <v>50</v>
      </c>
    </row>
    <row r="67" spans="1:6" s="1567" customFormat="1" ht="36">
      <c r="A67" s="1571">
        <v>7</v>
      </c>
      <c r="B67" s="3780"/>
      <c r="C67" s="1497" t="s">
        <v>1641</v>
      </c>
      <c r="D67" s="1497" t="s">
        <v>1642</v>
      </c>
      <c r="E67" s="1584">
        <v>0.2</v>
      </c>
      <c r="F67" s="1571">
        <v>30</v>
      </c>
    </row>
    <row r="68" spans="1:6" s="1567" customFormat="1" ht="36">
      <c r="A68" s="1571">
        <v>8</v>
      </c>
      <c r="B68" s="3780"/>
      <c r="C68" s="1497" t="s">
        <v>1643</v>
      </c>
      <c r="D68" s="1497" t="s">
        <v>1644</v>
      </c>
      <c r="E68" s="1584">
        <v>0.2</v>
      </c>
      <c r="F68" s="1571">
        <v>30</v>
      </c>
    </row>
    <row r="69" spans="1:6" s="1567" customFormat="1" ht="36">
      <c r="A69" s="1571">
        <v>9</v>
      </c>
      <c r="B69" s="3780"/>
      <c r="C69" s="1497" t="s">
        <v>1645</v>
      </c>
      <c r="D69" s="1497" t="s">
        <v>1646</v>
      </c>
      <c r="E69" s="1584">
        <v>0.2</v>
      </c>
      <c r="F69" s="1571">
        <v>30</v>
      </c>
    </row>
    <row r="70" spans="1:6" s="1567" customFormat="1" ht="48">
      <c r="A70" s="1571">
        <v>10</v>
      </c>
      <c r="B70" s="3780"/>
      <c r="C70" s="1497" t="s">
        <v>1647</v>
      </c>
      <c r="D70" s="1497" t="s">
        <v>1648</v>
      </c>
      <c r="E70" s="1584">
        <v>0.2</v>
      </c>
      <c r="F70" s="1571">
        <v>30</v>
      </c>
    </row>
    <row r="71" spans="1:6" s="1567" customFormat="1" ht="48">
      <c r="A71" s="1571">
        <v>11</v>
      </c>
      <c r="B71" s="3780"/>
      <c r="C71" s="1497" t="s">
        <v>1649</v>
      </c>
      <c r="D71" s="1497" t="s">
        <v>1650</v>
      </c>
      <c r="E71" s="1584">
        <v>0.2</v>
      </c>
      <c r="F71" s="1571">
        <v>30</v>
      </c>
    </row>
    <row r="72" spans="1:6" s="1567" customFormat="1" ht="36">
      <c r="A72" s="1571">
        <v>12</v>
      </c>
      <c r="B72" s="3780"/>
      <c r="C72" s="1497" t="s">
        <v>1651</v>
      </c>
      <c r="D72" s="1497" t="s">
        <v>1652</v>
      </c>
      <c r="E72" s="1584">
        <v>0.5</v>
      </c>
      <c r="F72" s="1571">
        <v>80</v>
      </c>
    </row>
    <row r="73" spans="1:6" s="1567" customFormat="1" ht="24">
      <c r="A73" s="1571">
        <v>13</v>
      </c>
      <c r="B73" s="3780"/>
      <c r="C73" s="1497" t="s">
        <v>1653</v>
      </c>
      <c r="D73" s="1497" t="s">
        <v>1654</v>
      </c>
      <c r="E73" s="1584">
        <v>0.4</v>
      </c>
      <c r="F73" s="1571">
        <v>60</v>
      </c>
    </row>
    <row r="74" spans="1:6" s="1567" customFormat="1" ht="24">
      <c r="A74" s="1571">
        <v>14</v>
      </c>
      <c r="B74" s="3780"/>
      <c r="C74" s="1497" t="s">
        <v>1655</v>
      </c>
      <c r="D74" s="1497" t="s">
        <v>1656</v>
      </c>
      <c r="E74" s="1584">
        <v>0.2</v>
      </c>
      <c r="F74" s="1571">
        <v>30</v>
      </c>
    </row>
    <row r="75" spans="1:6" s="1567" customFormat="1" ht="24">
      <c r="A75" s="1571">
        <v>15</v>
      </c>
      <c r="B75" s="3780"/>
      <c r="C75" s="1497" t="s">
        <v>1657</v>
      </c>
      <c r="D75" s="1497" t="s">
        <v>1658</v>
      </c>
      <c r="E75" s="1584">
        <v>0.2</v>
      </c>
      <c r="F75" s="1571">
        <v>30</v>
      </c>
    </row>
    <row r="76" spans="1:6" s="1567" customFormat="1" ht="24">
      <c r="A76" s="1571">
        <v>16</v>
      </c>
      <c r="B76" s="3780" t="s">
        <v>1659</v>
      </c>
      <c r="C76" s="1497" t="s">
        <v>1660</v>
      </c>
      <c r="D76" s="1497" t="s">
        <v>1661</v>
      </c>
      <c r="E76" s="1584">
        <v>0.5</v>
      </c>
      <c r="F76" s="1571">
        <v>80</v>
      </c>
    </row>
    <row r="77" spans="1:6" s="1567" customFormat="1" ht="24">
      <c r="A77" s="1571">
        <v>17</v>
      </c>
      <c r="B77" s="3780"/>
      <c r="C77" s="1497" t="s">
        <v>1662</v>
      </c>
      <c r="D77" s="1497" t="s">
        <v>1663</v>
      </c>
      <c r="E77" s="1584">
        <v>0.5</v>
      </c>
      <c r="F77" s="1571">
        <v>80</v>
      </c>
    </row>
    <row r="78" spans="1:6" s="1567" customFormat="1" ht="24">
      <c r="A78" s="1571">
        <v>18</v>
      </c>
      <c r="B78" s="3780"/>
      <c r="C78" s="1497" t="s">
        <v>1664</v>
      </c>
      <c r="D78" s="1497" t="s">
        <v>1665</v>
      </c>
      <c r="E78" s="1584">
        <v>0.2</v>
      </c>
      <c r="F78" s="1571">
        <v>30</v>
      </c>
    </row>
    <row r="79" spans="1:6" s="1567" customFormat="1" ht="24">
      <c r="A79" s="1571">
        <v>19</v>
      </c>
      <c r="B79" s="3780"/>
      <c r="C79" s="1497" t="s">
        <v>1666</v>
      </c>
      <c r="D79" s="1497" t="s">
        <v>1667</v>
      </c>
      <c r="E79" s="1584">
        <v>0.5</v>
      </c>
      <c r="F79" s="1571">
        <v>80</v>
      </c>
    </row>
    <row r="80" spans="1:6" s="1567" customFormat="1" ht="36">
      <c r="A80" s="1571">
        <v>20</v>
      </c>
      <c r="B80" s="3780"/>
      <c r="C80" s="1497" t="s">
        <v>1668</v>
      </c>
      <c r="D80" s="1497" t="s">
        <v>1669</v>
      </c>
      <c r="E80" s="1584">
        <v>0.2</v>
      </c>
      <c r="F80" s="1571">
        <v>30</v>
      </c>
    </row>
    <row r="81" spans="1:6" s="1567" customFormat="1" ht="36">
      <c r="A81" s="1571">
        <v>21</v>
      </c>
      <c r="B81" s="3780"/>
      <c r="C81" s="1497" t="s">
        <v>1670</v>
      </c>
      <c r="D81" s="1497" t="s">
        <v>1671</v>
      </c>
      <c r="E81" s="1584">
        <v>0.2</v>
      </c>
      <c r="F81" s="1571">
        <v>30</v>
      </c>
    </row>
    <row r="82" spans="1:6" s="1567" customFormat="1" ht="48">
      <c r="A82" s="1571">
        <v>22</v>
      </c>
      <c r="B82" s="3780"/>
      <c r="C82" s="1497" t="s">
        <v>1672</v>
      </c>
      <c r="D82" s="1497" t="s">
        <v>1673</v>
      </c>
      <c r="E82" s="1584">
        <v>0.2</v>
      </c>
      <c r="F82" s="1571">
        <v>30</v>
      </c>
    </row>
    <row r="83" spans="1:6" s="1567" customFormat="1" ht="48">
      <c r="A83" s="1571">
        <v>23</v>
      </c>
      <c r="B83" s="3780"/>
      <c r="C83" s="1497" t="s">
        <v>1674</v>
      </c>
      <c r="D83" s="1497" t="s">
        <v>1675</v>
      </c>
      <c r="E83" s="1584">
        <v>0.2</v>
      </c>
      <c r="F83" s="1571">
        <v>30</v>
      </c>
    </row>
    <row r="84" spans="1:6" s="1567" customFormat="1" ht="36">
      <c r="A84" s="1571">
        <v>24</v>
      </c>
      <c r="B84" s="3780"/>
      <c r="C84" s="1497" t="s">
        <v>1676</v>
      </c>
      <c r="D84" s="1497" t="s">
        <v>1677</v>
      </c>
      <c r="E84" s="1584">
        <v>0.2</v>
      </c>
      <c r="F84" s="1571">
        <v>30</v>
      </c>
    </row>
    <row r="85" spans="1:6" s="1567" customFormat="1" ht="36">
      <c r="A85" s="1571">
        <v>25</v>
      </c>
      <c r="B85" s="3780"/>
      <c r="C85" s="1497" t="s">
        <v>1678</v>
      </c>
      <c r="D85" s="1497" t="s">
        <v>1679</v>
      </c>
      <c r="E85" s="1584">
        <v>0.5</v>
      </c>
      <c r="F85" s="1571">
        <v>80</v>
      </c>
    </row>
    <row r="86" spans="1:6" s="1567" customFormat="1" ht="36">
      <c r="A86" s="1571">
        <v>26</v>
      </c>
      <c r="B86" s="3780"/>
      <c r="C86" s="1497" t="s">
        <v>1680</v>
      </c>
      <c r="D86" s="1497" t="s">
        <v>1681</v>
      </c>
      <c r="E86" s="1584">
        <v>0.2</v>
      </c>
      <c r="F86" s="1571">
        <v>30</v>
      </c>
    </row>
    <row r="87" spans="1:6" s="1567" customFormat="1" ht="36">
      <c r="A87" s="1571">
        <v>27</v>
      </c>
      <c r="B87" s="3780"/>
      <c r="C87" s="1497" t="s">
        <v>1682</v>
      </c>
      <c r="D87" s="1497" t="s">
        <v>1683</v>
      </c>
      <c r="E87" s="1584">
        <v>0.2</v>
      </c>
      <c r="F87" s="1571">
        <v>30</v>
      </c>
    </row>
    <row r="88" spans="1:6" s="1567" customFormat="1" ht="36">
      <c r="A88" s="1571">
        <v>28</v>
      </c>
      <c r="B88" s="3780"/>
      <c r="C88" s="1497" t="s">
        <v>1684</v>
      </c>
      <c r="D88" s="1497" t="s">
        <v>1685</v>
      </c>
      <c r="E88" s="1584">
        <v>0.2</v>
      </c>
      <c r="F88" s="1571">
        <v>30</v>
      </c>
    </row>
    <row r="89" spans="1:6" s="1567" customFormat="1" ht="24">
      <c r="A89" s="1571">
        <v>29</v>
      </c>
      <c r="B89" s="3780"/>
      <c r="C89" s="1497" t="s">
        <v>1686</v>
      </c>
      <c r="D89" s="1497" t="s">
        <v>1687</v>
      </c>
      <c r="E89" s="1584">
        <v>0.2</v>
      </c>
      <c r="F89" s="1571">
        <v>30</v>
      </c>
    </row>
    <row r="90" spans="1:6" s="1567" customFormat="1" ht="24">
      <c r="A90" s="1571">
        <v>30</v>
      </c>
      <c r="B90" s="3780"/>
      <c r="C90" s="1497" t="s">
        <v>1688</v>
      </c>
      <c r="D90" s="1497" t="s">
        <v>1689</v>
      </c>
      <c r="E90" s="1584">
        <v>0.2</v>
      </c>
      <c r="F90" s="1571">
        <v>30</v>
      </c>
    </row>
    <row r="91" spans="1:6" s="1567" customFormat="1" ht="36">
      <c r="A91" s="1571">
        <v>31</v>
      </c>
      <c r="B91" s="3780"/>
      <c r="C91" s="1497" t="s">
        <v>1690</v>
      </c>
      <c r="D91" s="1497" t="s">
        <v>1691</v>
      </c>
      <c r="E91" s="1584">
        <v>0.2</v>
      </c>
      <c r="F91" s="1571">
        <v>30</v>
      </c>
    </row>
    <row r="92" spans="1:6" s="1567" customFormat="1" ht="24">
      <c r="A92" s="1571">
        <v>32</v>
      </c>
      <c r="B92" s="3780" t="s">
        <v>1692</v>
      </c>
      <c r="C92" s="1571" t="s">
        <v>1693</v>
      </c>
      <c r="D92" s="1497" t="s">
        <v>1694</v>
      </c>
      <c r="E92" s="1584">
        <v>0.2</v>
      </c>
      <c r="F92" s="1571">
        <v>30</v>
      </c>
    </row>
    <row r="93" spans="1:6" s="1567" customFormat="1" ht="36">
      <c r="A93" s="1571">
        <v>33</v>
      </c>
      <c r="B93" s="3780"/>
      <c r="C93" s="1571" t="s">
        <v>1695</v>
      </c>
      <c r="D93" s="1497" t="s">
        <v>1696</v>
      </c>
      <c r="E93" s="1584">
        <v>0.2</v>
      </c>
      <c r="F93" s="1571">
        <v>30</v>
      </c>
    </row>
    <row r="94" spans="1:6" s="1567" customFormat="1" ht="48">
      <c r="A94" s="1571">
        <v>34</v>
      </c>
      <c r="B94" s="3780"/>
      <c r="C94" s="1571" t="s">
        <v>1697</v>
      </c>
      <c r="D94" s="1497" t="s">
        <v>1698</v>
      </c>
      <c r="E94" s="1584">
        <v>0.2</v>
      </c>
      <c r="F94" s="1571">
        <v>30</v>
      </c>
    </row>
    <row r="95" spans="1:6" s="1567" customFormat="1" ht="36">
      <c r="A95" s="1571">
        <v>35</v>
      </c>
      <c r="B95" s="3780"/>
      <c r="C95" s="1571" t="s">
        <v>1699</v>
      </c>
      <c r="D95" s="1497" t="s">
        <v>1700</v>
      </c>
      <c r="E95" s="1584">
        <v>0.2</v>
      </c>
      <c r="F95" s="1571">
        <v>30</v>
      </c>
    </row>
    <row r="96" spans="1:6" s="1567" customFormat="1" ht="48">
      <c r="A96" s="1571">
        <v>36</v>
      </c>
      <c r="B96" s="3780"/>
      <c r="C96" s="1497" t="s">
        <v>1701</v>
      </c>
      <c r="D96" s="1497" t="s">
        <v>1702</v>
      </c>
      <c r="E96" s="1584">
        <v>0.2</v>
      </c>
      <c r="F96" s="1571">
        <v>30</v>
      </c>
    </row>
    <row r="97" spans="1:6" s="1567" customFormat="1" ht="36">
      <c r="A97" s="1571">
        <v>37</v>
      </c>
      <c r="B97" s="3780"/>
      <c r="C97" s="1571" t="s">
        <v>1703</v>
      </c>
      <c r="D97" s="1497" t="s">
        <v>1704</v>
      </c>
      <c r="E97" s="1584">
        <v>0.2</v>
      </c>
      <c r="F97" s="1571">
        <v>30</v>
      </c>
    </row>
    <row r="98" spans="1:6" s="1567" customFormat="1" ht="36">
      <c r="A98" s="1571">
        <v>38</v>
      </c>
      <c r="B98" s="3780"/>
      <c r="C98" s="1571" t="s">
        <v>1705</v>
      </c>
      <c r="D98" s="1497" t="s">
        <v>1706</v>
      </c>
      <c r="E98" s="1584">
        <v>0.2</v>
      </c>
      <c r="F98" s="1571">
        <v>30</v>
      </c>
    </row>
    <row r="99" spans="1:6" s="1567" customFormat="1" ht="36">
      <c r="A99" s="1571">
        <v>39</v>
      </c>
      <c r="B99" s="3780" t="s">
        <v>1707</v>
      </c>
      <c r="C99" s="1571" t="s">
        <v>1708</v>
      </c>
      <c r="D99" s="1497" t="s">
        <v>1709</v>
      </c>
      <c r="E99" s="1584">
        <v>0.3</v>
      </c>
      <c r="F99" s="1571">
        <v>50</v>
      </c>
    </row>
    <row r="100" spans="1:6" s="1567" customFormat="1" ht="24">
      <c r="A100" s="1571">
        <v>40</v>
      </c>
      <c r="B100" s="3780"/>
      <c r="C100" s="1571" t="s">
        <v>1710</v>
      </c>
      <c r="D100" s="1497" t="s">
        <v>1711</v>
      </c>
      <c r="E100" s="1584">
        <v>0.2</v>
      </c>
      <c r="F100" s="1571">
        <v>30</v>
      </c>
    </row>
    <row r="101" spans="1:6" s="1567" customFormat="1" ht="36">
      <c r="A101" s="1571">
        <v>41</v>
      </c>
      <c r="B101" s="3780"/>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780" t="s">
        <v>1722</v>
      </c>
      <c r="C105" s="1571" t="s">
        <v>1723</v>
      </c>
      <c r="D105" s="1497" t="s">
        <v>1724</v>
      </c>
      <c r="E105" s="1584">
        <v>0.2</v>
      </c>
      <c r="F105" s="1571">
        <v>30</v>
      </c>
    </row>
    <row r="106" spans="1:6" s="1567" customFormat="1" ht="36">
      <c r="A106" s="1571">
        <v>46</v>
      </c>
      <c r="B106" s="3780"/>
      <c r="C106" s="1571" t="s">
        <v>1725</v>
      </c>
      <c r="D106" s="1497" t="s">
        <v>1726</v>
      </c>
      <c r="E106" s="1584">
        <v>0.2</v>
      </c>
      <c r="F106" s="1571">
        <v>30</v>
      </c>
    </row>
    <row r="107" spans="1:6" s="1567" customFormat="1" ht="36">
      <c r="A107" s="1571">
        <v>47</v>
      </c>
      <c r="B107" s="3780" t="s">
        <v>1727</v>
      </c>
      <c r="C107" s="1571" t="s">
        <v>1728</v>
      </c>
      <c r="D107" s="1497" t="s">
        <v>1729</v>
      </c>
      <c r="E107" s="1584">
        <v>0.3</v>
      </c>
      <c r="F107" s="1571">
        <v>50</v>
      </c>
    </row>
    <row r="108" spans="1:6" s="1567" customFormat="1" ht="36">
      <c r="A108" s="1571">
        <v>48</v>
      </c>
      <c r="B108" s="3780"/>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780" t="s">
        <v>1738</v>
      </c>
      <c r="C111" s="1571" t="s">
        <v>1739</v>
      </c>
      <c r="D111" s="1497" t="s">
        <v>1740</v>
      </c>
      <c r="E111" s="1584">
        <v>0.2</v>
      </c>
      <c r="F111" s="1571">
        <v>30</v>
      </c>
    </row>
    <row r="112" spans="1:6" s="1567" customFormat="1" ht="24">
      <c r="A112" s="1571">
        <v>52</v>
      </c>
      <c r="B112" s="3780"/>
      <c r="C112" s="1571" t="s">
        <v>1741</v>
      </c>
      <c r="D112" s="1497" t="s">
        <v>1742</v>
      </c>
      <c r="E112" s="1584">
        <v>0.2</v>
      </c>
      <c r="F112" s="1571">
        <v>30</v>
      </c>
    </row>
    <row r="113" spans="1:6" s="1567" customFormat="1" ht="24">
      <c r="A113" s="1571">
        <v>53</v>
      </c>
      <c r="B113" s="3780"/>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780" t="s">
        <v>1751</v>
      </c>
      <c r="C116" s="1571" t="s">
        <v>1752</v>
      </c>
      <c r="D116" s="1497" t="s">
        <v>1753</v>
      </c>
      <c r="E116" s="1584">
        <v>0.2</v>
      </c>
      <c r="F116" s="1571">
        <v>30</v>
      </c>
    </row>
    <row r="117" spans="1:6" ht="36">
      <c r="A117" s="1571">
        <v>57</v>
      </c>
      <c r="B117" s="3780"/>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4.1280000000000001</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3058</v>
      </c>
    </row>
    <row r="2" spans="1:5" ht="14.25">
      <c r="A2" s="3341" t="s">
        <v>209</v>
      </c>
      <c r="B2" s="3338">
        <f ca="1">SUMIF(B6:B13,"&lt;&gt;#ref!",B6:B13)</f>
        <v>58048</v>
      </c>
      <c r="C2" s="3341" t="s">
        <v>2668</v>
      </c>
      <c r="D2" s="3341" t="s">
        <v>3053</v>
      </c>
      <c r="E2" s="3338" t="e">
        <f ca="1">SUM(E6:E13)</f>
        <v>#REF!</v>
      </c>
    </row>
    <row r="3" spans="1:5" ht="14.25">
      <c r="A3" s="3341" t="s">
        <v>8</v>
      </c>
      <c r="B3" s="3338" t="e">
        <f ca="1">ROUND(B2*10000/E2,0)</f>
        <v>#REF!</v>
      </c>
      <c r="C3" s="3341" t="s">
        <v>2669</v>
      </c>
      <c r="D3" s="3339"/>
      <c r="E3" s="3339"/>
    </row>
    <row r="4" spans="1:5" ht="14.25">
      <c r="A4" s="3342"/>
      <c r="B4" s="3339"/>
      <c r="C4" s="3339"/>
      <c r="D4" s="3339"/>
      <c r="E4" s="3339"/>
    </row>
    <row r="5" spans="1:5" ht="28.5">
      <c r="A5" s="3343" t="s">
        <v>3056</v>
      </c>
      <c r="B5" s="3341" t="s">
        <v>3054</v>
      </c>
      <c r="C5" s="3338"/>
      <c r="D5" s="3339"/>
      <c r="E5" s="3341" t="s">
        <v>3055</v>
      </c>
    </row>
    <row r="6" spans="1:5" ht="14.25">
      <c r="A6" s="3344" t="s">
        <v>3057</v>
      </c>
      <c r="B6" s="3340">
        <f ca="1">SUMIF(INDIRECT("'"&amp;A6&amp;"'"&amp;"!A:A"),"总价",INDIRECT("'"&amp;A6&amp;"'"&amp;"!B:B"))</f>
        <v>58048</v>
      </c>
      <c r="C6" s="3341" t="s">
        <v>2668</v>
      </c>
      <c r="D6" s="3339"/>
      <c r="E6" s="2788">
        <f ca="1">SUMIF(INDIRECT("'"&amp;A6&amp;"'"&amp;"!C:C"),"建筑面积",INDIRECT("'"&amp;A6&amp;"'"&amp;"!D:D"))</f>
        <v>28973.439999999999</v>
      </c>
    </row>
    <row r="7" spans="1:5" ht="14.25">
      <c r="A7" s="3344"/>
      <c r="B7" s="3340" t="e">
        <f ca="1">SUMIF(INDIRECT("'"&amp;A7&amp;"'"&amp;"!A:A"),"总价",INDIRECT("'"&amp;A7&amp;"'"&amp;"!B:B"))</f>
        <v>#REF!</v>
      </c>
      <c r="C7" s="3341" t="s">
        <v>2668</v>
      </c>
      <c r="D7" s="3339"/>
      <c r="E7" s="2788" t="e">
        <f t="shared" ref="E7:E13" ca="1" si="0">SUMIF(INDIRECT("'"&amp;A7&amp;"'"&amp;"!C:C"),"建筑面积",INDIRECT("'"&amp;A7&amp;"'"&amp;"!D:D"))</f>
        <v>#REF!</v>
      </c>
    </row>
    <row r="8" spans="1:5" ht="14.25">
      <c r="A8" s="3344"/>
      <c r="B8" s="3340" t="e">
        <f t="shared" ref="B8:B13" ca="1" si="1">SUMIF(INDIRECT("'"&amp;A8&amp;"'"&amp;"!A:A"),"总价",INDIRECT("'"&amp;A8&amp;"'"&amp;"!B:B"))</f>
        <v>#REF!</v>
      </c>
      <c r="C8" s="3341" t="s">
        <v>2668</v>
      </c>
      <c r="D8" s="3339"/>
      <c r="E8" s="2788" t="e">
        <f t="shared" ca="1" si="0"/>
        <v>#REF!</v>
      </c>
    </row>
    <row r="9" spans="1:5" ht="14.25">
      <c r="A9" s="3344"/>
      <c r="B9" s="3340" t="e">
        <f t="shared" ca="1" si="1"/>
        <v>#REF!</v>
      </c>
      <c r="C9" s="3341" t="s">
        <v>2668</v>
      </c>
      <c r="D9" s="3339"/>
      <c r="E9" s="2788" t="e">
        <f t="shared" ca="1" si="0"/>
        <v>#REF!</v>
      </c>
    </row>
    <row r="10" spans="1:5" ht="14.25">
      <c r="A10" s="3344"/>
      <c r="B10" s="3340" t="e">
        <f t="shared" ca="1" si="1"/>
        <v>#REF!</v>
      </c>
      <c r="C10" s="3341" t="s">
        <v>2668</v>
      </c>
      <c r="D10" s="3339"/>
      <c r="E10" s="2788" t="e">
        <f t="shared" ca="1" si="0"/>
        <v>#REF!</v>
      </c>
    </row>
    <row r="11" spans="1:5" ht="14.25">
      <c r="A11" s="3344"/>
      <c r="B11" s="3340" t="e">
        <f t="shared" ca="1" si="1"/>
        <v>#REF!</v>
      </c>
      <c r="C11" s="3341" t="s">
        <v>2668</v>
      </c>
      <c r="D11" s="3339"/>
      <c r="E11" s="2788" t="e">
        <f t="shared" ca="1" si="0"/>
        <v>#REF!</v>
      </c>
    </row>
    <row r="12" spans="1:5" ht="14.25">
      <c r="A12" s="3344"/>
      <c r="B12" s="3340" t="e">
        <f t="shared" ca="1" si="1"/>
        <v>#REF!</v>
      </c>
      <c r="C12" s="3341" t="s">
        <v>2668</v>
      </c>
      <c r="D12" s="3339"/>
      <c r="E12" s="2788" t="e">
        <f t="shared" ca="1" si="0"/>
        <v>#REF!</v>
      </c>
    </row>
    <row r="13" spans="1:5" ht="14.25">
      <c r="A13" s="3344"/>
      <c r="B13" s="3340" t="e">
        <f t="shared" ca="1" si="1"/>
        <v>#REF!</v>
      </c>
      <c r="C13" s="3341" t="s">
        <v>2668</v>
      </c>
      <c r="D13" s="3339"/>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J5" sqref="J5:J18"/>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94" t="s">
        <v>2710</v>
      </c>
      <c r="C1" s="3794"/>
      <c r="D1" s="3794"/>
      <c r="E1" s="3794"/>
      <c r="F1" s="3794"/>
      <c r="G1" s="3793" t="s">
        <v>2711</v>
      </c>
      <c r="H1" s="3793"/>
      <c r="I1" s="3793"/>
      <c r="J1" s="3793"/>
      <c r="K1" s="3793"/>
      <c r="L1" s="3793"/>
      <c r="N1" s="3793" t="s">
        <v>2712</v>
      </c>
      <c r="O1" s="3793"/>
      <c r="P1" s="3793"/>
      <c r="Q1" s="3793"/>
      <c r="R1" s="2899"/>
      <c r="S1" s="3793" t="s">
        <v>2713</v>
      </c>
      <c r="T1" s="3793"/>
      <c r="U1" s="3793"/>
      <c r="V1" s="3793"/>
      <c r="X1" s="3792" t="s">
        <v>2714</v>
      </c>
      <c r="Y1" s="3793"/>
      <c r="Z1" s="3793"/>
      <c r="AA1" s="3793"/>
      <c r="AB1" s="3793"/>
      <c r="AD1" s="3792" t="s">
        <v>2715</v>
      </c>
      <c r="AE1" s="3793"/>
      <c r="AF1" s="3793"/>
      <c r="AG1" s="3793"/>
      <c r="AH1" s="3793"/>
    </row>
    <row r="2" spans="1:34" s="2900" customFormat="1" ht="14.25" thickBot="1">
      <c r="B2" s="2901" t="s">
        <v>2716</v>
      </c>
      <c r="C2" s="2901" t="s">
        <v>2717</v>
      </c>
      <c r="D2" s="2902" t="s">
        <v>2718</v>
      </c>
      <c r="E2" s="2902" t="s">
        <v>2719</v>
      </c>
      <c r="F2" s="2901" t="s">
        <v>2720</v>
      </c>
      <c r="G2" s="2903"/>
      <c r="H2" s="2904"/>
      <c r="I2" s="2901" t="s">
        <v>2716</v>
      </c>
      <c r="J2" s="2902" t="s">
        <v>3059</v>
      </c>
      <c r="K2" s="2902" t="s">
        <v>1845</v>
      </c>
      <c r="L2" s="2901" t="s">
        <v>2720</v>
      </c>
      <c r="N2" s="2901" t="s">
        <v>2716</v>
      </c>
      <c r="O2" s="2902" t="s">
        <v>3059</v>
      </c>
      <c r="P2" s="2902" t="s">
        <v>1845</v>
      </c>
      <c r="Q2" s="2901" t="s">
        <v>2720</v>
      </c>
      <c r="R2" s="2905"/>
      <c r="S2" s="2901" t="s">
        <v>2716</v>
      </c>
      <c r="T2" s="2902" t="s">
        <v>3059</v>
      </c>
      <c r="U2" s="2902" t="s">
        <v>1845</v>
      </c>
      <c r="V2" s="2901" t="s">
        <v>2720</v>
      </c>
      <c r="X2" s="2901" t="s">
        <v>2716</v>
      </c>
      <c r="Y2" s="2901" t="s">
        <v>2717</v>
      </c>
      <c r="Z2" s="2902" t="s">
        <v>2718</v>
      </c>
      <c r="AA2" s="2902" t="s">
        <v>2719</v>
      </c>
      <c r="AB2" s="2901" t="s">
        <v>2720</v>
      </c>
      <c r="AD2" s="2901" t="s">
        <v>2716</v>
      </c>
      <c r="AE2" s="2901" t="s">
        <v>2717</v>
      </c>
      <c r="AF2" s="2902" t="s">
        <v>2718</v>
      </c>
      <c r="AG2" s="2902" t="s">
        <v>2719</v>
      </c>
      <c r="AH2" s="2901" t="s">
        <v>2720</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2721</v>
      </c>
      <c r="B4" s="2915"/>
      <c r="C4" s="2915"/>
      <c r="D4" s="2915"/>
      <c r="E4" s="2915"/>
      <c r="F4" s="2915"/>
      <c r="G4" s="3795">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2722</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90"/>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2724</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3060</v>
      </c>
      <c r="B6" s="2934">
        <f t="shared" si="2"/>
        <v>419.31181600000002</v>
      </c>
      <c r="C6" s="2934">
        <f t="shared" si="3"/>
        <v>313.95436800000004</v>
      </c>
      <c r="D6" s="2934">
        <f t="shared" si="4"/>
        <v>313.95436800000004</v>
      </c>
      <c r="E6" s="2934">
        <f t="shared" si="5"/>
        <v>596.63028431999999</v>
      </c>
      <c r="F6" s="2934">
        <f t="shared" si="6"/>
        <v>274.74220703999998</v>
      </c>
      <c r="G6" s="3790"/>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6"/>
      <c r="AD6" s="3347">
        <f>ROUND(AVERAGE(I6:I$19)/100,4)</f>
        <v>2.46E-2</v>
      </c>
      <c r="AE6" s="3347">
        <f>ROUND(AVERAGE(J6:J$19)/100,4)</f>
        <v>1.6E-2</v>
      </c>
      <c r="AF6" s="3347">
        <f t="shared" si="1"/>
        <v>1.6E-2</v>
      </c>
      <c r="AG6" s="3347">
        <f>ROUND(AVERAGE(K6:K$19)/100,4)</f>
        <v>2.75E-2</v>
      </c>
      <c r="AH6" s="3347">
        <f>ROUND(AVERAGE(L6:L$19)/100,4)</f>
        <v>1.37E-2</v>
      </c>
    </row>
    <row r="7" spans="1:34" s="2922" customFormat="1" ht="13.5" thickBot="1">
      <c r="A7" s="2914" t="s">
        <v>2723</v>
      </c>
      <c r="B7" s="2934">
        <f>B8*(1+N7)</f>
        <v>405.524</v>
      </c>
      <c r="C7" s="2934">
        <f>C8*(1+O7)</f>
        <v>307.79840000000002</v>
      </c>
      <c r="D7" s="2934">
        <f>C7</f>
        <v>307.79840000000002</v>
      </c>
      <c r="E7" s="2934">
        <f>E8*(1+P7)</f>
        <v>574.67759999999998</v>
      </c>
      <c r="F7" s="2934">
        <f>F8*(1+Q7)</f>
        <v>270.20280000000002</v>
      </c>
      <c r="G7" s="3791"/>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4" t="s">
        <v>1160</v>
      </c>
      <c r="B8" s="2926">
        <v>392</v>
      </c>
      <c r="C8" s="2926">
        <v>302</v>
      </c>
      <c r="D8" s="2926">
        <f>C8</f>
        <v>302</v>
      </c>
      <c r="E8" s="2926">
        <v>553</v>
      </c>
      <c r="F8" s="2927">
        <v>266</v>
      </c>
      <c r="G8" s="3795">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1159</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90"/>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1149</v>
      </c>
      <c r="B10" s="2934">
        <f t="shared" si="15"/>
        <v>360.06949782209392</v>
      </c>
      <c r="C10" s="2934">
        <f t="shared" si="15"/>
        <v>289.84672674747821</v>
      </c>
      <c r="D10" s="2934">
        <f t="shared" si="16"/>
        <v>289.84672674747821</v>
      </c>
      <c r="E10" s="2934">
        <f t="shared" si="17"/>
        <v>501.06543001181495</v>
      </c>
      <c r="F10" s="2934">
        <f t="shared" si="17"/>
        <v>256.82882500744967</v>
      </c>
      <c r="G10" s="3790"/>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1158</v>
      </c>
      <c r="B11" s="2934">
        <f t="shared" si="15"/>
        <v>346.720748986128</v>
      </c>
      <c r="C11" s="2934">
        <f t="shared" si="15"/>
        <v>284.30282172386285</v>
      </c>
      <c r="D11" s="2934">
        <f t="shared" si="16"/>
        <v>284.30282172386285</v>
      </c>
      <c r="E11" s="2934">
        <f t="shared" si="17"/>
        <v>479.58023546306947</v>
      </c>
      <c r="F11" s="2934">
        <f t="shared" si="17"/>
        <v>253.25788877571213</v>
      </c>
      <c r="G11" s="3791"/>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1157</v>
      </c>
      <c r="B12" s="2926">
        <v>333</v>
      </c>
      <c r="C12" s="2926">
        <v>277</v>
      </c>
      <c r="D12" s="2926">
        <f t="shared" si="16"/>
        <v>277</v>
      </c>
      <c r="E12" s="2926">
        <v>459</v>
      </c>
      <c r="F12" s="2927">
        <v>249</v>
      </c>
      <c r="G12" s="3789">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1156</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90"/>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1155</v>
      </c>
      <c r="B14" s="2934">
        <f t="shared" si="19"/>
        <v>322.34053690220776</v>
      </c>
      <c r="C14" s="2934">
        <f t="shared" si="19"/>
        <v>271.46160770422546</v>
      </c>
      <c r="D14" s="2934">
        <f t="shared" si="16"/>
        <v>271.46160770422546</v>
      </c>
      <c r="E14" s="2934">
        <f t="shared" si="20"/>
        <v>442.69434542172456</v>
      </c>
      <c r="F14" s="2934">
        <f t="shared" si="20"/>
        <v>241.34030753190925</v>
      </c>
      <c r="G14" s="3790"/>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1154</v>
      </c>
      <c r="B15" s="2934">
        <f t="shared" si="19"/>
        <v>319.87748030386797</v>
      </c>
      <c r="C15" s="2934">
        <f t="shared" si="19"/>
        <v>269.60135833173649</v>
      </c>
      <c r="D15" s="2934">
        <f t="shared" si="16"/>
        <v>269.60135833173649</v>
      </c>
      <c r="E15" s="2934">
        <f t="shared" si="20"/>
        <v>439.18089823583784</v>
      </c>
      <c r="F15" s="2934">
        <f t="shared" si="20"/>
        <v>239.23503918706311</v>
      </c>
      <c r="G15" s="3791"/>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1153</v>
      </c>
      <c r="B16" s="2947">
        <v>318</v>
      </c>
      <c r="C16" s="2947">
        <v>268</v>
      </c>
      <c r="D16" s="2947">
        <f t="shared" si="16"/>
        <v>268</v>
      </c>
      <c r="E16" s="2947">
        <v>437</v>
      </c>
      <c r="F16" s="2948">
        <v>237</v>
      </c>
      <c r="G16" s="3789">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1152</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90"/>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1151</v>
      </c>
      <c r="B18" s="2934">
        <f t="shared" si="21"/>
        <v>314.72141172386546</v>
      </c>
      <c r="C18" s="2934">
        <f t="shared" si="21"/>
        <v>263.03901319069001</v>
      </c>
      <c r="D18" s="2934">
        <f t="shared" si="16"/>
        <v>263.03901319069001</v>
      </c>
      <c r="E18" s="2934">
        <f t="shared" si="22"/>
        <v>433.65745506782821</v>
      </c>
      <c r="F18" s="2934">
        <f t="shared" si="22"/>
        <v>233.23005080045735</v>
      </c>
      <c r="G18" s="3790"/>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1150</v>
      </c>
      <c r="B19" s="2952">
        <f t="shared" si="21"/>
        <v>307.34512863658733</v>
      </c>
      <c r="C19" s="2952">
        <f t="shared" si="21"/>
        <v>257.80556031626975</v>
      </c>
      <c r="D19" s="2952">
        <f t="shared" si="16"/>
        <v>257.80556031626975</v>
      </c>
      <c r="E19" s="2952">
        <f t="shared" si="22"/>
        <v>422.70928459677179</v>
      </c>
      <c r="F19" s="2952">
        <f t="shared" si="22"/>
        <v>229.73803270336617</v>
      </c>
      <c r="G19" s="3791"/>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2725</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2726</v>
      </c>
      <c r="B20" s="2926">
        <v>299</v>
      </c>
      <c r="C20" s="2926">
        <v>252</v>
      </c>
      <c r="D20" s="2926">
        <f t="shared" si="16"/>
        <v>252</v>
      </c>
      <c r="E20" s="2926">
        <v>409</v>
      </c>
      <c r="F20" s="2927">
        <v>227</v>
      </c>
      <c r="G20" s="3796">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2727</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97"/>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2728</v>
      </c>
      <c r="B22" s="2934">
        <f t="shared" si="25"/>
        <v>288.2649053828776</v>
      </c>
      <c r="C22" s="2934">
        <f t="shared" si="25"/>
        <v>243.64564425013293</v>
      </c>
      <c r="D22" s="2934">
        <f t="shared" si="16"/>
        <v>243.64564425013293</v>
      </c>
      <c r="E22" s="2934">
        <f t="shared" si="26"/>
        <v>393.31080825986544</v>
      </c>
      <c r="F22" s="2934">
        <f t="shared" si="26"/>
        <v>223.07903790551154</v>
      </c>
      <c r="G22" s="3797"/>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2729</v>
      </c>
      <c r="B23" s="2934">
        <f t="shared" si="25"/>
        <v>282.50186729015837</v>
      </c>
      <c r="C23" s="2934">
        <f t="shared" si="25"/>
        <v>238.09796174155468</v>
      </c>
      <c r="D23" s="2934">
        <f t="shared" si="16"/>
        <v>238.09796174155468</v>
      </c>
      <c r="E23" s="2934">
        <f t="shared" si="26"/>
        <v>385.33438646014054</v>
      </c>
      <c r="F23" s="2934">
        <f t="shared" si="26"/>
        <v>221.55034055567739</v>
      </c>
      <c r="G23" s="3798"/>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2730</v>
      </c>
      <c r="B24" s="2968">
        <v>278</v>
      </c>
      <c r="C24" s="2968">
        <v>234</v>
      </c>
      <c r="D24" s="2968">
        <f t="shared" si="16"/>
        <v>234</v>
      </c>
      <c r="E24" s="2968">
        <v>379</v>
      </c>
      <c r="F24" s="2969">
        <v>220</v>
      </c>
      <c r="G24" s="3789">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2731</v>
      </c>
      <c r="B25" s="2934">
        <f>B24/(1+N24)</f>
        <v>275.49301357645425</v>
      </c>
      <c r="C25" s="2934">
        <f>C24/(1+O24)</f>
        <v>232.41954707985698</v>
      </c>
      <c r="D25" s="2934">
        <f t="shared" si="16"/>
        <v>232.41954707985698</v>
      </c>
      <c r="E25" s="2934">
        <f t="shared" ref="E25:F27" si="27">E24/(1+P24)</f>
        <v>375.32184591008121</v>
      </c>
      <c r="F25" s="2934">
        <f t="shared" si="27"/>
        <v>218.03766105054513</v>
      </c>
      <c r="G25" s="3790"/>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2732</v>
      </c>
      <c r="B26" s="2934">
        <f>B25/(1+N25)</f>
        <v>275.24529281292263</v>
      </c>
      <c r="C26" s="2934">
        <f>C25/(1+O25)</f>
        <v>231.74747938962707</v>
      </c>
      <c r="D26" s="2934">
        <f t="shared" si="16"/>
        <v>231.74747938962707</v>
      </c>
      <c r="E26" s="2934">
        <f t="shared" si="27"/>
        <v>375.35938184826603</v>
      </c>
      <c r="F26" s="2934">
        <f t="shared" si="27"/>
        <v>216.78033510692495</v>
      </c>
      <c r="G26" s="3790"/>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2733</v>
      </c>
      <c r="B27" s="2934">
        <f>B26/(1+N26)</f>
        <v>275.19025476197027</v>
      </c>
      <c r="C27" s="2970">
        <v>232</v>
      </c>
      <c r="D27" s="2970">
        <f t="shared" si="16"/>
        <v>232</v>
      </c>
      <c r="E27" s="2934">
        <f t="shared" si="27"/>
        <v>375.65990977608692</v>
      </c>
      <c r="F27" s="2934">
        <f t="shared" si="27"/>
        <v>214.12518283971252</v>
      </c>
      <c r="G27" s="3791"/>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2734</v>
      </c>
      <c r="B28" s="2926">
        <v>275</v>
      </c>
      <c r="C28" s="2926">
        <v>232</v>
      </c>
      <c r="D28" s="2926">
        <f t="shared" si="16"/>
        <v>232</v>
      </c>
      <c r="E28" s="2926">
        <v>376</v>
      </c>
      <c r="F28" s="2927">
        <v>213</v>
      </c>
      <c r="G28" s="3789">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2735</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90">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2736</v>
      </c>
      <c r="B30" s="2934">
        <f t="shared" si="28"/>
        <v>275.19335084830601</v>
      </c>
      <c r="C30" s="2934">
        <f t="shared" si="28"/>
        <v>230.18088050139744</v>
      </c>
      <c r="D30" s="2934">
        <f t="shared" si="16"/>
        <v>230.18088050139744</v>
      </c>
      <c r="E30" s="2934">
        <f t="shared" si="29"/>
        <v>377.58482925212331</v>
      </c>
      <c r="F30" s="2934">
        <f t="shared" si="29"/>
        <v>210.90687997847917</v>
      </c>
      <c r="G30" s="3790">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2737</v>
      </c>
      <c r="B31" s="2934">
        <f t="shared" si="28"/>
        <v>276.29854502841971</v>
      </c>
      <c r="C31" s="2934">
        <f t="shared" si="28"/>
        <v>229.79023709833027</v>
      </c>
      <c r="D31" s="2934">
        <f t="shared" si="16"/>
        <v>229.79023709833027</v>
      </c>
      <c r="E31" s="2934">
        <f t="shared" si="29"/>
        <v>379.78759731655936</v>
      </c>
      <c r="F31" s="2934">
        <f t="shared" si="29"/>
        <v>211.32953905659235</v>
      </c>
      <c r="G31" s="3791">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2738</v>
      </c>
      <c r="B32" s="2926">
        <v>269</v>
      </c>
      <c r="C32" s="2926">
        <v>221</v>
      </c>
      <c r="D32" s="2926">
        <f t="shared" si="16"/>
        <v>221</v>
      </c>
      <c r="E32" s="2926">
        <v>373</v>
      </c>
      <c r="F32" s="2927">
        <v>196</v>
      </c>
      <c r="G32" s="3789">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2739</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90">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2740</v>
      </c>
      <c r="B34" s="2934">
        <f t="shared" si="30"/>
        <v>242.95398227588385</v>
      </c>
      <c r="C34" s="2934">
        <f t="shared" si="30"/>
        <v>199.59137053614126</v>
      </c>
      <c r="D34" s="2934">
        <f t="shared" si="16"/>
        <v>199.59137053614126</v>
      </c>
      <c r="E34" s="2934">
        <f t="shared" si="31"/>
        <v>335.92189522342125</v>
      </c>
      <c r="F34" s="2934">
        <f t="shared" si="31"/>
        <v>183.10139991109489</v>
      </c>
      <c r="G34" s="3790">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2741</v>
      </c>
      <c r="B35" s="2934">
        <f t="shared" si="30"/>
        <v>232.06990378821649</v>
      </c>
      <c r="C35" s="2934">
        <f t="shared" si="30"/>
        <v>192.74878854286936</v>
      </c>
      <c r="D35" s="2934">
        <f t="shared" si="16"/>
        <v>192.74878854286936</v>
      </c>
      <c r="E35" s="2934">
        <f t="shared" si="31"/>
        <v>319.71247284992984</v>
      </c>
      <c r="F35" s="2934">
        <f t="shared" si="31"/>
        <v>175.67053622862409</v>
      </c>
      <c r="G35" s="3791">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2742</v>
      </c>
      <c r="B36" s="2926">
        <v>220</v>
      </c>
      <c r="C36" s="2926">
        <v>187</v>
      </c>
      <c r="D36" s="2926">
        <f t="shared" si="16"/>
        <v>187</v>
      </c>
      <c r="E36" s="2926">
        <v>301</v>
      </c>
      <c r="F36" s="2927">
        <v>168</v>
      </c>
      <c r="G36" s="3789">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2743</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90">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2744</v>
      </c>
      <c r="B38" s="2934">
        <f t="shared" si="32"/>
        <v>210.630522469011</v>
      </c>
      <c r="C38" s="2934">
        <f t="shared" si="32"/>
        <v>181.69567812247232</v>
      </c>
      <c r="D38" s="2934">
        <f t="shared" si="16"/>
        <v>181.69567812247232</v>
      </c>
      <c r="E38" s="2934">
        <f t="shared" si="33"/>
        <v>286.13517466736738</v>
      </c>
      <c r="F38" s="2934">
        <f t="shared" si="33"/>
        <v>165.47535084591149</v>
      </c>
      <c r="G38" s="3790">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2745</v>
      </c>
      <c r="B39" s="2934">
        <f t="shared" si="32"/>
        <v>208.83454537875372</v>
      </c>
      <c r="C39" s="2934">
        <f t="shared" si="32"/>
        <v>183.77230517090351</v>
      </c>
      <c r="D39" s="2934">
        <f t="shared" si="16"/>
        <v>183.77230517090351</v>
      </c>
      <c r="E39" s="2934">
        <f t="shared" si="33"/>
        <v>281.10342338870947</v>
      </c>
      <c r="F39" s="2934">
        <f t="shared" si="33"/>
        <v>168.97309388942256</v>
      </c>
      <c r="G39" s="3791">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2746</v>
      </c>
      <c r="B40" s="2968">
        <v>214</v>
      </c>
      <c r="C40" s="2968">
        <v>188</v>
      </c>
      <c r="D40" s="2968">
        <f t="shared" si="16"/>
        <v>188</v>
      </c>
      <c r="E40" s="2968">
        <v>289</v>
      </c>
      <c r="F40" s="2969">
        <v>166</v>
      </c>
      <c r="G40" s="3789">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2747</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90">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2748</v>
      </c>
      <c r="B42" s="2934">
        <f t="shared" si="34"/>
        <v>206.31694671589116</v>
      </c>
      <c r="C42" s="2934">
        <f t="shared" si="34"/>
        <v>183.61041121036101</v>
      </c>
      <c r="D42" s="2934">
        <f t="shared" si="16"/>
        <v>183.61041121036101</v>
      </c>
      <c r="E42" s="2934">
        <f t="shared" si="35"/>
        <v>276.66850301795557</v>
      </c>
      <c r="F42" s="2934">
        <f t="shared" si="35"/>
        <v>165.1360938278614</v>
      </c>
      <c r="G42" s="3790">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2749</v>
      </c>
      <c r="B43" s="2971">
        <f t="shared" si="34"/>
        <v>196.62341248059772</v>
      </c>
      <c r="C43" s="2971">
        <f t="shared" si="34"/>
        <v>170.99125648199012</v>
      </c>
      <c r="D43" s="2971">
        <f t="shared" si="16"/>
        <v>170.99125648199012</v>
      </c>
      <c r="E43" s="2971">
        <f t="shared" si="35"/>
        <v>266.07857570490052</v>
      </c>
      <c r="F43" s="2971">
        <f t="shared" si="35"/>
        <v>154.53499328828505</v>
      </c>
      <c r="G43" s="3791">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2750</v>
      </c>
      <c r="B44" s="2926">
        <v>188</v>
      </c>
      <c r="C44" s="2926">
        <v>165</v>
      </c>
      <c r="D44" s="2926">
        <f t="shared" si="16"/>
        <v>165</v>
      </c>
      <c r="E44" s="2926">
        <v>254</v>
      </c>
      <c r="F44" s="2927">
        <v>148</v>
      </c>
      <c r="G44" s="3789">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2751</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90">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2752</v>
      </c>
      <c r="B46" s="2934">
        <f t="shared" si="38"/>
        <v>168.82017748715555</v>
      </c>
      <c r="C46" s="2934">
        <f t="shared" si="38"/>
        <v>148.06267029972753</v>
      </c>
      <c r="D46" s="2934">
        <f t="shared" si="16"/>
        <v>148.06267029972753</v>
      </c>
      <c r="E46" s="2934">
        <f t="shared" si="39"/>
        <v>216.46288379323747</v>
      </c>
      <c r="F46" s="2934">
        <f t="shared" si="39"/>
        <v>134.23529411764704</v>
      </c>
      <c r="G46" s="3790">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2753</v>
      </c>
      <c r="B47" s="2934">
        <f t="shared" si="38"/>
        <v>163.84913591779542</v>
      </c>
      <c r="C47" s="2934">
        <f t="shared" si="38"/>
        <v>145.0283378746594</v>
      </c>
      <c r="D47" s="2934">
        <f t="shared" si="16"/>
        <v>145.0283378746594</v>
      </c>
      <c r="E47" s="2934">
        <f t="shared" si="39"/>
        <v>204.95180722891567</v>
      </c>
      <c r="F47" s="2934">
        <f t="shared" si="39"/>
        <v>125.95920303605313</v>
      </c>
      <c r="G47" s="3791">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2754</v>
      </c>
      <c r="B48" s="2947">
        <v>159</v>
      </c>
      <c r="C48" s="2947">
        <v>141</v>
      </c>
      <c r="D48" s="2947">
        <f t="shared" si="16"/>
        <v>141</v>
      </c>
      <c r="E48" s="2947">
        <v>195</v>
      </c>
      <c r="F48" s="2948">
        <v>122</v>
      </c>
      <c r="G48" s="3789">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2755</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90">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2756</v>
      </c>
      <c r="B50" s="2934">
        <f t="shared" si="42"/>
        <v>146.57412060301507</v>
      </c>
      <c r="C50" s="2934">
        <f t="shared" si="42"/>
        <v>136.46831955922866</v>
      </c>
      <c r="D50" s="2934">
        <f t="shared" si="16"/>
        <v>136.46831955922866</v>
      </c>
      <c r="E50" s="2934">
        <f t="shared" si="43"/>
        <v>166.73864894795128</v>
      </c>
      <c r="F50" s="2934">
        <f t="shared" si="43"/>
        <v>115.05882352941177</v>
      </c>
      <c r="G50" s="3790">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2757</v>
      </c>
      <c r="B51" s="2934">
        <f t="shared" si="42"/>
        <v>144.04145728643215</v>
      </c>
      <c r="C51" s="2934">
        <f t="shared" si="42"/>
        <v>136.12396694214877</v>
      </c>
      <c r="D51" s="2934">
        <f t="shared" si="16"/>
        <v>136.12396694214877</v>
      </c>
      <c r="E51" s="2934">
        <f t="shared" si="43"/>
        <v>158.32225913621264</v>
      </c>
      <c r="F51" s="2934">
        <f t="shared" si="43"/>
        <v>114.04278074866311</v>
      </c>
      <c r="G51" s="3791">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2758</v>
      </c>
      <c r="B52" s="2947">
        <v>138</v>
      </c>
      <c r="C52" s="2947">
        <v>131</v>
      </c>
      <c r="D52" s="2947">
        <f t="shared" si="16"/>
        <v>131</v>
      </c>
      <c r="E52" s="2947">
        <v>155</v>
      </c>
      <c r="F52" s="2948">
        <v>114</v>
      </c>
      <c r="G52" s="3789">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2759</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90">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2760</v>
      </c>
      <c r="B54" s="2934">
        <f t="shared" si="46"/>
        <v>124.29032258064517</v>
      </c>
      <c r="C54" s="2934">
        <f t="shared" si="46"/>
        <v>123.8968609865471</v>
      </c>
      <c r="D54" s="2934">
        <f t="shared" si="16"/>
        <v>123.8968609865471</v>
      </c>
      <c r="E54" s="2934">
        <f t="shared" si="47"/>
        <v>138.00507614213197</v>
      </c>
      <c r="F54" s="2934">
        <f t="shared" si="47"/>
        <v>107.96106557377048</v>
      </c>
      <c r="G54" s="3790">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2761</v>
      </c>
      <c r="B55" s="2934">
        <f t="shared" si="46"/>
        <v>122.57204301075269</v>
      </c>
      <c r="C55" s="2934">
        <f t="shared" si="46"/>
        <v>123.4932735426009</v>
      </c>
      <c r="D55" s="2934">
        <f t="shared" si="16"/>
        <v>123.4932735426009</v>
      </c>
      <c r="E55" s="2934">
        <f t="shared" si="47"/>
        <v>129.82233502538071</v>
      </c>
      <c r="F55" s="2934">
        <f t="shared" si="47"/>
        <v>107.39446721311475</v>
      </c>
      <c r="G55" s="3791">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2762</v>
      </c>
      <c r="B56" s="2968">
        <v>121</v>
      </c>
      <c r="C56" s="2968">
        <v>122</v>
      </c>
      <c r="D56" s="2968">
        <f t="shared" si="16"/>
        <v>122</v>
      </c>
      <c r="E56" s="2968">
        <v>124</v>
      </c>
      <c r="F56" s="2969">
        <v>107</v>
      </c>
      <c r="G56" s="3789">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2763</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90">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2764</v>
      </c>
      <c r="B58" s="2934">
        <f t="shared" si="50"/>
        <v>116.99099099099099</v>
      </c>
      <c r="C58" s="2934">
        <f t="shared" si="50"/>
        <v>118.84848484848486</v>
      </c>
      <c r="D58" s="2934">
        <f t="shared" si="16"/>
        <v>118.84848484848486</v>
      </c>
      <c r="E58" s="2934">
        <f t="shared" si="51"/>
        <v>117.60960960960961</v>
      </c>
      <c r="F58" s="2934">
        <f t="shared" si="51"/>
        <v>104</v>
      </c>
      <c r="G58" s="3790">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2765</v>
      </c>
      <c r="B59" s="2971">
        <f t="shared" si="50"/>
        <v>112.48648648648648</v>
      </c>
      <c r="C59" s="2971">
        <f t="shared" si="50"/>
        <v>115.21212121212122</v>
      </c>
      <c r="D59" s="2971">
        <f t="shared" si="16"/>
        <v>115.21212121212122</v>
      </c>
      <c r="E59" s="2971">
        <f t="shared" si="51"/>
        <v>110.4024024024024</v>
      </c>
      <c r="F59" s="2971">
        <f t="shared" si="51"/>
        <v>104</v>
      </c>
      <c r="G59" s="3791">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2766</v>
      </c>
      <c r="B60" s="2989">
        <v>111</v>
      </c>
      <c r="C60" s="2989">
        <v>114</v>
      </c>
      <c r="D60" s="2989">
        <f t="shared" si="16"/>
        <v>114</v>
      </c>
      <c r="E60" s="2989">
        <v>108</v>
      </c>
      <c r="F60" s="2990">
        <v>104</v>
      </c>
      <c r="G60" s="3789">
        <v>2003</v>
      </c>
      <c r="H60" s="2979">
        <v>4</v>
      </c>
      <c r="I60" s="2991"/>
      <c r="J60" s="2991"/>
      <c r="K60" s="2991"/>
      <c r="L60" s="2991"/>
      <c r="N60" s="2992"/>
      <c r="O60" s="2991"/>
      <c r="P60" s="2991"/>
      <c r="Q60" s="2991"/>
      <c r="S60" s="2992"/>
      <c r="T60" s="2991"/>
      <c r="U60" s="2991"/>
      <c r="V60" s="2991"/>
      <c r="X60" s="2983"/>
      <c r="Y60" s="2983"/>
      <c r="Z60" s="2983"/>
    </row>
    <row r="61" spans="1:26">
      <c r="A61" s="2914" t="s">
        <v>2767</v>
      </c>
      <c r="B61" s="2993">
        <f t="shared" ref="B61:C63" si="52">B62+(B$60-B$64)/4</f>
        <v>109.75</v>
      </c>
      <c r="C61" s="2993">
        <f t="shared" si="52"/>
        <v>112.25</v>
      </c>
      <c r="D61" s="2993">
        <f t="shared" si="16"/>
        <v>112.25</v>
      </c>
      <c r="E61" s="2993">
        <f t="shared" ref="E61:F63" si="53">E62+(E$60-E$64)/4</f>
        <v>107.25</v>
      </c>
      <c r="F61" s="2993">
        <f t="shared" si="53"/>
        <v>103.5</v>
      </c>
      <c r="G61" s="3790">
        <v>2003</v>
      </c>
      <c r="H61" s="2944">
        <v>3</v>
      </c>
      <c r="I61" s="2991"/>
      <c r="J61" s="2991"/>
      <c r="K61" s="2991"/>
      <c r="L61" s="2991"/>
      <c r="X61" s="2983"/>
      <c r="Y61" s="2983"/>
      <c r="Z61" s="2983"/>
    </row>
    <row r="62" spans="1:26">
      <c r="A62" s="2914" t="s">
        <v>2768</v>
      </c>
      <c r="B62" s="2993">
        <f t="shared" si="52"/>
        <v>108.5</v>
      </c>
      <c r="C62" s="2993">
        <f t="shared" si="52"/>
        <v>110.5</v>
      </c>
      <c r="D62" s="2993">
        <f t="shared" si="16"/>
        <v>110.5</v>
      </c>
      <c r="E62" s="2993">
        <f t="shared" si="53"/>
        <v>106.5</v>
      </c>
      <c r="F62" s="2993">
        <f t="shared" si="53"/>
        <v>103</v>
      </c>
      <c r="G62" s="3790">
        <v>2003</v>
      </c>
      <c r="H62" s="2920">
        <v>2</v>
      </c>
      <c r="I62" s="2991"/>
      <c r="J62" s="2991"/>
      <c r="K62" s="2991"/>
      <c r="L62" s="2991"/>
      <c r="X62" s="2983"/>
      <c r="Y62" s="2983"/>
      <c r="Z62" s="2983"/>
    </row>
    <row r="63" spans="1:26" ht="13.5" thickBot="1">
      <c r="A63" s="2914" t="s">
        <v>2769</v>
      </c>
      <c r="B63" s="2993">
        <f t="shared" si="52"/>
        <v>107.25</v>
      </c>
      <c r="C63" s="2993">
        <f t="shared" si="52"/>
        <v>108.75</v>
      </c>
      <c r="D63" s="2993">
        <f t="shared" si="16"/>
        <v>108.75</v>
      </c>
      <c r="E63" s="2993">
        <f t="shared" si="53"/>
        <v>105.75</v>
      </c>
      <c r="F63" s="2993">
        <f t="shared" si="53"/>
        <v>102.5</v>
      </c>
      <c r="G63" s="3791">
        <v>2003</v>
      </c>
      <c r="H63" s="2994">
        <v>1</v>
      </c>
      <c r="I63" s="2991"/>
      <c r="J63" s="2991"/>
      <c r="K63" s="2991"/>
      <c r="L63" s="2991"/>
      <c r="S63" s="2929"/>
      <c r="T63" s="2930"/>
      <c r="U63" s="2930"/>
      <c r="X63" s="2983"/>
      <c r="Y63" s="2983"/>
      <c r="Z63" s="2983"/>
    </row>
    <row r="64" spans="1:26" ht="13.5" thickBot="1">
      <c r="A64" s="2914" t="s">
        <v>2770</v>
      </c>
      <c r="B64" s="2995">
        <v>106</v>
      </c>
      <c r="C64" s="2995">
        <v>107</v>
      </c>
      <c r="D64" s="2995">
        <f t="shared" si="16"/>
        <v>107</v>
      </c>
      <c r="E64" s="2995">
        <v>105</v>
      </c>
      <c r="F64" s="2996">
        <v>102</v>
      </c>
      <c r="G64" s="3789">
        <v>2002</v>
      </c>
      <c r="H64" s="2939">
        <v>4</v>
      </c>
      <c r="I64" s="2991"/>
      <c r="J64" s="2991"/>
      <c r="K64" s="2991"/>
      <c r="L64" s="2991"/>
      <c r="N64" s="2992"/>
      <c r="O64" s="2991"/>
      <c r="P64" s="2991"/>
      <c r="Q64" s="2991"/>
      <c r="S64" s="2992"/>
      <c r="T64" s="2991"/>
      <c r="U64" s="2991"/>
      <c r="V64" s="2991"/>
      <c r="X64" s="2983"/>
      <c r="Y64" s="2983"/>
      <c r="Z64" s="2983"/>
    </row>
    <row r="65" spans="1:26">
      <c r="A65" s="2914" t="s">
        <v>2771</v>
      </c>
      <c r="B65" s="2993">
        <f t="shared" ref="B65:C67" si="54">B66+(B$64-B$68)/4</f>
        <v>105</v>
      </c>
      <c r="C65" s="2993">
        <f t="shared" si="54"/>
        <v>106</v>
      </c>
      <c r="D65" s="2993">
        <f t="shared" si="16"/>
        <v>106</v>
      </c>
      <c r="E65" s="2993">
        <f t="shared" ref="E65:F67" si="55">E66+(E$64-E$68)/4</f>
        <v>104.5</v>
      </c>
      <c r="F65" s="2993">
        <f t="shared" si="55"/>
        <v>101.5</v>
      </c>
      <c r="G65" s="3790">
        <v>2002</v>
      </c>
      <c r="H65" s="2944">
        <v>3</v>
      </c>
      <c r="I65" s="2991"/>
      <c r="J65" s="2991"/>
      <c r="K65" s="2991"/>
      <c r="L65" s="2991"/>
      <c r="X65" s="2983"/>
      <c r="Y65" s="2983"/>
      <c r="Z65" s="2983"/>
    </row>
    <row r="66" spans="1:26">
      <c r="A66" s="2914" t="s">
        <v>2772</v>
      </c>
      <c r="B66" s="2993">
        <f t="shared" si="54"/>
        <v>104</v>
      </c>
      <c r="C66" s="2993">
        <f t="shared" si="54"/>
        <v>105</v>
      </c>
      <c r="D66" s="2993">
        <f t="shared" si="16"/>
        <v>105</v>
      </c>
      <c r="E66" s="2993">
        <f t="shared" si="55"/>
        <v>104</v>
      </c>
      <c r="F66" s="2993">
        <f t="shared" si="55"/>
        <v>101</v>
      </c>
      <c r="G66" s="3790">
        <v>2002</v>
      </c>
      <c r="H66" s="2920">
        <v>2</v>
      </c>
      <c r="I66" s="2991"/>
      <c r="J66" s="2991"/>
      <c r="K66" s="2991"/>
      <c r="L66" s="2991"/>
      <c r="X66" s="2983"/>
      <c r="Y66" s="2983"/>
      <c r="Z66" s="2983"/>
    </row>
    <row r="67" spans="1:26" s="2955" customFormat="1" ht="13.5" thickBot="1">
      <c r="A67" s="2951" t="s">
        <v>2773</v>
      </c>
      <c r="B67" s="2997">
        <f t="shared" si="54"/>
        <v>103</v>
      </c>
      <c r="C67" s="2997">
        <f t="shared" si="54"/>
        <v>104</v>
      </c>
      <c r="D67" s="2997">
        <f t="shared" si="16"/>
        <v>104</v>
      </c>
      <c r="E67" s="2997">
        <f t="shared" si="55"/>
        <v>103.5</v>
      </c>
      <c r="F67" s="2997">
        <f t="shared" si="55"/>
        <v>100.5</v>
      </c>
      <c r="G67" s="3791">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2774</v>
      </c>
      <c r="G70" s="3007"/>
      <c r="N70" s="3007"/>
      <c r="S70" s="3007"/>
    </row>
    <row r="71" spans="1:26" s="3006" customFormat="1">
      <c r="A71" s="3006" t="s">
        <v>2775</v>
      </c>
      <c r="G71" s="3007"/>
      <c r="N71" s="3007"/>
      <c r="S71" s="3007"/>
    </row>
    <row r="72" spans="1:26" s="3006" customFormat="1">
      <c r="A72" s="3006" t="s">
        <v>2776</v>
      </c>
      <c r="G72" s="3007"/>
      <c r="I72" s="3008"/>
      <c r="J72" s="3008"/>
      <c r="K72" s="3008"/>
      <c r="L72" s="3008"/>
      <c r="N72" s="3009"/>
      <c r="O72" s="3008"/>
      <c r="P72" s="3008"/>
      <c r="Q72" s="3008"/>
      <c r="S72" s="3009"/>
      <c r="T72" s="3008"/>
      <c r="U72" s="3008"/>
      <c r="V72" s="3008"/>
    </row>
    <row r="73" spans="1:26" s="3006" customFormat="1">
      <c r="A73" s="3006" t="s">
        <v>2777</v>
      </c>
      <c r="G73" s="3007"/>
      <c r="N73" s="3007"/>
      <c r="S73" s="3007"/>
    </row>
    <row r="80" spans="1:26" ht="13.5" thickBot="1"/>
    <row r="81" spans="14:22" s="2928" customFormat="1">
      <c r="N81" s="2943"/>
      <c r="S81" s="3010" t="s">
        <v>2778</v>
      </c>
      <c r="T81" s="3011" t="s">
        <v>2779</v>
      </c>
      <c r="U81" s="3011" t="s">
        <v>2780</v>
      </c>
      <c r="V81" s="3011" t="s">
        <v>2781</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1"/>
    <col min="46" max="16384" width="9" style="469"/>
  </cols>
  <sheetData>
    <row r="1" spans="1:45" ht="14.25" customHeight="1" thickBot="1">
      <c r="A1" s="486"/>
      <c r="B1" s="2440" t="s">
        <v>2381</v>
      </c>
      <c r="C1" s="3802" t="s">
        <v>2382</v>
      </c>
      <c r="D1" s="3803"/>
      <c r="E1" s="3803"/>
      <c r="F1" s="3803"/>
      <c r="G1" s="3803"/>
      <c r="H1" s="3803"/>
      <c r="I1" s="3803"/>
      <c r="J1" s="3803"/>
      <c r="K1" s="3803"/>
      <c r="L1" s="3803"/>
      <c r="M1" s="3803"/>
      <c r="N1" s="3803"/>
      <c r="O1" s="3803"/>
      <c r="P1" s="3803"/>
      <c r="Q1" s="3803"/>
      <c r="R1" s="3803"/>
      <c r="S1" s="3804"/>
      <c r="T1" s="2440" t="s">
        <v>2383</v>
      </c>
    </row>
    <row r="2" spans="1:45" s="1114" customFormat="1">
      <c r="A2" s="2441"/>
      <c r="B2" s="1110" t="s">
        <v>2384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6"/>
      <c r="G3" s="3206"/>
      <c r="H3" s="3206"/>
      <c r="I3" s="3206"/>
      <c r="J3" s="3206"/>
      <c r="K3" s="3206"/>
      <c r="L3" s="3207"/>
      <c r="M3" s="3208"/>
      <c r="N3" s="3208"/>
      <c r="O3" s="3206"/>
      <c r="P3" s="3206"/>
      <c r="Q3" s="3206"/>
      <c r="R3" s="3206"/>
      <c r="S3" s="3209"/>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0"/>
      <c r="G4" s="3210"/>
      <c r="H4" s="3210"/>
      <c r="I4" s="3210"/>
      <c r="J4" s="3210"/>
      <c r="K4" s="3210"/>
      <c r="L4" s="3210"/>
      <c r="M4" s="3211"/>
      <c r="N4" s="3211"/>
      <c r="O4" s="3210"/>
      <c r="P4" s="3210"/>
      <c r="Q4" s="3210"/>
      <c r="R4" s="3210"/>
      <c r="S4" s="3212"/>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1"/>
      <c r="B5" s="3304" t="s">
        <v>3029</v>
      </c>
      <c r="C5" s="2452"/>
      <c r="D5" s="2453"/>
      <c r="E5" s="2453"/>
      <c r="F5" s="3213"/>
      <c r="G5" s="3213"/>
      <c r="H5" s="3213"/>
      <c r="I5" s="3213"/>
      <c r="J5" s="3213"/>
      <c r="K5" s="3213"/>
      <c r="L5" s="3214"/>
      <c r="M5" s="3215"/>
      <c r="N5" s="3215"/>
      <c r="O5" s="3213"/>
      <c r="P5" s="3213"/>
      <c r="Q5" s="3213"/>
      <c r="R5" s="3213"/>
      <c r="S5" s="3216"/>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1"/>
      <c r="B6" s="2202"/>
      <c r="C6" s="2208">
        <v>100</v>
      </c>
      <c r="D6" s="2205">
        <f>C6-$T5</f>
        <v>100</v>
      </c>
      <c r="E6" s="2205">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1"/>
      <c r="B7" s="3305" t="s">
        <v>3028</v>
      </c>
      <c r="C7" s="2207"/>
      <c r="D7" s="2201"/>
      <c r="E7" s="2201"/>
      <c r="F7" s="3218"/>
      <c r="G7" s="3218"/>
      <c r="H7" s="3218"/>
      <c r="I7" s="3218"/>
      <c r="J7" s="3218"/>
      <c r="K7" s="3218"/>
      <c r="L7" s="3218"/>
      <c r="M7" s="3219"/>
      <c r="N7" s="3220"/>
      <c r="O7" s="3221"/>
      <c r="P7" s="3222"/>
      <c r="Q7" s="3223"/>
      <c r="R7" s="3224"/>
      <c r="S7" s="3225"/>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1"/>
      <c r="B8" s="2202"/>
      <c r="C8" s="2208">
        <v>100</v>
      </c>
      <c r="D8" s="2205">
        <f>C8-$T7</f>
        <v>100</v>
      </c>
      <c r="E8" s="2205">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1"/>
      <c r="B9" s="3305" t="s">
        <v>3027</v>
      </c>
      <c r="C9" s="2207"/>
      <c r="D9" s="2201"/>
      <c r="E9" s="2201"/>
      <c r="F9" s="3218"/>
      <c r="G9" s="3218"/>
      <c r="H9" s="3218"/>
      <c r="I9" s="3218"/>
      <c r="J9" s="3218"/>
      <c r="K9" s="3218"/>
      <c r="L9" s="3226"/>
      <c r="M9" s="3219"/>
      <c r="N9" s="3220"/>
      <c r="O9" s="3221"/>
      <c r="P9" s="3222"/>
      <c r="Q9" s="3223"/>
      <c r="R9" s="3224"/>
      <c r="S9" s="3225"/>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1"/>
      <c r="B10" s="2445"/>
      <c r="C10" s="2456">
        <v>100</v>
      </c>
      <c r="D10" s="2457">
        <f>C10-$T9</f>
        <v>100</v>
      </c>
      <c r="E10" s="2457">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1"/>
      <c r="B11" s="3304" t="s">
        <v>3026</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1"/>
      <c r="B13" s="3304" t="s">
        <v>3025</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1"/>
      <c r="B15" s="3304" t="s">
        <v>3024</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2385</v>
      </c>
      <c r="B17" s="2484" t="s">
        <v>2386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8"/>
      <c r="B19" s="499"/>
      <c r="C19" s="499"/>
      <c r="D19" s="3355" t="s">
        <v>3062</v>
      </c>
      <c r="E19" s="3350"/>
      <c r="F19" s="3350"/>
      <c r="G19" s="3350"/>
      <c r="H19" s="2537"/>
      <c r="I19" s="499"/>
      <c r="J19" s="499"/>
      <c r="K19" s="499"/>
      <c r="L19" s="499"/>
      <c r="M19" s="499"/>
      <c r="N19" s="499"/>
      <c r="O19" s="499"/>
      <c r="P19" s="499"/>
      <c r="Q19" s="499"/>
      <c r="R19" s="1414"/>
      <c r="S19" s="468"/>
    </row>
    <row r="20" spans="1:45" ht="16.5" thickBot="1">
      <c r="A20" s="1122" t="s">
        <v>520</v>
      </c>
      <c r="B20" s="672" t="e">
        <f ca="1">IF(D20="——",S22,S22-F20)</f>
        <v>#REF!</v>
      </c>
      <c r="C20" s="499"/>
      <c r="D20" s="3351" t="s">
        <v>3063</v>
      </c>
      <c r="E20" s="3352"/>
      <c r="F20" s="2440" t="e">
        <f ca="1">SUMIF(INDIRECT("'"&amp;H20&amp;"'"&amp;"!A:A"),"承租人权益价值",INDIRECT("'"&amp;H20&amp;"'"&amp;"!c:c"))</f>
        <v>#REF!</v>
      </c>
      <c r="G20" s="3353" t="s">
        <v>3050</v>
      </c>
      <c r="H20" s="3354"/>
      <c r="I20" s="499"/>
      <c r="J20" s="499"/>
      <c r="K20" s="499"/>
      <c r="L20" s="499"/>
      <c r="M20" s="499"/>
      <c r="N20" s="499"/>
      <c r="O20" s="499"/>
      <c r="P20" s="499"/>
      <c r="Q20" s="499"/>
      <c r="R20" s="1414"/>
      <c r="S20" s="468"/>
    </row>
    <row r="21" spans="1:45" ht="15.75">
      <c r="A21" s="1122" t="s">
        <v>521</v>
      </c>
      <c r="B21" s="672">
        <f>R22</f>
        <v>10000</v>
      </c>
      <c r="C21" s="499"/>
      <c r="D21" s="499"/>
      <c r="E21" s="499"/>
      <c r="F21" s="499"/>
      <c r="G21" s="499"/>
      <c r="H21" s="499"/>
      <c r="I21" s="499"/>
      <c r="J21" s="499"/>
      <c r="K21" s="499"/>
      <c r="L21" s="499"/>
      <c r="M21" s="499"/>
      <c r="N21" s="499"/>
      <c r="O21" s="499"/>
      <c r="P21" s="499"/>
      <c r="Q21" s="499"/>
      <c r="R21" s="1414"/>
      <c r="S21" s="468"/>
    </row>
    <row r="22" spans="1:45">
      <c r="A22" s="697" t="s">
        <v>522</v>
      </c>
      <c r="B22" s="312">
        <f>SUM(B24:B10000)</f>
        <v>100</v>
      </c>
      <c r="C22" s="3799" t="s">
        <v>168</v>
      </c>
      <c r="D22" s="3800"/>
      <c r="E22" s="3800"/>
      <c r="F22" s="3800"/>
      <c r="G22" s="3800"/>
      <c r="H22" s="3800"/>
      <c r="I22" s="3800"/>
      <c r="J22" s="3800"/>
      <c r="K22" s="3800"/>
      <c r="L22" s="3800"/>
      <c r="M22" s="3800"/>
      <c r="N22" s="3800"/>
      <c r="O22" s="3800"/>
      <c r="P22" s="3800"/>
      <c r="Q22" s="3801"/>
      <c r="R22" s="1123">
        <f>ROUND(S22*10000/B22,0)</f>
        <v>10000</v>
      </c>
      <c r="S22" s="312">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4" t="s">
        <v>526</v>
      </c>
      <c r="S23" s="299" t="s">
        <v>527</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528</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5"/>
      <c r="C2" s="3435"/>
      <c r="D2" s="3435"/>
      <c r="E2" s="3435"/>
    </row>
    <row r="3" spans="1:5" ht="18.75">
      <c r="A3" s="3436" t="str">
        <f>IF(项目基本情况!B9="房地产市场价值","估价结果一览表（市场价值不需“结果表-1”）","估价结果一览表")</f>
        <v>估价结果一览表</v>
      </c>
      <c r="B3" s="3436"/>
      <c r="C3" s="3436"/>
      <c r="D3" s="3436"/>
      <c r="E3" s="3436"/>
    </row>
    <row r="4" spans="1:5" ht="19.5" thickBot="1">
      <c r="A4" s="1974"/>
      <c r="B4" s="3434" t="s">
        <v>2032</v>
      </c>
      <c r="C4" s="3434"/>
      <c r="D4" s="3434"/>
      <c r="E4" s="1974"/>
    </row>
    <row r="5" spans="1:5" ht="16.5" thickTop="1">
      <c r="A5" s="1962"/>
      <c r="B5" s="3432" t="s">
        <v>2028</v>
      </c>
      <c r="C5" s="1964" t="s">
        <v>2033</v>
      </c>
      <c r="D5" s="1965">
        <f ca="1">结果表!H101</f>
        <v>71292</v>
      </c>
      <c r="E5" s="1962"/>
    </row>
    <row r="6" spans="1:5" ht="15.75">
      <c r="A6" s="1962"/>
      <c r="B6" s="3432"/>
      <c r="C6" s="1964" t="s">
        <v>2871</v>
      </c>
      <c r="D6" s="1965" t="str">
        <f ca="1">NUMBERSTRING(INT(D5*10000),2)&amp;"元整"</f>
        <v>柒亿壹仟贰佰玖拾贰万元整</v>
      </c>
      <c r="E6" s="1962"/>
    </row>
    <row r="7" spans="1:5" ht="15.75">
      <c r="A7" s="1962"/>
      <c r="B7" s="3437"/>
      <c r="C7" s="1966" t="s">
        <v>2034</v>
      </c>
      <c r="D7" s="1967">
        <f ca="1">结果表!H102</f>
        <v>24606</v>
      </c>
      <c r="E7" s="1962"/>
    </row>
    <row r="8" spans="1:5" ht="15.75">
      <c r="A8" s="1962"/>
      <c r="B8" s="3438" t="str">
        <f>结果表!E103</f>
        <v>2.估价师知悉的法定优先受偿款</v>
      </c>
      <c r="C8" s="1968" t="s">
        <v>2035</v>
      </c>
      <c r="D8" s="1967">
        <f>结果表!H103</f>
        <v>0</v>
      </c>
      <c r="E8" s="1962"/>
    </row>
    <row r="9" spans="1:5" ht="15.75">
      <c r="A9" s="1962"/>
      <c r="B9" s="3440"/>
      <c r="C9" s="1964" t="s">
        <v>2871</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431" t="str">
        <f>结果表!E107</f>
        <v>3.房地产抵押价值</v>
      </c>
      <c r="C13" s="1972" t="s">
        <v>2033</v>
      </c>
      <c r="D13" s="1975">
        <f ca="1">结果表!H107</f>
        <v>71292</v>
      </c>
      <c r="E13" s="1962"/>
    </row>
    <row r="14" spans="1:5" ht="15.75">
      <c r="A14" s="1962"/>
      <c r="B14" s="3432"/>
      <c r="C14" s="1964" t="s">
        <v>2871</v>
      </c>
      <c r="D14" s="1965" t="str">
        <f ca="1">NUMBERSTRING(INT(D13*10000),2)&amp;"元整"</f>
        <v>柒亿壹仟贰佰玖拾贰万元整</v>
      </c>
      <c r="E14" s="1962"/>
    </row>
    <row r="15" spans="1:5" ht="15">
      <c r="A15" s="1962"/>
      <c r="B15" s="3437"/>
      <c r="C15" s="1966" t="s">
        <v>2034</v>
      </c>
      <c r="D15" s="2077">
        <f ca="1">结果表!H108</f>
        <v>24606</v>
      </c>
      <c r="E15" s="1962"/>
    </row>
    <row r="16" spans="1:5" ht="14.25">
      <c r="A16" s="1962"/>
      <c r="B16" s="3438" t="str">
        <f>结果表!E109</f>
        <v>——</v>
      </c>
      <c r="C16" s="1972" t="s">
        <v>2033</v>
      </c>
      <c r="D16" s="2078" t="str">
        <f>结果表!H109</f>
        <v>——</v>
      </c>
      <c r="E16" s="1962"/>
    </row>
    <row r="17" spans="1:5" ht="15.75">
      <c r="A17" s="1962"/>
      <c r="B17" s="3439"/>
      <c r="C17" s="1964" t="s">
        <v>2871</v>
      </c>
      <c r="D17" s="1965" t="e">
        <f>NUMBERSTRING(INT(D16*10000),2)&amp;"元整"</f>
        <v>#VALUE!</v>
      </c>
      <c r="E17" s="1962"/>
    </row>
    <row r="18" spans="1:5" ht="15">
      <c r="A18" s="1962"/>
      <c r="B18" s="3440"/>
      <c r="C18" s="1966" t="s">
        <v>2034</v>
      </c>
      <c r="D18" s="2077" t="str">
        <f>结果表!H110</f>
        <v>——</v>
      </c>
      <c r="E18" s="1962"/>
    </row>
    <row r="19" spans="1:5" ht="15.75">
      <c r="A19" s="1962"/>
      <c r="B19" s="3431" t="str">
        <f>结果表!E111</f>
        <v>——</v>
      </c>
      <c r="C19" s="1972" t="s">
        <v>2033</v>
      </c>
      <c r="D19" s="1967" t="str">
        <f>结果表!H111</f>
        <v>——</v>
      </c>
      <c r="E19" s="1962"/>
    </row>
    <row r="20" spans="1:5" ht="15.75">
      <c r="A20" s="1962"/>
      <c r="B20" s="3432"/>
      <c r="C20" s="1964" t="s">
        <v>2871</v>
      </c>
      <c r="D20" s="1965" t="e">
        <f>NUMBERSTRING(INT(D19*10000),2)&amp;"元整"</f>
        <v>#VALUE!</v>
      </c>
      <c r="E20" s="1962"/>
    </row>
    <row r="21" spans="1:5" ht="15.75" thickBot="1">
      <c r="A21" s="1962"/>
      <c r="B21" s="3433"/>
      <c r="C21" s="2079" t="s">
        <v>2034</v>
      </c>
      <c r="D21" s="2080" t="str">
        <f>结果表!H112</f>
        <v>——</v>
      </c>
      <c r="E21" s="1962"/>
    </row>
    <row r="22" spans="1:5" ht="14.25" thickTop="1">
      <c r="A22" s="1962"/>
      <c r="B22" s="1973" t="s">
        <v>2060</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37997</v>
      </c>
      <c r="C2" s="85" t="s">
        <v>865</v>
      </c>
      <c r="D2" s="574"/>
      <c r="E2" s="574"/>
      <c r="F2" s="574"/>
      <c r="G2" s="574"/>
    </row>
    <row r="3" spans="1:7" s="575" customFormat="1" ht="18" customHeight="1" thickBot="1">
      <c r="A3" s="578" t="s">
        <v>817</v>
      </c>
      <c r="B3" s="579">
        <f ca="1">ROUND(B2*10000/'数据-汇总表'!E3,0)</f>
        <v>13114</v>
      </c>
      <c r="C3" s="85" t="s">
        <v>866</v>
      </c>
      <c r="D3" s="574"/>
      <c r="E3" s="574"/>
      <c r="F3" s="574"/>
      <c r="G3" s="574"/>
    </row>
    <row r="4" spans="1:7" s="583" customFormat="1" ht="15.75">
      <c r="A4" s="580" t="s">
        <v>818</v>
      </c>
      <c r="B4" s="581"/>
      <c r="C4" s="581"/>
      <c r="D4" s="581"/>
      <c r="E4" s="581"/>
      <c r="F4" s="581"/>
      <c r="G4" s="582"/>
    </row>
    <row r="5" spans="1:7" s="589" customFormat="1" ht="13.5" customHeight="1">
      <c r="A5" s="630" t="s">
        <v>2503</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346</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2681</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464</v>
      </c>
      <c r="D10" s="1907">
        <f>'数据-汇总表'!E6</f>
        <v>28973.439999999999</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f>IF(G19="已包含在土地取得成本中","0",ROUND(D19*E19/10000,0))</f>
        <v>435</v>
      </c>
      <c r="D19" s="1911">
        <f>'数据-汇总表'!E3</f>
        <v>28973.439999999999</v>
      </c>
      <c r="E19" s="586">
        <f>'数据-取费表'!B31</f>
        <v>150</v>
      </c>
      <c r="F19" s="606"/>
      <c r="G19" s="84" t="s">
        <v>2526</v>
      </c>
    </row>
    <row r="20" spans="1:7" s="589" customFormat="1" ht="13.5" customHeight="1">
      <c r="A20" s="1801" t="s">
        <v>2506</v>
      </c>
      <c r="B20" s="585" t="s">
        <v>836</v>
      </c>
      <c r="C20" s="607">
        <f>ROUND((C5+C19)*F20,0)</f>
        <v>421</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2066</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1924</v>
      </c>
      <c r="B23" s="590" t="s">
        <v>2510</v>
      </c>
      <c r="C23" s="2699">
        <f ca="1">ROUND(IF('数据-取费表'!B22&lt;=1,C5*F22*'数据-取费表'!B23,C5*(POWER((1+F22),'数据-取费表'!B23)-1)),0)</f>
        <v>2004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42</v>
      </c>
      <c r="D24" s="613"/>
      <c r="E24" s="613"/>
      <c r="F24" s="614"/>
      <c r="G24" s="615" t="s">
        <v>841</v>
      </c>
    </row>
    <row r="25" spans="1:7" s="589" customFormat="1" ht="24">
      <c r="A25" s="1804" t="s">
        <v>1923</v>
      </c>
      <c r="B25" s="590" t="s">
        <v>2507</v>
      </c>
      <c r="C25" s="2699">
        <f ca="1">ROUND(IF('数据-取费表'!B22&lt;=1,C20*F22*'数据-取费表'!B23/2,C20*(POWER((1+F22),'数据-取费表'!B23/2)-1)),0)</f>
        <v>20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C28</f>
        <v>4293</v>
      </c>
      <c r="D27" s="610">
        <f>C29</f>
        <v>4.0000000000000001E-3</v>
      </c>
      <c r="E27" s="611" t="s">
        <v>858</v>
      </c>
      <c r="F27" s="621">
        <f>'数据-取费表'!Q16</f>
        <v>0.2</v>
      </c>
      <c r="G27" s="622" t="s">
        <v>2518</v>
      </c>
    </row>
    <row r="28" spans="1:7" s="589" customFormat="1" ht="13.5" customHeight="1">
      <c r="A28" s="1804" t="s">
        <v>1924</v>
      </c>
      <c r="B28" s="623" t="s">
        <v>2511</v>
      </c>
      <c r="C28" s="624">
        <f>ROUND((C5+C19+C20)*F27*'数据-取费表'!B21/'数据-取费表'!B20,0)</f>
        <v>4293</v>
      </c>
      <c r="D28" s="610"/>
      <c r="E28" s="611"/>
      <c r="F28" s="621"/>
      <c r="G28" s="622"/>
    </row>
    <row r="29" spans="1:7" s="589" customFormat="1" ht="13.5" customHeight="1">
      <c r="A29" s="1804" t="s">
        <v>1922</v>
      </c>
      <c r="B29" s="623" t="s">
        <v>2512</v>
      </c>
      <c r="C29" s="613">
        <f>ROUND(C21*F27*'数据-取费表'!B21/'数据-取费表'!B20,4)</f>
        <v>4.0000000000000001E-3</v>
      </c>
      <c r="D29" s="610"/>
      <c r="E29" s="611"/>
      <c r="F29" s="621"/>
      <c r="G29" s="622"/>
    </row>
    <row r="30" spans="1:7" s="589" customFormat="1" ht="13.5" customHeight="1">
      <c r="A30" s="1801" t="s">
        <v>1918</v>
      </c>
      <c r="B30" s="585" t="s">
        <v>347</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30159</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SUM(C34:C38)</f>
        <v>8004</v>
      </c>
      <c r="D33" s="607"/>
      <c r="E33" s="587"/>
      <c r="F33" s="616"/>
      <c r="G33" s="609"/>
    </row>
    <row r="34" spans="1:7" s="633" customFormat="1" ht="13.5" customHeight="1">
      <c r="A34" s="1804" t="s">
        <v>1924</v>
      </c>
      <c r="B34" s="590" t="s">
        <v>348</v>
      </c>
      <c r="C34" s="595">
        <f>IF(F34=100%,'数据-取费表'!M16-SUMIF('数据-取费表'!C:C,"公共配套",'数据-取费表'!M:M),'数据-取费表'!O16-SUMIF('数据-取费表'!C:C,"公共配套",'数据-取费表'!O:O))</f>
        <v>7243</v>
      </c>
      <c r="D34" s="592"/>
      <c r="E34" s="595"/>
      <c r="F34" s="632">
        <f>IF('数据-取费表'!B24=0,1,'数据-取费表'!N16)</f>
        <v>1</v>
      </c>
      <c r="G34" s="594" t="s">
        <v>848</v>
      </c>
    </row>
    <row r="35" spans="1:7" ht="13.5" customHeight="1">
      <c r="A35" s="1804" t="s">
        <v>1926</v>
      </c>
      <c r="B35" s="590" t="s">
        <v>349</v>
      </c>
      <c r="C35" s="595">
        <f>ROUND(C34*F35,0)</f>
        <v>217</v>
      </c>
      <c r="D35" s="595"/>
      <c r="E35" s="595"/>
      <c r="F35" s="634">
        <f>'数据-取费表'!B33</f>
        <v>0.03</v>
      </c>
      <c r="G35" s="594" t="s">
        <v>849</v>
      </c>
    </row>
    <row r="36" spans="1:7" ht="24">
      <c r="A36" s="1804" t="s">
        <v>1927</v>
      </c>
      <c r="B36" s="590" t="s">
        <v>350</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351</v>
      </c>
    </row>
    <row r="37" spans="1:7" s="633" customFormat="1" ht="13.5" customHeight="1">
      <c r="A37" s="1804" t="s">
        <v>1928</v>
      </c>
      <c r="B37" s="590" t="s">
        <v>850</v>
      </c>
      <c r="C37" s="624">
        <f>ROUND(E37*D37*F34/10000,0)</f>
        <v>435</v>
      </c>
      <c r="D37" s="592">
        <f>'数据-汇总表'!E3</f>
        <v>28973.439999999999</v>
      </c>
      <c r="E37" s="624">
        <f>'数据-取费表'!B35</f>
        <v>150</v>
      </c>
      <c r="F37" s="634"/>
      <c r="G37" s="636" t="s">
        <v>851</v>
      </c>
    </row>
    <row r="38" spans="1:7" ht="13.5" customHeight="1">
      <c r="A38" s="1804" t="s">
        <v>1929</v>
      </c>
      <c r="B38" s="590" t="s">
        <v>352</v>
      </c>
      <c r="C38" s="595">
        <f>ROUND(C34*F38,0)</f>
        <v>109</v>
      </c>
      <c r="D38" s="595"/>
      <c r="E38" s="595"/>
      <c r="F38" s="634">
        <f>'数据-取费表'!B36</f>
        <v>1.4999999999999999E-2</v>
      </c>
      <c r="G38" s="594" t="s">
        <v>849</v>
      </c>
    </row>
    <row r="39" spans="1:7" s="589" customFormat="1" ht="13.5" customHeight="1">
      <c r="A39" s="1801" t="s">
        <v>1913</v>
      </c>
      <c r="B39" s="585" t="s">
        <v>836</v>
      </c>
      <c r="C39" s="607">
        <f>ROUND(C33*F20,0)</f>
        <v>160</v>
      </c>
      <c r="D39" s="607"/>
      <c r="E39" s="607"/>
      <c r="F39" s="608"/>
      <c r="G39" s="2619" t="s">
        <v>2520</v>
      </c>
    </row>
    <row r="40" spans="1:7" s="589" customFormat="1" ht="13.5" customHeight="1">
      <c r="A40" s="1801" t="s">
        <v>1914</v>
      </c>
      <c r="B40" s="585" t="s">
        <v>837</v>
      </c>
      <c r="C40" s="637">
        <f>F21</f>
        <v>0.02</v>
      </c>
      <c r="D40" s="611" t="s">
        <v>861</v>
      </c>
      <c r="E40" s="607"/>
      <c r="F40" s="608"/>
      <c r="G40" s="609" t="s">
        <v>852</v>
      </c>
    </row>
    <row r="41" spans="1:7" s="589" customFormat="1" ht="13.5" customHeight="1">
      <c r="A41" s="1801" t="s">
        <v>1915</v>
      </c>
      <c r="B41" s="585" t="s">
        <v>839</v>
      </c>
      <c r="C41" s="607">
        <f ca="1">ROUND(SUM(C42:C43),0)</f>
        <v>388</v>
      </c>
      <c r="D41" s="610">
        <f ca="1">C44</f>
        <v>1E-3</v>
      </c>
      <c r="E41" s="611" t="s">
        <v>861</v>
      </c>
      <c r="F41" s="612"/>
      <c r="G41" s="2619" t="str">
        <f>IF('数据-取费表'!B22&lt;=1,"单利计息","复利计息")</f>
        <v>复利计息</v>
      </c>
    </row>
    <row r="42" spans="1:7" ht="13.5" customHeight="1">
      <c r="A42" s="1804" t="s">
        <v>1924</v>
      </c>
      <c r="B42" s="590" t="s">
        <v>2510</v>
      </c>
      <c r="C42" s="613">
        <f ca="1">ROUND(IF('数据-取费表'!B22&lt;=1,C33*F22*'数据-取费表'!B21/2,C33*(POWER((1+F22),'数据-取费表'!B21/2)-1)),0)</f>
        <v>380</v>
      </c>
      <c r="D42" s="613"/>
      <c r="E42" s="613"/>
      <c r="F42" s="614"/>
      <c r="G42" s="3623" t="s">
        <v>853</v>
      </c>
    </row>
    <row r="43" spans="1:7" ht="13.5" customHeight="1">
      <c r="A43" s="1804" t="s">
        <v>1922</v>
      </c>
      <c r="B43" s="590" t="s">
        <v>2513</v>
      </c>
      <c r="C43" s="613">
        <f ca="1">ROUND(IF('数据-取费表'!B22&lt;=1,C39*F22*'数据-取费表'!B21/2,C39*(POWER((1+F22),'数据-取费表'!B21/2)-1)),0)</f>
        <v>8</v>
      </c>
      <c r="D43" s="613"/>
      <c r="E43" s="613"/>
      <c r="F43" s="614"/>
      <c r="G43" s="3624"/>
    </row>
    <row r="44" spans="1:7" ht="13.5" customHeight="1">
      <c r="A44" s="1804" t="s">
        <v>1923</v>
      </c>
      <c r="B44" s="590" t="s">
        <v>2515</v>
      </c>
      <c r="C44" s="613">
        <f ca="1">ROUND(IF('数据-取费表'!B22&lt;=1,C40*F22*'数据-取费表'!B21/2,C40*(POWER((1+F22),'数据-取费表'!B21/2)-1)),4)</f>
        <v>1E-3</v>
      </c>
      <c r="D44" s="613"/>
      <c r="E44" s="613"/>
      <c r="F44" s="614"/>
      <c r="G44" s="3625"/>
    </row>
    <row r="45" spans="1:7" s="589" customFormat="1" ht="13.5" customHeight="1">
      <c r="A45" s="1801" t="s">
        <v>1916</v>
      </c>
      <c r="B45" s="619" t="s">
        <v>844</v>
      </c>
      <c r="C45" s="620">
        <f>C46</f>
        <v>1633</v>
      </c>
      <c r="D45" s="610">
        <f>C47</f>
        <v>4.0000000000000001E-3</v>
      </c>
      <c r="E45" s="611" t="s">
        <v>861</v>
      </c>
      <c r="F45" s="621"/>
      <c r="G45" s="622" t="s">
        <v>2521</v>
      </c>
    </row>
    <row r="46" spans="1:7" s="589" customFormat="1" ht="13.5" customHeight="1">
      <c r="A46" s="1804" t="s">
        <v>1924</v>
      </c>
      <c r="B46" s="623" t="s">
        <v>2514</v>
      </c>
      <c r="C46" s="624">
        <f>ROUND((C33+C39)*F27,0)</f>
        <v>1633</v>
      </c>
      <c r="D46" s="638"/>
      <c r="E46" s="611"/>
      <c r="F46" s="621"/>
      <c r="G46" s="622"/>
    </row>
    <row r="47" spans="1:7" s="589" customFormat="1" ht="13.5" customHeight="1">
      <c r="A47" s="1804" t="s">
        <v>1922</v>
      </c>
      <c r="B47" s="623" t="s">
        <v>2516</v>
      </c>
      <c r="C47" s="613">
        <f>ROUND(C40*F27,4)</f>
        <v>4.0000000000000001E-3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11039</v>
      </c>
      <c r="D49" s="607"/>
      <c r="E49" s="607"/>
      <c r="F49" s="639"/>
      <c r="G49" s="609" t="s">
        <v>2522</v>
      </c>
    </row>
    <row r="50" spans="1:7" s="633" customFormat="1" ht="24">
      <c r="A50" s="1801" t="s">
        <v>1919</v>
      </c>
      <c r="B50" s="585" t="s">
        <v>856</v>
      </c>
      <c r="C50" s="607"/>
      <c r="D50" s="607"/>
      <c r="E50" s="607"/>
      <c r="F50" s="639">
        <f>IF('数据-取费表'!B24=0,'数据-取费表'!N16,1)</f>
        <v>0.71</v>
      </c>
      <c r="G50" s="622" t="s">
        <v>857</v>
      </c>
    </row>
    <row r="51" spans="1:7" ht="16.5" customHeight="1">
      <c r="A51" s="1801" t="s">
        <v>1920</v>
      </c>
      <c r="B51" s="585" t="s">
        <v>864</v>
      </c>
      <c r="C51" s="607">
        <f ca="1">ROUND(C49*F50,0)</f>
        <v>7838</v>
      </c>
      <c r="D51" s="607"/>
      <c r="E51" s="607"/>
      <c r="F51" s="639"/>
      <c r="G51" s="609" t="s">
        <v>353</v>
      </c>
    </row>
    <row r="52" spans="1:7" s="583" customFormat="1" ht="16.5" thickBot="1">
      <c r="A52" s="640" t="s">
        <v>354</v>
      </c>
      <c r="B52" s="641"/>
      <c r="C52" s="642">
        <f ca="1">C31+C51</f>
        <v>37997</v>
      </c>
      <c r="D52" s="641"/>
      <c r="E52" s="641"/>
      <c r="F52" s="641"/>
      <c r="G52" s="643"/>
    </row>
    <row r="55" spans="1:7" ht="15">
      <c r="B55" s="645" t="s">
        <v>355</v>
      </c>
      <c r="C55" s="646"/>
    </row>
    <row r="56" spans="1:7">
      <c r="B56" s="648" t="s">
        <v>356</v>
      </c>
      <c r="C56" s="649">
        <f ca="1">ROUND(C51/C52,3)</f>
        <v>0.20599999999999999</v>
      </c>
    </row>
    <row r="57" spans="1:7">
      <c r="B57" s="648" t="s">
        <v>357</v>
      </c>
      <c r="C57" s="650">
        <f ca="1">1-C56</f>
        <v>0.79400000000000004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805" t="s">
        <v>1170</v>
      </c>
      <c r="B1" s="3805"/>
      <c r="C1" s="3805"/>
      <c r="D1" s="3805"/>
      <c r="E1" s="3805"/>
      <c r="F1" s="3805"/>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806" t="s">
        <v>1183</v>
      </c>
      <c r="B2" s="3806"/>
      <c r="C2" s="3806"/>
      <c r="D2" s="3806"/>
      <c r="E2" s="3806"/>
      <c r="F2" s="3806"/>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807"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808"/>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2495</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202</v>
      </c>
      <c r="B110" s="1530" t="s">
        <v>1539</v>
      </c>
      <c r="C110" s="1530">
        <v>10520</v>
      </c>
      <c r="D110" s="1530">
        <v>10490</v>
      </c>
      <c r="E110" s="1530">
        <v>10760</v>
      </c>
      <c r="F110" s="1531">
        <v>2160</v>
      </c>
    </row>
    <row r="111" spans="1:6" s="1517" customFormat="1" ht="14.25" customHeight="1" thickBot="1">
      <c r="A111" s="1529" t="s">
        <v>202</v>
      </c>
      <c r="B111" s="1523" t="s">
        <v>1206</v>
      </c>
      <c r="C111" s="1523">
        <v>10090</v>
      </c>
      <c r="D111" s="1523">
        <v>10060</v>
      </c>
      <c r="E111" s="1523">
        <v>10300</v>
      </c>
      <c r="F111" s="1537">
        <v>2010</v>
      </c>
    </row>
    <row r="112" spans="1:6" s="1517" customFormat="1" ht="14.25" customHeight="1" thickBot="1">
      <c r="A112" s="1529" t="s">
        <v>202</v>
      </c>
      <c r="B112" s="1523" t="s">
        <v>1219</v>
      </c>
      <c r="C112" s="1523">
        <v>9910</v>
      </c>
      <c r="D112" s="1523">
        <v>9850</v>
      </c>
      <c r="E112" s="1523">
        <v>9960</v>
      </c>
      <c r="F112" s="1537">
        <v>2090</v>
      </c>
    </row>
    <row r="113" spans="1:6" s="1517" customFormat="1" ht="14.25" customHeight="1" thickBot="1">
      <c r="A113" s="1529" t="s">
        <v>202</v>
      </c>
      <c r="B113" s="1523" t="s">
        <v>1232</v>
      </c>
      <c r="C113" s="1523">
        <v>11430</v>
      </c>
      <c r="D113" s="1523">
        <v>11400</v>
      </c>
      <c r="E113" s="1523">
        <v>11710</v>
      </c>
      <c r="F113" s="1537">
        <v>2050</v>
      </c>
    </row>
    <row r="114" spans="1:6" s="1517" customFormat="1" ht="14.25" customHeight="1" thickBot="1">
      <c r="A114" s="1529" t="s">
        <v>202</v>
      </c>
      <c r="B114" s="1523" t="s">
        <v>1244</v>
      </c>
      <c r="C114" s="1523">
        <v>11390</v>
      </c>
      <c r="D114" s="1523">
        <v>11350</v>
      </c>
      <c r="E114" s="1523">
        <v>11640</v>
      </c>
      <c r="F114" s="1537">
        <v>1620</v>
      </c>
    </row>
    <row r="115" spans="1:6" s="1517" customFormat="1" ht="14.25" customHeight="1" thickBot="1">
      <c r="A115" s="1529" t="s">
        <v>202</v>
      </c>
      <c r="B115" s="1523" t="s">
        <v>1255</v>
      </c>
      <c r="C115" s="1523">
        <v>9930</v>
      </c>
      <c r="D115" s="1523">
        <v>9900</v>
      </c>
      <c r="E115" s="1523">
        <v>10160</v>
      </c>
      <c r="F115" s="1537">
        <v>1580</v>
      </c>
    </row>
    <row r="116" spans="1:6" s="1517" customFormat="1" ht="14.25" customHeight="1" thickBot="1">
      <c r="A116" s="1529" t="s">
        <v>202</v>
      </c>
      <c r="B116" s="1523" t="s">
        <v>1266</v>
      </c>
      <c r="C116" s="1523">
        <v>9150</v>
      </c>
      <c r="D116" s="1523">
        <v>9120</v>
      </c>
      <c r="E116" s="1523">
        <v>9380</v>
      </c>
      <c r="F116" s="1537">
        <v>1750</v>
      </c>
    </row>
    <row r="117" spans="1:6" s="1517" customFormat="1" ht="14.25" customHeight="1" thickBot="1">
      <c r="A117" s="1529" t="s">
        <v>202</v>
      </c>
      <c r="B117" s="1523" t="s">
        <v>1277</v>
      </c>
      <c r="C117" s="1523">
        <v>10680</v>
      </c>
      <c r="D117" s="1523">
        <v>10650</v>
      </c>
      <c r="E117" s="1523">
        <v>10970</v>
      </c>
      <c r="F117" s="1537">
        <v>1730</v>
      </c>
    </row>
    <row r="118" spans="1:6" s="1517" customFormat="1" ht="14.25" customHeight="1" thickBot="1">
      <c r="A118" s="1529" t="s">
        <v>202</v>
      </c>
      <c r="B118" s="1523" t="s">
        <v>1289</v>
      </c>
      <c r="C118" s="1523">
        <v>10080</v>
      </c>
      <c r="D118" s="1523">
        <v>10050</v>
      </c>
      <c r="E118" s="1523">
        <v>10350</v>
      </c>
      <c r="F118" s="1537">
        <v>1920</v>
      </c>
    </row>
    <row r="119" spans="1:6" s="1517" customFormat="1" ht="14.25" customHeight="1" thickBot="1">
      <c r="A119" s="1529" t="s">
        <v>202</v>
      </c>
      <c r="B119" s="1523" t="s">
        <v>1299</v>
      </c>
      <c r="C119" s="1523">
        <v>9450</v>
      </c>
      <c r="D119" s="1523">
        <v>9410</v>
      </c>
      <c r="E119" s="1523">
        <v>9680</v>
      </c>
      <c r="F119" s="1537">
        <v>1880</v>
      </c>
    </row>
    <row r="120" spans="1:6" s="1517" customFormat="1" ht="14.25" customHeight="1" thickBot="1">
      <c r="A120" s="1529" t="s">
        <v>202</v>
      </c>
      <c r="B120" s="1523" t="s">
        <v>1309</v>
      </c>
      <c r="C120" s="1523">
        <v>8730</v>
      </c>
      <c r="D120" s="1523">
        <v>8700</v>
      </c>
      <c r="E120" s="1523">
        <v>8950</v>
      </c>
      <c r="F120" s="1537">
        <v>1830</v>
      </c>
    </row>
    <row r="121" spans="1:6" s="1517" customFormat="1" ht="14.25" customHeight="1" thickBot="1">
      <c r="A121" s="1529" t="s">
        <v>202</v>
      </c>
      <c r="B121" s="1523" t="s">
        <v>1319</v>
      </c>
      <c r="C121" s="1523">
        <v>10070</v>
      </c>
      <c r="D121" s="1523">
        <v>10040</v>
      </c>
      <c r="E121" s="1523">
        <v>10270</v>
      </c>
      <c r="F121" s="1537">
        <v>1960</v>
      </c>
    </row>
    <row r="122" spans="1:6" s="1517" customFormat="1" ht="14.25" customHeight="1" thickBot="1">
      <c r="A122" s="1529" t="s">
        <v>202</v>
      </c>
      <c r="B122" s="1523" t="s">
        <v>1329</v>
      </c>
      <c r="C122" s="1523">
        <v>10500</v>
      </c>
      <c r="D122" s="1523">
        <v>10470</v>
      </c>
      <c r="E122" s="1523">
        <v>10780</v>
      </c>
      <c r="F122" s="1537">
        <v>2180</v>
      </c>
    </row>
    <row r="123" spans="1:6" s="1517" customFormat="1" ht="14.25" customHeight="1" thickBot="1">
      <c r="A123" s="1529" t="s">
        <v>202</v>
      </c>
      <c r="B123" s="1523" t="s">
        <v>1340</v>
      </c>
      <c r="C123" s="1523">
        <v>10390</v>
      </c>
      <c r="D123" s="1523">
        <v>10360</v>
      </c>
      <c r="E123" s="1523">
        <v>10660</v>
      </c>
      <c r="F123" s="1537">
        <v>2040</v>
      </c>
    </row>
    <row r="124" spans="1:6" s="1517" customFormat="1" ht="14.25" customHeight="1" thickBot="1">
      <c r="A124" s="1529" t="s">
        <v>202</v>
      </c>
      <c r="B124" s="1523" t="s">
        <v>1351</v>
      </c>
      <c r="C124" s="1523">
        <v>10390</v>
      </c>
      <c r="D124" s="1523">
        <v>10360</v>
      </c>
      <c r="E124" s="1523">
        <v>10680</v>
      </c>
      <c r="F124" s="1541"/>
    </row>
    <row r="125" spans="1:6" s="1517" customFormat="1" ht="14.25" customHeight="1" thickBot="1">
      <c r="A125" s="1529" t="s">
        <v>202</v>
      </c>
      <c r="B125" s="1523" t="s">
        <v>1361</v>
      </c>
      <c r="C125" s="1523">
        <v>10440</v>
      </c>
      <c r="D125" s="1523">
        <v>10410</v>
      </c>
      <c r="E125" s="1523">
        <v>10710</v>
      </c>
      <c r="F125" s="1541"/>
    </row>
    <row r="126" spans="1:6" s="1517" customFormat="1" ht="14.25" customHeight="1" thickBot="1">
      <c r="A126" s="1529" t="s">
        <v>202</v>
      </c>
      <c r="B126" s="1523" t="s">
        <v>1371</v>
      </c>
      <c r="C126" s="1523">
        <v>10780</v>
      </c>
      <c r="D126" s="1523">
        <v>10750</v>
      </c>
      <c r="E126" s="1523">
        <v>11080</v>
      </c>
      <c r="F126" s="1541"/>
    </row>
    <row r="127" spans="1:6" s="1517" customFormat="1" ht="14.25" customHeight="1" thickBot="1">
      <c r="A127" s="1529" t="s">
        <v>202</v>
      </c>
      <c r="B127" s="1523" t="s">
        <v>1381</v>
      </c>
      <c r="C127" s="1523">
        <v>10100</v>
      </c>
      <c r="D127" s="1523">
        <v>10070</v>
      </c>
      <c r="E127" s="1523">
        <v>10350</v>
      </c>
      <c r="F127" s="1541"/>
    </row>
    <row r="128" spans="1:6" s="1517" customFormat="1" ht="14.25" customHeight="1" thickBot="1">
      <c r="A128" s="1529" t="s">
        <v>202</v>
      </c>
      <c r="B128" s="1523" t="s">
        <v>1391</v>
      </c>
      <c r="C128" s="1523">
        <v>9200</v>
      </c>
      <c r="D128" s="1523">
        <v>9160</v>
      </c>
      <c r="E128" s="1523">
        <v>9660</v>
      </c>
      <c r="F128" s="1541"/>
    </row>
    <row r="129" spans="1:6" s="1517" customFormat="1" ht="14.25" customHeight="1" thickBot="1">
      <c r="A129" s="1529" t="s">
        <v>202</v>
      </c>
      <c r="B129" s="1523" t="s">
        <v>1400</v>
      </c>
      <c r="C129" s="1523">
        <v>10340</v>
      </c>
      <c r="D129" s="1523">
        <v>10310</v>
      </c>
      <c r="E129" s="1523">
        <v>10580</v>
      </c>
      <c r="F129" s="1541"/>
    </row>
    <row r="130" spans="1:6" s="1517" customFormat="1" ht="14.25" customHeight="1" thickBot="1">
      <c r="A130" s="1529" t="s">
        <v>202</v>
      </c>
      <c r="B130" s="1523" t="s">
        <v>1409</v>
      </c>
      <c r="C130" s="1523">
        <v>9680</v>
      </c>
      <c r="D130" s="1523">
        <v>9660</v>
      </c>
      <c r="E130" s="1523">
        <v>9950</v>
      </c>
      <c r="F130" s="1541"/>
    </row>
    <row r="131" spans="1:6" s="1517" customFormat="1" ht="14.25" customHeight="1" thickBot="1">
      <c r="A131" s="1529" t="s">
        <v>202</v>
      </c>
      <c r="B131" s="1523" t="s">
        <v>1417</v>
      </c>
      <c r="C131" s="1523">
        <v>9540</v>
      </c>
      <c r="D131" s="1523">
        <v>9510</v>
      </c>
      <c r="E131" s="1523">
        <v>9790</v>
      </c>
      <c r="F131" s="1541"/>
    </row>
    <row r="132" spans="1:6" s="1517" customFormat="1" ht="14.25" customHeight="1" thickBot="1">
      <c r="A132" s="1529" t="s">
        <v>202</v>
      </c>
      <c r="B132" s="1523" t="s">
        <v>1424</v>
      </c>
      <c r="C132" s="1523">
        <v>9320</v>
      </c>
      <c r="D132" s="1523">
        <v>9290</v>
      </c>
      <c r="E132" s="1523">
        <v>9570</v>
      </c>
      <c r="F132" s="1541"/>
    </row>
    <row r="133" spans="1:6" s="1517" customFormat="1" ht="14.25" customHeight="1" thickBot="1">
      <c r="A133" s="1529" t="s">
        <v>202</v>
      </c>
      <c r="B133" s="1523" t="s">
        <v>1431</v>
      </c>
      <c r="C133" s="1523">
        <v>10310</v>
      </c>
      <c r="D133" s="1523">
        <v>10280</v>
      </c>
      <c r="E133" s="1523">
        <v>10530</v>
      </c>
      <c r="F133" s="1541"/>
    </row>
    <row r="134" spans="1:6" s="1517" customFormat="1" ht="14.25" customHeight="1" thickBot="1">
      <c r="A134" s="1529" t="s">
        <v>202</v>
      </c>
      <c r="B134" s="1523" t="s">
        <v>1438</v>
      </c>
      <c r="C134" s="1523">
        <v>10370</v>
      </c>
      <c r="D134" s="1523">
        <v>10310</v>
      </c>
      <c r="E134" s="1523">
        <v>10240</v>
      </c>
      <c r="F134" s="1537">
        <v>2060</v>
      </c>
    </row>
    <row r="135" spans="1:6" s="1517" customFormat="1" ht="14.25" customHeight="1" thickBot="1">
      <c r="A135" s="1529" t="s">
        <v>202</v>
      </c>
      <c r="B135" s="1523" t="s">
        <v>1445</v>
      </c>
      <c r="C135" s="1523">
        <v>9300</v>
      </c>
      <c r="D135" s="1523">
        <v>9270</v>
      </c>
      <c r="E135" s="1523">
        <v>9350</v>
      </c>
      <c r="F135" s="1541"/>
    </row>
    <row r="136" spans="1:6" s="1517" customFormat="1" ht="14.25" customHeight="1" thickBot="1">
      <c r="A136" s="1529" t="s">
        <v>202</v>
      </c>
      <c r="B136" s="1523" t="s">
        <v>1452</v>
      </c>
      <c r="C136" s="1523">
        <v>10160</v>
      </c>
      <c r="D136" s="1523">
        <v>10110</v>
      </c>
      <c r="E136" s="1523">
        <v>10080</v>
      </c>
      <c r="F136" s="1541"/>
    </row>
    <row r="137" spans="1:6" s="1517" customFormat="1" ht="14.25" customHeight="1" thickBot="1">
      <c r="A137" s="1529" t="s">
        <v>202</v>
      </c>
      <c r="B137" s="1523" t="s">
        <v>1459</v>
      </c>
      <c r="C137" s="1523">
        <v>9200</v>
      </c>
      <c r="D137" s="1523">
        <v>9170</v>
      </c>
      <c r="E137" s="1523">
        <v>9450</v>
      </c>
      <c r="F137" s="1541"/>
    </row>
    <row r="138" spans="1:6" s="1517" customFormat="1" ht="14.25" customHeight="1" thickBot="1">
      <c r="A138" s="1529" t="s">
        <v>202</v>
      </c>
      <c r="B138" s="1523" t="s">
        <v>1464</v>
      </c>
      <c r="C138" s="1523">
        <v>9690</v>
      </c>
      <c r="D138" s="1523">
        <v>9660</v>
      </c>
      <c r="E138" s="1523">
        <v>9840</v>
      </c>
      <c r="F138" s="1541"/>
    </row>
    <row r="139" spans="1:6" s="1517" customFormat="1" ht="14.25" customHeight="1" thickBot="1">
      <c r="A139" s="1529" t="s">
        <v>202</v>
      </c>
      <c r="B139" s="1523" t="s">
        <v>1468</v>
      </c>
      <c r="C139" s="1523">
        <v>10290</v>
      </c>
      <c r="D139" s="1523">
        <v>10260</v>
      </c>
      <c r="E139" s="1523">
        <v>10550</v>
      </c>
      <c r="F139" s="1537">
        <v>1700</v>
      </c>
    </row>
    <row r="140" spans="1:6" s="1517" customFormat="1" ht="14.25" customHeight="1" thickBot="1">
      <c r="A140" s="1529" t="s">
        <v>202</v>
      </c>
      <c r="B140" s="1523" t="s">
        <v>1473</v>
      </c>
      <c r="C140" s="1523">
        <v>9740</v>
      </c>
      <c r="D140" s="1523">
        <v>9710</v>
      </c>
      <c r="E140" s="1523">
        <v>10000</v>
      </c>
      <c r="F140" s="1537">
        <v>2000</v>
      </c>
    </row>
    <row r="141" spans="1:6" s="1517" customFormat="1" ht="14.25" customHeight="1" thickBot="1">
      <c r="A141" s="1529" t="s">
        <v>202</v>
      </c>
      <c r="B141" s="1523" t="s">
        <v>1478</v>
      </c>
      <c r="C141" s="1523">
        <v>9810</v>
      </c>
      <c r="D141" s="1523">
        <v>9770</v>
      </c>
      <c r="E141" s="1523">
        <v>10060</v>
      </c>
      <c r="F141" s="1541"/>
    </row>
    <row r="142" spans="1:6" s="1517" customFormat="1" ht="14.25" customHeight="1" thickBot="1">
      <c r="A142" s="1529" t="s">
        <v>202</v>
      </c>
      <c r="B142" s="1523" t="s">
        <v>1483</v>
      </c>
      <c r="C142" s="1523">
        <v>9300</v>
      </c>
      <c r="D142" s="1523">
        <v>9270</v>
      </c>
      <c r="E142" s="1523">
        <v>9530</v>
      </c>
      <c r="F142" s="1541"/>
    </row>
    <row r="143" spans="1:6" s="1517" customFormat="1" ht="14.25" customHeight="1" thickBot="1">
      <c r="A143" s="1529" t="s">
        <v>202</v>
      </c>
      <c r="B143" s="1523" t="s">
        <v>1488</v>
      </c>
      <c r="C143" s="1523">
        <v>10080</v>
      </c>
      <c r="D143" s="1523">
        <v>10050</v>
      </c>
      <c r="E143" s="1523">
        <v>10340</v>
      </c>
      <c r="F143" s="1541"/>
    </row>
    <row r="144" spans="1:6" s="1517" customFormat="1" ht="14.25" customHeight="1" thickBot="1">
      <c r="A144" s="1529" t="s">
        <v>202</v>
      </c>
      <c r="B144" s="1523" t="s">
        <v>1492</v>
      </c>
      <c r="C144" s="1523">
        <v>9820</v>
      </c>
      <c r="D144" s="1523">
        <v>9750</v>
      </c>
      <c r="E144" s="1523">
        <v>9900</v>
      </c>
      <c r="F144" s="1541"/>
    </row>
    <row r="145" spans="1:6" s="1517" customFormat="1" ht="14.25" customHeight="1" thickBot="1">
      <c r="A145" s="1529" t="s">
        <v>202</v>
      </c>
      <c r="B145" s="1523" t="s">
        <v>1496</v>
      </c>
      <c r="C145" s="1523"/>
      <c r="D145" s="1523"/>
      <c r="E145" s="1523"/>
      <c r="F145" s="1537">
        <v>1740</v>
      </c>
    </row>
    <row r="146" spans="1:6" s="1517" customFormat="1" ht="14.25" customHeight="1" thickBot="1">
      <c r="A146" s="1529" t="s">
        <v>202</v>
      </c>
      <c r="B146" s="1523" t="s">
        <v>1500</v>
      </c>
      <c r="C146" s="1523"/>
      <c r="D146" s="1523"/>
      <c r="E146" s="1523"/>
      <c r="F146" s="1537">
        <v>1740</v>
      </c>
    </row>
    <row r="147" spans="1:6" s="1517" customFormat="1" ht="14.25" customHeight="1" thickBot="1">
      <c r="A147" s="1529" t="s">
        <v>202</v>
      </c>
      <c r="B147" s="1523" t="s">
        <v>1504</v>
      </c>
      <c r="C147" s="1523"/>
      <c r="D147" s="1523"/>
      <c r="E147" s="1523"/>
      <c r="F147" s="1537">
        <v>1740</v>
      </c>
    </row>
    <row r="148" spans="1:6" s="1517" customFormat="1" ht="14.25" customHeight="1" thickBot="1">
      <c r="A148" s="1529" t="s">
        <v>202</v>
      </c>
      <c r="B148" s="1523" t="s">
        <v>1508</v>
      </c>
      <c r="C148" s="1523"/>
      <c r="D148" s="1523"/>
      <c r="E148" s="1523"/>
      <c r="F148" s="1537">
        <v>1740</v>
      </c>
    </row>
    <row r="149" spans="1:6" s="1517" customFormat="1" ht="14.25" customHeight="1" thickBot="1">
      <c r="A149" s="1529" t="s">
        <v>202</v>
      </c>
      <c r="B149" s="1523" t="s">
        <v>1512</v>
      </c>
      <c r="C149" s="1523"/>
      <c r="D149" s="1523"/>
      <c r="E149" s="1523"/>
      <c r="F149" s="1537">
        <v>1740</v>
      </c>
    </row>
    <row r="150" spans="1:6" s="1517" customFormat="1" ht="14.25" customHeight="1" thickBot="1">
      <c r="A150" s="1529" t="s">
        <v>202</v>
      </c>
      <c r="B150" s="1523" t="s">
        <v>1515</v>
      </c>
      <c r="C150" s="1523"/>
      <c r="D150" s="1523"/>
      <c r="E150" s="1523"/>
      <c r="F150" s="1537">
        <v>1610</v>
      </c>
    </row>
    <row r="151" spans="1:6" s="1517" customFormat="1" ht="14.25" customHeight="1" thickBot="1">
      <c r="A151" s="1529" t="s">
        <v>202</v>
      </c>
      <c r="B151" s="1523" t="s">
        <v>1518</v>
      </c>
      <c r="C151" s="1523"/>
      <c r="D151" s="1523"/>
      <c r="E151" s="1523"/>
      <c r="F151" s="1537">
        <v>1610</v>
      </c>
    </row>
    <row r="152" spans="1:6" s="1517" customFormat="1" ht="14.25" customHeight="1" thickBot="1">
      <c r="A152" s="1529" t="s">
        <v>202</v>
      </c>
      <c r="B152" s="1523" t="s">
        <v>1521</v>
      </c>
      <c r="C152" s="1523"/>
      <c r="D152" s="1523"/>
      <c r="E152" s="1523"/>
      <c r="F152" s="1537">
        <v>1610</v>
      </c>
    </row>
    <row r="153" spans="1:6" s="1517" customFormat="1" ht="14.25" customHeight="1" thickBot="1">
      <c r="A153" s="1529" t="s">
        <v>202</v>
      </c>
      <c r="B153" s="1523" t="s">
        <v>1524</v>
      </c>
      <c r="C153" s="1523"/>
      <c r="D153" s="1523"/>
      <c r="E153" s="1523"/>
      <c r="F153" s="1537">
        <v>1610</v>
      </c>
    </row>
    <row r="154" spans="1:6" s="1517" customFormat="1" ht="14.25" customHeight="1" thickBot="1">
      <c r="A154" s="1529" t="s">
        <v>202</v>
      </c>
      <c r="B154" s="1523" t="s">
        <v>1527</v>
      </c>
      <c r="C154" s="1523"/>
      <c r="D154" s="1523"/>
      <c r="E154" s="1523"/>
      <c r="F154" s="1537">
        <v>1610</v>
      </c>
    </row>
    <row r="155" spans="1:6" s="1517" customFormat="1" ht="14.25" customHeight="1" thickBot="1">
      <c r="A155" s="1529" t="s">
        <v>202</v>
      </c>
      <c r="B155" s="1523" t="s">
        <v>1530</v>
      </c>
      <c r="C155" s="1523"/>
      <c r="D155" s="1523"/>
      <c r="E155" s="1523"/>
      <c r="F155" s="1537">
        <v>1800</v>
      </c>
    </row>
    <row r="156" spans="1:6" s="1517" customFormat="1" ht="14.25" customHeight="1" thickBot="1">
      <c r="A156" s="1529" t="s">
        <v>202</v>
      </c>
      <c r="B156" s="1523" t="s">
        <v>1532</v>
      </c>
      <c r="C156" s="1523"/>
      <c r="D156" s="1523"/>
      <c r="E156" s="1523"/>
      <c r="F156" s="1537">
        <v>1910</v>
      </c>
    </row>
    <row r="157" spans="1:6" s="1517" customFormat="1" ht="14.25" customHeight="1" thickBot="1">
      <c r="A157" s="1529" t="s">
        <v>202</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2495</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805" t="s">
        <v>2132</v>
      </c>
      <c r="B1" s="3805"/>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29" t="s">
        <v>2139</v>
      </c>
      <c r="B5" s="1530" t="s">
        <v>2140</v>
      </c>
      <c r="C5" s="2116">
        <v>8.8999999999999996E-2</v>
      </c>
      <c r="D5" s="2116">
        <v>7.3999999999999996E-2</v>
      </c>
      <c r="E5" s="2116">
        <v>7.4999999999999997E-2</v>
      </c>
      <c r="F5" s="2117">
        <v>0.1</v>
      </c>
    </row>
    <row r="6" spans="1:6" ht="14.25" thickBot="1">
      <c r="A6" s="1529" t="s">
        <v>1226</v>
      </c>
      <c r="B6" s="1523" t="s">
        <v>2141</v>
      </c>
      <c r="C6" s="2118">
        <v>0.1</v>
      </c>
      <c r="D6" s="2118">
        <v>9.0999999999999998E-2</v>
      </c>
      <c r="E6" s="2118">
        <v>9.0999999999999998E-2</v>
      </c>
      <c r="F6" s="2119">
        <v>0.1</v>
      </c>
    </row>
    <row r="7" spans="1:6" ht="14.25" thickBot="1">
      <c r="A7" s="1529" t="s">
        <v>1226</v>
      </c>
      <c r="B7" s="1533" t="s">
        <v>1215</v>
      </c>
      <c r="C7" s="2118">
        <v>8.5999999999999993E-2</v>
      </c>
      <c r="D7" s="2118">
        <v>9.6000000000000002E-2</v>
      </c>
      <c r="E7" s="2118">
        <v>7.5999999999999998E-2</v>
      </c>
      <c r="F7" s="2119">
        <v>0.1</v>
      </c>
    </row>
    <row r="8" spans="1:6" ht="14.25" thickBot="1">
      <c r="A8" s="1529" t="s">
        <v>1226</v>
      </c>
      <c r="B8" s="1523" t="s">
        <v>1227</v>
      </c>
      <c r="C8" s="2118">
        <v>9.9000000000000005E-2</v>
      </c>
      <c r="D8" s="2118">
        <v>9.8000000000000004E-2</v>
      </c>
      <c r="E8" s="2118">
        <v>9.8000000000000004E-2</v>
      </c>
      <c r="F8" s="2119">
        <v>0.1</v>
      </c>
    </row>
    <row r="9" spans="1:6" ht="14.25" thickBot="1">
      <c r="A9" s="1539" t="s">
        <v>1226</v>
      </c>
      <c r="B9" s="1534" t="s">
        <v>1239</v>
      </c>
      <c r="C9" s="2120">
        <v>0.05</v>
      </c>
      <c r="D9" s="2128"/>
      <c r="E9" s="2128"/>
      <c r="F9" s="2129"/>
    </row>
    <row r="10" spans="1:6" ht="14.25" thickBot="1">
      <c r="A10" s="1529" t="s">
        <v>1283</v>
      </c>
      <c r="B10" s="1530" t="s">
        <v>2142</v>
      </c>
      <c r="C10" s="2116">
        <v>8.8999999999999996E-2</v>
      </c>
      <c r="D10" s="2116">
        <v>7.2999999999999995E-2</v>
      </c>
      <c r="E10" s="2116">
        <v>8.2000000000000003E-2</v>
      </c>
      <c r="F10" s="2117">
        <v>0.1</v>
      </c>
    </row>
    <row r="11" spans="1:6" ht="14.25" thickBot="1">
      <c r="A11" s="1529" t="s">
        <v>1283</v>
      </c>
      <c r="B11" s="1533" t="s">
        <v>1202</v>
      </c>
      <c r="C11" s="2118">
        <v>8.8999999999999996E-2</v>
      </c>
      <c r="D11" s="2118">
        <v>7.2999999999999995E-2</v>
      </c>
      <c r="E11" s="2118">
        <v>8.2000000000000003E-2</v>
      </c>
      <c r="F11" s="2119">
        <v>0.1</v>
      </c>
    </row>
    <row r="12" spans="1:6" ht="14.25" thickBot="1">
      <c r="A12" s="1529" t="s">
        <v>1283</v>
      </c>
      <c r="B12" s="1533" t="s">
        <v>1138</v>
      </c>
      <c r="C12" s="2118">
        <v>6.0999999999999999E-2</v>
      </c>
      <c r="D12" s="2118">
        <v>7.0999999999999994E-2</v>
      </c>
      <c r="E12" s="2118">
        <v>9.6000000000000002E-2</v>
      </c>
      <c r="F12" s="2119">
        <v>0.1</v>
      </c>
    </row>
    <row r="13" spans="1:6" ht="14.25" thickBot="1">
      <c r="A13" s="1529" t="s">
        <v>1283</v>
      </c>
      <c r="B13" s="1533" t="s">
        <v>1228</v>
      </c>
      <c r="C13" s="2118">
        <v>6.9000000000000006E-2</v>
      </c>
      <c r="D13" s="2118">
        <v>6.5000000000000002E-2</v>
      </c>
      <c r="E13" s="2118">
        <v>6.6000000000000003E-2</v>
      </c>
      <c r="F13" s="2119">
        <v>0.1</v>
      </c>
    </row>
    <row r="14" spans="1:6" ht="14.25" thickBot="1">
      <c r="A14" s="1529" t="s">
        <v>1283</v>
      </c>
      <c r="B14" s="1533" t="s">
        <v>1240</v>
      </c>
      <c r="C14" s="2118">
        <v>0.1</v>
      </c>
      <c r="D14" s="2118">
        <v>6.5000000000000002E-2</v>
      </c>
      <c r="E14" s="2118">
        <v>7.0000000000000007E-2</v>
      </c>
      <c r="F14" s="2119">
        <v>0.1</v>
      </c>
    </row>
    <row r="15" spans="1:6" ht="14.25" thickBot="1">
      <c r="A15" s="1529" t="s">
        <v>1283</v>
      </c>
      <c r="B15" s="1533" t="s">
        <v>1251</v>
      </c>
      <c r="C15" s="2118">
        <v>9.8000000000000004E-2</v>
      </c>
      <c r="D15" s="2118">
        <v>8.8999999999999996E-2</v>
      </c>
      <c r="E15" s="2118">
        <v>8.8999999999999996E-2</v>
      </c>
      <c r="F15" s="2119">
        <v>0.1</v>
      </c>
    </row>
    <row r="16" spans="1:6" ht="14.25" thickBot="1">
      <c r="A16" s="1529" t="s">
        <v>1283</v>
      </c>
      <c r="B16" s="1533" t="s">
        <v>1262</v>
      </c>
      <c r="C16" s="2118">
        <v>7.0000000000000007E-2</v>
      </c>
      <c r="D16" s="2118">
        <v>9.2999999999999999E-2</v>
      </c>
      <c r="E16" s="2118">
        <v>9.6000000000000002E-2</v>
      </c>
      <c r="F16" s="2119">
        <v>0.1</v>
      </c>
    </row>
    <row r="17" spans="1:6" ht="14.25" thickBot="1">
      <c r="A17" s="1529" t="s">
        <v>1283</v>
      </c>
      <c r="B17" s="1533" t="s">
        <v>1273</v>
      </c>
      <c r="C17" s="2118">
        <v>9.5000000000000001E-2</v>
      </c>
      <c r="D17" s="2118">
        <v>0.1</v>
      </c>
      <c r="E17" s="2118">
        <v>0.1</v>
      </c>
      <c r="F17" s="2130"/>
    </row>
    <row r="18" spans="1:6" ht="14.25" thickBot="1">
      <c r="A18" s="1529" t="s">
        <v>1283</v>
      </c>
      <c r="B18" s="1533" t="s">
        <v>1285</v>
      </c>
      <c r="C18" s="2118">
        <v>7.3999999999999996E-2</v>
      </c>
      <c r="D18" s="2118">
        <v>9.9000000000000005E-2</v>
      </c>
      <c r="E18" s="2118">
        <v>0.1</v>
      </c>
      <c r="F18" s="2130"/>
    </row>
    <row r="19" spans="1:6" ht="14.25" thickBot="1">
      <c r="A19" s="1529" t="s">
        <v>1283</v>
      </c>
      <c r="B19" s="1533" t="s">
        <v>1295</v>
      </c>
      <c r="C19" s="2118">
        <v>9.9000000000000005E-2</v>
      </c>
      <c r="D19" s="2118">
        <v>7.5999999999999998E-2</v>
      </c>
      <c r="E19" s="2118">
        <v>8.6999999999999994E-2</v>
      </c>
      <c r="F19" s="2130"/>
    </row>
    <row r="20" spans="1:6" ht="14.25" thickBot="1">
      <c r="A20" s="1529" t="s">
        <v>1283</v>
      </c>
      <c r="B20" s="1533" t="s">
        <v>1305</v>
      </c>
      <c r="C20" s="2118">
        <v>9.8000000000000004E-2</v>
      </c>
      <c r="D20" s="2118">
        <v>8.5000000000000006E-2</v>
      </c>
      <c r="E20" s="2118">
        <v>8.2000000000000003E-2</v>
      </c>
      <c r="F20" s="2130"/>
    </row>
    <row r="21" spans="1:6" ht="14.25" thickBot="1">
      <c r="A21" s="1529" t="s">
        <v>1283</v>
      </c>
      <c r="B21" s="1533" t="s">
        <v>1315</v>
      </c>
      <c r="C21" s="2118">
        <v>6.6000000000000003E-2</v>
      </c>
      <c r="D21" s="2118">
        <v>6.4000000000000001E-2</v>
      </c>
      <c r="E21" s="2118">
        <v>6.5000000000000002E-2</v>
      </c>
      <c r="F21" s="2130"/>
    </row>
    <row r="22" spans="1:6" ht="14.25" thickBot="1">
      <c r="A22" s="1529" t="s">
        <v>1283</v>
      </c>
      <c r="B22" s="1533" t="s">
        <v>2143</v>
      </c>
      <c r="C22" s="2118">
        <v>0.08</v>
      </c>
      <c r="D22" s="2118">
        <v>9.8000000000000004E-2</v>
      </c>
      <c r="E22" s="2118">
        <v>9.8000000000000004E-2</v>
      </c>
      <c r="F22" s="2130"/>
    </row>
    <row r="23" spans="1:6" ht="14.25" thickBot="1">
      <c r="A23" s="1529" t="s">
        <v>1283</v>
      </c>
      <c r="B23" s="1533" t="s">
        <v>1336</v>
      </c>
      <c r="C23" s="2118">
        <v>9.9000000000000005E-2</v>
      </c>
      <c r="D23" s="2118">
        <v>9.8000000000000004E-2</v>
      </c>
      <c r="E23" s="2118">
        <v>9.0999999999999998E-2</v>
      </c>
      <c r="F23" s="2130"/>
    </row>
    <row r="24" spans="1:6" ht="14.25" thickBot="1">
      <c r="A24" s="1529" t="s">
        <v>1283</v>
      </c>
      <c r="B24" s="1533" t="s">
        <v>1347</v>
      </c>
      <c r="C24" s="2118">
        <v>8.8999999999999996E-2</v>
      </c>
      <c r="D24" s="2118">
        <v>9.7000000000000003E-2</v>
      </c>
      <c r="E24" s="2118">
        <v>7.0000000000000007E-2</v>
      </c>
      <c r="F24" s="2130"/>
    </row>
    <row r="25" spans="1:6" ht="14.25" thickBot="1">
      <c r="A25" s="1529" t="s">
        <v>1283</v>
      </c>
      <c r="B25" s="1533" t="s">
        <v>1357</v>
      </c>
      <c r="C25" s="2118">
        <v>8.8999999999999996E-2</v>
      </c>
      <c r="D25" s="2118">
        <v>0.1</v>
      </c>
      <c r="E25" s="2118">
        <v>8.1000000000000003E-2</v>
      </c>
      <c r="F25" s="2130"/>
    </row>
    <row r="26" spans="1:6" ht="14.25" thickBot="1">
      <c r="A26" s="1529" t="s">
        <v>1283</v>
      </c>
      <c r="B26" s="1533" t="s">
        <v>1367</v>
      </c>
      <c r="C26" s="2131"/>
      <c r="D26" s="2118">
        <v>9.6000000000000002E-2</v>
      </c>
      <c r="E26" s="2118">
        <v>9.2999999999999999E-2</v>
      </c>
      <c r="F26" s="2130"/>
    </row>
    <row r="27" spans="1:6" ht="14.25" thickBot="1">
      <c r="A27" s="1529" t="s">
        <v>1283</v>
      </c>
      <c r="B27" s="1533" t="s">
        <v>1377</v>
      </c>
      <c r="C27" s="2131"/>
      <c r="D27" s="2118">
        <v>7.5999999999999998E-2</v>
      </c>
      <c r="E27" s="2118">
        <v>9.1999999999999998E-2</v>
      </c>
      <c r="F27" s="2130"/>
    </row>
    <row r="28" spans="1:6" ht="14.25" thickBot="1">
      <c r="A28" s="1539" t="s">
        <v>1283</v>
      </c>
      <c r="B28" s="1534" t="s">
        <v>1387</v>
      </c>
      <c r="C28" s="2128"/>
      <c r="D28" s="2120">
        <v>7.5999999999999998E-2</v>
      </c>
      <c r="E28" s="2120">
        <v>9.1999999999999998E-2</v>
      </c>
      <c r="F28" s="2129"/>
    </row>
    <row r="29" spans="1:6" ht="14.25" thickBot="1">
      <c r="A29" s="1529" t="s">
        <v>1456</v>
      </c>
      <c r="B29" s="1530" t="s">
        <v>2144</v>
      </c>
      <c r="C29" s="2116">
        <v>6.4000000000000001E-2</v>
      </c>
      <c r="D29" s="2116">
        <v>6.5000000000000002E-2</v>
      </c>
      <c r="E29" s="2116">
        <v>6.9000000000000006E-2</v>
      </c>
      <c r="F29" s="2117">
        <v>0.1</v>
      </c>
    </row>
    <row r="30" spans="1:6" ht="14.25" thickBot="1">
      <c r="A30" s="1529" t="s">
        <v>1456</v>
      </c>
      <c r="B30" s="1533" t="s">
        <v>1203</v>
      </c>
      <c r="C30" s="2118">
        <v>6.4000000000000001E-2</v>
      </c>
      <c r="D30" s="2118">
        <v>9.9000000000000005E-2</v>
      </c>
      <c r="E30" s="2118">
        <v>0.1</v>
      </c>
      <c r="F30" s="2119">
        <v>0.1</v>
      </c>
    </row>
    <row r="31" spans="1:6" ht="14.25" thickBot="1">
      <c r="A31" s="1529" t="s">
        <v>1456</v>
      </c>
      <c r="B31" s="1533" t="s">
        <v>1216</v>
      </c>
      <c r="C31" s="2118">
        <v>0.1</v>
      </c>
      <c r="D31" s="2118">
        <v>9.5000000000000001E-2</v>
      </c>
      <c r="E31" s="2118">
        <v>8.8999999999999996E-2</v>
      </c>
      <c r="F31" s="2119">
        <v>0.1</v>
      </c>
    </row>
    <row r="32" spans="1:6" ht="14.25" thickBot="1">
      <c r="A32" s="1529" t="s">
        <v>1456</v>
      </c>
      <c r="B32" s="1533" t="s">
        <v>1229</v>
      </c>
      <c r="C32" s="2118">
        <v>0.05</v>
      </c>
      <c r="D32" s="2118">
        <v>0.05</v>
      </c>
      <c r="E32" s="2118">
        <v>8.7999999999999995E-2</v>
      </c>
      <c r="F32" s="2119">
        <v>0.1</v>
      </c>
    </row>
    <row r="33" spans="1:6" ht="14.25" thickBot="1">
      <c r="A33" s="1529" t="s">
        <v>1456</v>
      </c>
      <c r="B33" s="1533" t="s">
        <v>1241</v>
      </c>
      <c r="C33" s="2118">
        <v>7.4999999999999997E-2</v>
      </c>
      <c r="D33" s="2118">
        <v>9.4E-2</v>
      </c>
      <c r="E33" s="2118">
        <v>9.7000000000000003E-2</v>
      </c>
      <c r="F33" s="2119">
        <v>0.1</v>
      </c>
    </row>
    <row r="34" spans="1:6" ht="14.25" thickBot="1">
      <c r="A34" s="1529" t="s">
        <v>1456</v>
      </c>
      <c r="B34" s="1533" t="s">
        <v>1252</v>
      </c>
      <c r="C34" s="2118">
        <v>9.8000000000000004E-2</v>
      </c>
      <c r="D34" s="2118">
        <v>8.5999999999999993E-2</v>
      </c>
      <c r="E34" s="2118">
        <v>9.7000000000000003E-2</v>
      </c>
      <c r="F34" s="2119">
        <v>0.1</v>
      </c>
    </row>
    <row r="35" spans="1:6" ht="14.25" thickBot="1">
      <c r="A35" s="1529" t="s">
        <v>1456</v>
      </c>
      <c r="B35" s="1533" t="s">
        <v>1263</v>
      </c>
      <c r="C35" s="2118">
        <v>5.8999999999999997E-2</v>
      </c>
      <c r="D35" s="2118">
        <v>6.5000000000000002E-2</v>
      </c>
      <c r="E35" s="2118">
        <v>7.0000000000000007E-2</v>
      </c>
      <c r="F35" s="2119">
        <v>0.1</v>
      </c>
    </row>
    <row r="36" spans="1:6" ht="14.25" thickBot="1">
      <c r="A36" s="1529" t="s">
        <v>1456</v>
      </c>
      <c r="B36" s="1533" t="s">
        <v>1274</v>
      </c>
      <c r="C36" s="2118">
        <v>6.3E-2</v>
      </c>
      <c r="D36" s="2118">
        <v>0.1</v>
      </c>
      <c r="E36" s="2118">
        <v>0.1</v>
      </c>
      <c r="F36" s="2119">
        <v>0.1</v>
      </c>
    </row>
    <row r="37" spans="1:6" ht="14.25" thickBot="1">
      <c r="A37" s="1529" t="s">
        <v>1456</v>
      </c>
      <c r="B37" s="1533" t="s">
        <v>1286</v>
      </c>
      <c r="C37" s="2118">
        <v>7.3999999999999996E-2</v>
      </c>
      <c r="D37" s="2118">
        <v>0.1</v>
      </c>
      <c r="E37" s="2118">
        <v>0.1</v>
      </c>
      <c r="F37" s="2119">
        <v>0.1</v>
      </c>
    </row>
    <row r="38" spans="1:6" ht="14.25" thickBot="1">
      <c r="A38" s="1529" t="s">
        <v>1456</v>
      </c>
      <c r="B38" s="1533" t="s">
        <v>1296</v>
      </c>
      <c r="C38" s="2118">
        <v>0.1</v>
      </c>
      <c r="D38" s="2118">
        <v>9.6000000000000002E-2</v>
      </c>
      <c r="E38" s="2118">
        <v>9.6000000000000002E-2</v>
      </c>
      <c r="F38" s="2130"/>
    </row>
    <row r="39" spans="1:6" ht="14.25" thickBot="1">
      <c r="A39" s="1529" t="s">
        <v>1456</v>
      </c>
      <c r="B39" s="1533" t="s">
        <v>1306</v>
      </c>
      <c r="C39" s="2118">
        <v>0.1</v>
      </c>
      <c r="D39" s="2118">
        <v>9.6000000000000002E-2</v>
      </c>
      <c r="E39" s="2118">
        <v>9.6000000000000002E-2</v>
      </c>
      <c r="F39" s="2130"/>
    </row>
    <row r="40" spans="1:6" ht="14.25" thickBot="1">
      <c r="A40" s="1529" t="s">
        <v>1456</v>
      </c>
      <c r="B40" s="1533" t="s">
        <v>1316</v>
      </c>
      <c r="C40" s="2118">
        <v>9.6000000000000002E-2</v>
      </c>
      <c r="D40" s="2118">
        <v>0.1</v>
      </c>
      <c r="E40" s="2118">
        <v>9.9000000000000005E-2</v>
      </c>
      <c r="F40" s="2130"/>
    </row>
    <row r="41" spans="1:6" ht="14.25" thickBot="1">
      <c r="A41" s="1529" t="s">
        <v>1456</v>
      </c>
      <c r="B41" s="1533" t="s">
        <v>1326</v>
      </c>
      <c r="C41" s="2118">
        <v>9.6000000000000002E-2</v>
      </c>
      <c r="D41" s="2118">
        <v>9.8000000000000004E-2</v>
      </c>
      <c r="E41" s="2118">
        <v>9.8000000000000004E-2</v>
      </c>
      <c r="F41" s="2130"/>
    </row>
    <row r="42" spans="1:6" ht="14.25" thickBot="1">
      <c r="A42" s="1529" t="s">
        <v>1456</v>
      </c>
      <c r="B42" s="1533" t="s">
        <v>1337</v>
      </c>
      <c r="C42" s="2118">
        <v>0.1</v>
      </c>
      <c r="D42" s="2118">
        <v>8.7999999999999995E-2</v>
      </c>
      <c r="E42" s="2118">
        <v>0.1</v>
      </c>
      <c r="F42" s="2130"/>
    </row>
    <row r="43" spans="1:6" ht="14.25" thickBot="1">
      <c r="A43" s="1529" t="s">
        <v>1456</v>
      </c>
      <c r="B43" s="1533" t="s">
        <v>1348</v>
      </c>
      <c r="C43" s="2118">
        <v>9.8000000000000004E-2</v>
      </c>
      <c r="D43" s="2118">
        <v>9.7000000000000003E-2</v>
      </c>
      <c r="E43" s="2118">
        <v>9.6000000000000002E-2</v>
      </c>
      <c r="F43" s="2130"/>
    </row>
    <row r="44" spans="1:6" ht="14.25" thickBot="1">
      <c r="A44" s="1529" t="s">
        <v>1456</v>
      </c>
      <c r="B44" s="1533" t="s">
        <v>1358</v>
      </c>
      <c r="C44" s="2118">
        <v>8.5999999999999993E-2</v>
      </c>
      <c r="D44" s="2118">
        <v>7.9000000000000001E-2</v>
      </c>
      <c r="E44" s="2118">
        <v>7.0999999999999994E-2</v>
      </c>
      <c r="F44" s="2130"/>
    </row>
    <row r="45" spans="1:6" ht="14.25" thickBot="1">
      <c r="A45" s="1529" t="s">
        <v>1456</v>
      </c>
      <c r="B45" s="1533" t="s">
        <v>1368</v>
      </c>
      <c r="C45" s="2118">
        <v>9.8000000000000004E-2</v>
      </c>
      <c r="D45" s="2118">
        <v>9.6000000000000002E-2</v>
      </c>
      <c r="E45" s="2118">
        <v>9.6000000000000002E-2</v>
      </c>
      <c r="F45" s="2130"/>
    </row>
    <row r="46" spans="1:6" ht="14.25" thickBot="1">
      <c r="A46" s="1529" t="s">
        <v>1456</v>
      </c>
      <c r="B46" s="1533" t="s">
        <v>1378</v>
      </c>
      <c r="C46" s="2118">
        <v>8.5999999999999993E-2</v>
      </c>
      <c r="D46" s="2118">
        <v>9.8000000000000004E-2</v>
      </c>
      <c r="E46" s="2118">
        <v>8.7999999999999995E-2</v>
      </c>
      <c r="F46" s="2130"/>
    </row>
    <row r="47" spans="1:6" ht="14.25" thickBot="1">
      <c r="A47" s="1529" t="s">
        <v>1456</v>
      </c>
      <c r="B47" s="1533" t="s">
        <v>1388</v>
      </c>
      <c r="C47" s="2118">
        <v>9.6000000000000002E-2</v>
      </c>
      <c r="D47" s="2131"/>
      <c r="E47" s="2118">
        <v>6.9000000000000006E-2</v>
      </c>
      <c r="F47" s="2130"/>
    </row>
    <row r="48" spans="1:6" ht="14.25" thickBot="1">
      <c r="A48" s="1539" t="s">
        <v>1456</v>
      </c>
      <c r="B48" s="1534" t="s">
        <v>1397</v>
      </c>
      <c r="C48" s="2120">
        <v>9.8000000000000004E-2</v>
      </c>
      <c r="D48" s="2128"/>
      <c r="E48" s="2120">
        <v>9.5000000000000001E-2</v>
      </c>
      <c r="F48" s="2129"/>
    </row>
    <row r="49" spans="1:6" ht="14.25" thickBot="1">
      <c r="A49" s="1529" t="s">
        <v>1137</v>
      </c>
      <c r="B49" s="1530" t="s">
        <v>2145</v>
      </c>
      <c r="C49" s="2116">
        <v>9.7000000000000003E-2</v>
      </c>
      <c r="D49" s="2116">
        <v>9.5000000000000001E-2</v>
      </c>
      <c r="E49" s="2116">
        <v>9.7000000000000003E-2</v>
      </c>
      <c r="F49" s="2117">
        <v>0.1</v>
      </c>
    </row>
    <row r="50" spans="1:6" ht="14.25" thickBot="1">
      <c r="A50" s="1529" t="s">
        <v>1137</v>
      </c>
      <c r="B50" s="1523" t="s">
        <v>1204</v>
      </c>
      <c r="C50" s="2118">
        <v>7.4999999999999997E-2</v>
      </c>
      <c r="D50" s="2118">
        <v>9.5000000000000001E-2</v>
      </c>
      <c r="E50" s="2118">
        <v>0.1</v>
      </c>
      <c r="F50" s="2119">
        <v>0.1</v>
      </c>
    </row>
    <row r="51" spans="1:6" ht="14.25" thickBot="1">
      <c r="A51" s="1529" t="s">
        <v>1137</v>
      </c>
      <c r="B51" s="1523" t="s">
        <v>1217</v>
      </c>
      <c r="C51" s="2118">
        <v>9.8000000000000004E-2</v>
      </c>
      <c r="D51" s="2118">
        <v>8.8999999999999996E-2</v>
      </c>
      <c r="E51" s="2118">
        <v>0.1</v>
      </c>
      <c r="F51" s="2119">
        <v>0.1</v>
      </c>
    </row>
    <row r="52" spans="1:6" ht="14.25" thickBot="1">
      <c r="A52" s="1529" t="s">
        <v>1137</v>
      </c>
      <c r="B52" s="1523" t="s">
        <v>1230</v>
      </c>
      <c r="C52" s="2118">
        <v>9.8000000000000004E-2</v>
      </c>
      <c r="D52" s="2118">
        <v>9.7000000000000003E-2</v>
      </c>
      <c r="E52" s="2118">
        <v>8.1000000000000003E-2</v>
      </c>
      <c r="F52" s="2119">
        <v>0.1</v>
      </c>
    </row>
    <row r="53" spans="1:6" ht="14.25" thickBot="1">
      <c r="A53" s="1529" t="s">
        <v>1137</v>
      </c>
      <c r="B53" s="1523" t="s">
        <v>1242</v>
      </c>
      <c r="C53" s="2118">
        <v>9.7000000000000003E-2</v>
      </c>
      <c r="D53" s="2118">
        <v>7.5999999999999998E-2</v>
      </c>
      <c r="E53" s="2118">
        <v>7.0999999999999994E-2</v>
      </c>
      <c r="F53" s="2119">
        <v>0.1</v>
      </c>
    </row>
    <row r="54" spans="1:6" ht="14.25" thickBot="1">
      <c r="A54" s="1529" t="s">
        <v>1137</v>
      </c>
      <c r="B54" s="1523" t="s">
        <v>1253</v>
      </c>
      <c r="C54" s="2118">
        <v>7.5999999999999998E-2</v>
      </c>
      <c r="D54" s="2118">
        <v>0.1</v>
      </c>
      <c r="E54" s="2118">
        <v>9.9000000000000005E-2</v>
      </c>
      <c r="F54" s="2119">
        <v>0.1</v>
      </c>
    </row>
    <row r="55" spans="1:6" ht="14.25" thickBot="1">
      <c r="A55" s="1529" t="s">
        <v>1137</v>
      </c>
      <c r="B55" s="1523" t="s">
        <v>1264</v>
      </c>
      <c r="C55" s="2118">
        <v>0.1</v>
      </c>
      <c r="D55" s="2118">
        <v>0.1</v>
      </c>
      <c r="E55" s="2118">
        <v>9.6000000000000002E-2</v>
      </c>
      <c r="F55" s="2119">
        <v>0.1</v>
      </c>
    </row>
    <row r="56" spans="1:6" ht="14.25" thickBot="1">
      <c r="A56" s="1529" t="s">
        <v>1137</v>
      </c>
      <c r="B56" s="1523" t="s">
        <v>1275</v>
      </c>
      <c r="C56" s="2118">
        <v>0.1</v>
      </c>
      <c r="D56" s="2118">
        <v>9.6000000000000002E-2</v>
      </c>
      <c r="E56" s="2118">
        <v>5.1999999999999998E-2</v>
      </c>
      <c r="F56" s="2119">
        <v>0.1</v>
      </c>
    </row>
    <row r="57" spans="1:6" ht="14.25" thickBot="1">
      <c r="A57" s="1529" t="s">
        <v>1137</v>
      </c>
      <c r="B57" s="1523" t="s">
        <v>1287</v>
      </c>
      <c r="C57" s="2118">
        <v>9.7000000000000003E-2</v>
      </c>
      <c r="D57" s="2118">
        <v>9.6000000000000002E-2</v>
      </c>
      <c r="E57" s="2118">
        <v>9.6000000000000002E-2</v>
      </c>
      <c r="F57" s="2119">
        <v>0.1</v>
      </c>
    </row>
    <row r="58" spans="1:6" ht="14.25" thickBot="1">
      <c r="A58" s="1529" t="s">
        <v>1137</v>
      </c>
      <c r="B58" s="1523" t="s">
        <v>1297</v>
      </c>
      <c r="C58" s="2118">
        <v>9.6000000000000002E-2</v>
      </c>
      <c r="D58" s="2118">
        <v>9.9000000000000005E-2</v>
      </c>
      <c r="E58" s="2118">
        <v>9.6000000000000002E-2</v>
      </c>
      <c r="F58" s="2119">
        <v>0.1</v>
      </c>
    </row>
    <row r="59" spans="1:6" ht="14.25" thickBot="1">
      <c r="A59" s="1529" t="s">
        <v>1137</v>
      </c>
      <c r="B59" s="1523" t="s">
        <v>1307</v>
      </c>
      <c r="C59" s="2118">
        <v>7.1999999999999995E-2</v>
      </c>
      <c r="D59" s="2118">
        <v>9.6000000000000002E-2</v>
      </c>
      <c r="E59" s="2118">
        <v>7.0999999999999994E-2</v>
      </c>
      <c r="F59" s="2119">
        <v>0.1</v>
      </c>
    </row>
    <row r="60" spans="1:6" ht="14.25" thickBot="1">
      <c r="A60" s="1529" t="s">
        <v>1137</v>
      </c>
      <c r="B60" s="1523" t="s">
        <v>1317</v>
      </c>
      <c r="C60" s="2118">
        <v>9.6000000000000002E-2</v>
      </c>
      <c r="D60" s="2118">
        <v>8.8999999999999996E-2</v>
      </c>
      <c r="E60" s="2118">
        <v>9.6000000000000002E-2</v>
      </c>
      <c r="F60" s="2119">
        <v>0.1</v>
      </c>
    </row>
    <row r="61" spans="1:6" ht="14.25" thickBot="1">
      <c r="A61" s="1529" t="s">
        <v>1137</v>
      </c>
      <c r="B61" s="1523" t="s">
        <v>1327</v>
      </c>
      <c r="C61" s="2118">
        <v>8.8999999999999996E-2</v>
      </c>
      <c r="D61" s="2118">
        <v>9.8000000000000004E-2</v>
      </c>
      <c r="E61" s="2118">
        <v>8.7999999999999995E-2</v>
      </c>
      <c r="F61" s="2130"/>
    </row>
    <row r="62" spans="1:6" ht="14.25" thickBot="1">
      <c r="A62" s="1529" t="s">
        <v>1137</v>
      </c>
      <c r="B62" s="1523" t="s">
        <v>1338</v>
      </c>
      <c r="C62" s="2118">
        <v>9.8000000000000004E-2</v>
      </c>
      <c r="D62" s="2118">
        <v>9.2999999999999999E-2</v>
      </c>
      <c r="E62" s="2118">
        <v>9.7000000000000003E-2</v>
      </c>
      <c r="F62" s="2130"/>
    </row>
    <row r="63" spans="1:6" ht="14.25" thickBot="1">
      <c r="A63" s="1529" t="s">
        <v>1137</v>
      </c>
      <c r="B63" s="1523" t="s">
        <v>1349</v>
      </c>
      <c r="C63" s="2118">
        <v>9.6000000000000002E-2</v>
      </c>
      <c r="D63" s="2118">
        <v>9.8000000000000004E-2</v>
      </c>
      <c r="E63" s="2118">
        <v>0.09</v>
      </c>
      <c r="F63" s="2130"/>
    </row>
    <row r="64" spans="1:6" ht="14.25" thickBot="1">
      <c r="A64" s="1529" t="s">
        <v>1137</v>
      </c>
      <c r="B64" s="1523" t="s">
        <v>1359</v>
      </c>
      <c r="C64" s="2118">
        <v>9.9000000000000005E-2</v>
      </c>
      <c r="D64" s="2118">
        <v>9.7000000000000003E-2</v>
      </c>
      <c r="E64" s="2118">
        <v>9.9000000000000005E-2</v>
      </c>
      <c r="F64" s="2130"/>
    </row>
    <row r="65" spans="1:6" ht="14.25" thickBot="1">
      <c r="A65" s="1529" t="s">
        <v>1137</v>
      </c>
      <c r="B65" s="1523" t="s">
        <v>1369</v>
      </c>
      <c r="C65" s="2118">
        <v>9.8000000000000004E-2</v>
      </c>
      <c r="D65" s="2118">
        <v>9.6000000000000002E-2</v>
      </c>
      <c r="E65" s="2118">
        <v>9.6000000000000002E-2</v>
      </c>
      <c r="F65" s="2130"/>
    </row>
    <row r="66" spans="1:6" ht="14.25" thickBot="1">
      <c r="A66" s="1529" t="s">
        <v>1137</v>
      </c>
      <c r="B66" s="1523" t="s">
        <v>1379</v>
      </c>
      <c r="C66" s="2118">
        <v>9.6000000000000002E-2</v>
      </c>
      <c r="D66" s="2118">
        <v>9.1999999999999998E-2</v>
      </c>
      <c r="E66" s="2118">
        <v>9.6000000000000002E-2</v>
      </c>
      <c r="F66" s="2130"/>
    </row>
    <row r="67" spans="1:6" ht="14.25" thickBot="1">
      <c r="A67" s="1529" t="s">
        <v>1137</v>
      </c>
      <c r="B67" s="1523" t="s">
        <v>1389</v>
      </c>
      <c r="C67" s="2118">
        <v>9.4E-2</v>
      </c>
      <c r="D67" s="2118">
        <v>0.1</v>
      </c>
      <c r="E67" s="2118">
        <v>8.7999999999999995E-2</v>
      </c>
      <c r="F67" s="2130"/>
    </row>
    <row r="68" spans="1:6" ht="14.25" thickBot="1">
      <c r="A68" s="1529" t="s">
        <v>1137</v>
      </c>
      <c r="B68" s="1523" t="s">
        <v>1398</v>
      </c>
      <c r="C68" s="2118">
        <v>0.1</v>
      </c>
      <c r="D68" s="2118">
        <v>8.7999999999999995E-2</v>
      </c>
      <c r="E68" s="2118">
        <v>9.7000000000000003E-2</v>
      </c>
      <c r="F68" s="2130"/>
    </row>
    <row r="69" spans="1:6" ht="14.25" thickBot="1">
      <c r="A69" s="1529" t="s">
        <v>1137</v>
      </c>
      <c r="B69" s="1523" t="s">
        <v>1407</v>
      </c>
      <c r="C69" s="2118">
        <v>6.4000000000000001E-2</v>
      </c>
      <c r="D69" s="2118">
        <v>0.1</v>
      </c>
      <c r="E69" s="2118">
        <v>0.1</v>
      </c>
      <c r="F69" s="2130"/>
    </row>
    <row r="70" spans="1:6" ht="14.25" thickBot="1">
      <c r="A70" s="1529" t="s">
        <v>1137</v>
      </c>
      <c r="B70" s="1523" t="s">
        <v>1415</v>
      </c>
      <c r="C70" s="2118">
        <v>9.0999999999999998E-2</v>
      </c>
      <c r="D70" s="2131"/>
      <c r="E70" s="2131"/>
      <c r="F70" s="2130"/>
    </row>
    <row r="71" spans="1:6" ht="14.25" thickBot="1">
      <c r="A71" s="1529" t="s">
        <v>1137</v>
      </c>
      <c r="B71" s="1523" t="s">
        <v>1422</v>
      </c>
      <c r="C71" s="2118">
        <v>0.1</v>
      </c>
      <c r="D71" s="2131"/>
      <c r="E71" s="2131"/>
      <c r="F71" s="2130"/>
    </row>
    <row r="72" spans="1:6" ht="14.25" thickBot="1">
      <c r="A72" s="1529" t="s">
        <v>1137</v>
      </c>
      <c r="B72" s="1523" t="s">
        <v>2146</v>
      </c>
      <c r="C72" s="2131"/>
      <c r="D72" s="2131"/>
      <c r="E72" s="2131"/>
      <c r="F72" s="2119">
        <v>0.05</v>
      </c>
    </row>
    <row r="73" spans="1:6" ht="14.25" thickBot="1">
      <c r="A73" s="1529" t="s">
        <v>1137</v>
      </c>
      <c r="B73" s="1523" t="s">
        <v>2147</v>
      </c>
      <c r="C73" s="2131"/>
      <c r="D73" s="2131"/>
      <c r="E73" s="2131"/>
      <c r="F73" s="2119">
        <v>0.05</v>
      </c>
    </row>
    <row r="74" spans="1:6" ht="14.25" thickBot="1">
      <c r="A74" s="1529" t="s">
        <v>1137</v>
      </c>
      <c r="B74" s="1523" t="s">
        <v>2148</v>
      </c>
      <c r="C74" s="2131"/>
      <c r="D74" s="2131"/>
      <c r="E74" s="2131"/>
      <c r="F74" s="2119">
        <v>0.05</v>
      </c>
    </row>
    <row r="75" spans="1:6" ht="14.25" thickBot="1">
      <c r="A75" s="1539" t="s">
        <v>1137</v>
      </c>
      <c r="B75" s="1535" t="s">
        <v>2149</v>
      </c>
      <c r="C75" s="2128"/>
      <c r="D75" s="2128"/>
      <c r="E75" s="2128"/>
      <c r="F75" s="2121">
        <v>0.05</v>
      </c>
    </row>
    <row r="76" spans="1:6" ht="14.25" thickBot="1">
      <c r="A76" s="1529" t="s">
        <v>1537</v>
      </c>
      <c r="B76" s="1530" t="s">
        <v>2150</v>
      </c>
      <c r="C76" s="2116">
        <v>0.1</v>
      </c>
      <c r="D76" s="2116">
        <v>0.1</v>
      </c>
      <c r="E76" s="2116">
        <v>0.1</v>
      </c>
      <c r="F76" s="2117">
        <v>0.1</v>
      </c>
    </row>
    <row r="77" spans="1:6" ht="14.25" thickBot="1">
      <c r="A77" s="1529" t="s">
        <v>1537</v>
      </c>
      <c r="B77" s="1523" t="s">
        <v>1205</v>
      </c>
      <c r="C77" s="2118">
        <v>8.7999999999999995E-2</v>
      </c>
      <c r="D77" s="2118">
        <v>8.6999999999999994E-2</v>
      </c>
      <c r="E77" s="2118">
        <v>7.9000000000000001E-2</v>
      </c>
      <c r="F77" s="2119">
        <v>0.1</v>
      </c>
    </row>
    <row r="78" spans="1:6" ht="14.25" thickBot="1">
      <c r="A78" s="1529" t="s">
        <v>1537</v>
      </c>
      <c r="B78" s="1523" t="s">
        <v>1218</v>
      </c>
      <c r="C78" s="2118">
        <v>8.6999999999999994E-2</v>
      </c>
      <c r="D78" s="2118">
        <v>8.4000000000000005E-2</v>
      </c>
      <c r="E78" s="2118">
        <v>9.6000000000000002E-2</v>
      </c>
      <c r="F78" s="2119">
        <v>0.1</v>
      </c>
    </row>
    <row r="79" spans="1:6" ht="14.25" thickBot="1">
      <c r="A79" s="1529" t="s">
        <v>1537</v>
      </c>
      <c r="B79" s="1523" t="s">
        <v>1231</v>
      </c>
      <c r="C79" s="2118">
        <v>9.8000000000000004E-2</v>
      </c>
      <c r="D79" s="2118">
        <v>9.8000000000000004E-2</v>
      </c>
      <c r="E79" s="2118">
        <v>9.0999999999999998E-2</v>
      </c>
      <c r="F79" s="2119">
        <v>0.1</v>
      </c>
    </row>
    <row r="80" spans="1:6" ht="14.25" thickBot="1">
      <c r="A80" s="1529" t="s">
        <v>1537</v>
      </c>
      <c r="B80" s="1523" t="s">
        <v>1243</v>
      </c>
      <c r="C80" s="2118">
        <v>9.6000000000000002E-2</v>
      </c>
      <c r="D80" s="2118">
        <v>9.6000000000000002E-2</v>
      </c>
      <c r="E80" s="2118">
        <v>0.1</v>
      </c>
      <c r="F80" s="2119">
        <v>0.1</v>
      </c>
    </row>
    <row r="81" spans="1:6" ht="14.25" thickBot="1">
      <c r="A81" s="1529" t="s">
        <v>1537</v>
      </c>
      <c r="B81" s="1523" t="s">
        <v>1254</v>
      </c>
      <c r="C81" s="2118">
        <v>9.9000000000000005E-2</v>
      </c>
      <c r="D81" s="2118">
        <v>9.9000000000000005E-2</v>
      </c>
      <c r="E81" s="2118">
        <v>9.8000000000000004E-2</v>
      </c>
      <c r="F81" s="2119">
        <v>0.1</v>
      </c>
    </row>
    <row r="82" spans="1:6" ht="14.25" thickBot="1">
      <c r="A82" s="1529" t="s">
        <v>1537</v>
      </c>
      <c r="B82" s="1523" t="s">
        <v>1265</v>
      </c>
      <c r="C82" s="2118">
        <v>9.9000000000000005E-2</v>
      </c>
      <c r="D82" s="2118">
        <v>9.9000000000000005E-2</v>
      </c>
      <c r="E82" s="2118">
        <v>9.7000000000000003E-2</v>
      </c>
      <c r="F82" s="2119">
        <v>0.1</v>
      </c>
    </row>
    <row r="83" spans="1:6" ht="14.25" thickBot="1">
      <c r="A83" s="1529" t="s">
        <v>1537</v>
      </c>
      <c r="B83" s="1523" t="s">
        <v>1276</v>
      </c>
      <c r="C83" s="2118">
        <v>9.8000000000000004E-2</v>
      </c>
      <c r="D83" s="2118">
        <v>9.8000000000000004E-2</v>
      </c>
      <c r="E83" s="2118">
        <v>9.8000000000000004E-2</v>
      </c>
      <c r="F83" s="2119">
        <v>0.1</v>
      </c>
    </row>
    <row r="84" spans="1:6" ht="14.25" thickBot="1">
      <c r="A84" s="1529" t="s">
        <v>1537</v>
      </c>
      <c r="B84" s="1523" t="s">
        <v>1288</v>
      </c>
      <c r="C84" s="2118">
        <v>9.9000000000000005E-2</v>
      </c>
      <c r="D84" s="2118">
        <v>9.9000000000000005E-2</v>
      </c>
      <c r="E84" s="2118">
        <v>9.9000000000000005E-2</v>
      </c>
      <c r="F84" s="2119">
        <v>0.1</v>
      </c>
    </row>
    <row r="85" spans="1:6" ht="14.25" thickBot="1">
      <c r="A85" s="1529" t="s">
        <v>1537</v>
      </c>
      <c r="B85" s="1523" t="s">
        <v>1298</v>
      </c>
      <c r="C85" s="2118">
        <v>9.9000000000000005E-2</v>
      </c>
      <c r="D85" s="2118">
        <v>9.9000000000000005E-2</v>
      </c>
      <c r="E85" s="2118">
        <v>9.9000000000000005E-2</v>
      </c>
      <c r="F85" s="2119">
        <v>0.1</v>
      </c>
    </row>
    <row r="86" spans="1:6" ht="14.25" thickBot="1">
      <c r="A86" s="1529" t="s">
        <v>1537</v>
      </c>
      <c r="B86" s="1523" t="s">
        <v>1308</v>
      </c>
      <c r="C86" s="2118">
        <v>0.1</v>
      </c>
      <c r="D86" s="2118">
        <v>0.1</v>
      </c>
      <c r="E86" s="2118">
        <v>7.6999999999999999E-2</v>
      </c>
      <c r="F86" s="2119">
        <v>0.1</v>
      </c>
    </row>
    <row r="87" spans="1:6" ht="14.25" thickBot="1">
      <c r="A87" s="1529" t="s">
        <v>1537</v>
      </c>
      <c r="B87" s="1523" t="s">
        <v>1318</v>
      </c>
      <c r="C87" s="2118">
        <v>0.1</v>
      </c>
      <c r="D87" s="2118">
        <v>0.1</v>
      </c>
      <c r="E87" s="2118">
        <v>9.8000000000000004E-2</v>
      </c>
      <c r="F87" s="2130"/>
    </row>
    <row r="88" spans="1:6" ht="14.25" thickBot="1">
      <c r="A88" s="1529" t="s">
        <v>1537</v>
      </c>
      <c r="B88" s="1523" t="s">
        <v>1328</v>
      </c>
      <c r="C88" s="2118">
        <v>9.1999999999999998E-2</v>
      </c>
      <c r="D88" s="2118">
        <v>8.5000000000000006E-2</v>
      </c>
      <c r="E88" s="2118">
        <v>9.6000000000000002E-2</v>
      </c>
      <c r="F88" s="2130"/>
    </row>
    <row r="89" spans="1:6" ht="14.25" thickBot="1">
      <c r="A89" s="1529" t="s">
        <v>1537</v>
      </c>
      <c r="B89" s="1523" t="s">
        <v>1339</v>
      </c>
      <c r="C89" s="2118">
        <v>0.1</v>
      </c>
      <c r="D89" s="2118">
        <v>0.1</v>
      </c>
      <c r="E89" s="2118">
        <v>9.7000000000000003E-2</v>
      </c>
      <c r="F89" s="2130"/>
    </row>
    <row r="90" spans="1:6" ht="14.25" thickBot="1">
      <c r="A90" s="1529" t="s">
        <v>1537</v>
      </c>
      <c r="B90" s="1523" t="s">
        <v>1350</v>
      </c>
      <c r="C90" s="2118">
        <v>9.8000000000000004E-2</v>
      </c>
      <c r="D90" s="2118">
        <v>9.8000000000000004E-2</v>
      </c>
      <c r="E90" s="2118">
        <v>8.7999999999999995E-2</v>
      </c>
      <c r="F90" s="2130"/>
    </row>
    <row r="91" spans="1:6" ht="14.25" thickBot="1">
      <c r="A91" s="1529" t="s">
        <v>1537</v>
      </c>
      <c r="B91" s="1523" t="s">
        <v>1360</v>
      </c>
      <c r="C91" s="2118">
        <v>9.9000000000000005E-2</v>
      </c>
      <c r="D91" s="2118">
        <v>9.9000000000000005E-2</v>
      </c>
      <c r="E91" s="2118">
        <v>9.0999999999999998E-2</v>
      </c>
      <c r="F91" s="2130"/>
    </row>
    <row r="92" spans="1:6" ht="14.25" thickBot="1">
      <c r="A92" s="1529" t="s">
        <v>1537</v>
      </c>
      <c r="B92" s="1523" t="s">
        <v>1370</v>
      </c>
      <c r="C92" s="2118">
        <v>9.6000000000000002E-2</v>
      </c>
      <c r="D92" s="2118">
        <v>9.6000000000000002E-2</v>
      </c>
      <c r="E92" s="2118">
        <v>7.2999999999999995E-2</v>
      </c>
      <c r="F92" s="2130"/>
    </row>
    <row r="93" spans="1:6" ht="14.25" thickBot="1">
      <c r="A93" s="1529" t="s">
        <v>1537</v>
      </c>
      <c r="B93" s="1523" t="s">
        <v>1380</v>
      </c>
      <c r="C93" s="2118">
        <v>9.6000000000000002E-2</v>
      </c>
      <c r="D93" s="2118">
        <v>9.6000000000000002E-2</v>
      </c>
      <c r="E93" s="2118">
        <v>9.9000000000000005E-2</v>
      </c>
      <c r="F93" s="2130"/>
    </row>
    <row r="94" spans="1:6" ht="14.25" thickBot="1">
      <c r="A94" s="1529" t="s">
        <v>1537</v>
      </c>
      <c r="B94" s="1523" t="s">
        <v>1390</v>
      </c>
      <c r="C94" s="2118">
        <v>7.5999999999999998E-2</v>
      </c>
      <c r="D94" s="2118">
        <v>7.3999999999999996E-2</v>
      </c>
      <c r="E94" s="2118">
        <v>9.7000000000000003E-2</v>
      </c>
      <c r="F94" s="2130"/>
    </row>
    <row r="95" spans="1:6" ht="14.25" thickBot="1">
      <c r="A95" s="1529" t="s">
        <v>1537</v>
      </c>
      <c r="B95" s="1523" t="s">
        <v>1399</v>
      </c>
      <c r="C95" s="2118">
        <v>9.9000000000000005E-2</v>
      </c>
      <c r="D95" s="2118">
        <v>9.4E-2</v>
      </c>
      <c r="E95" s="2118">
        <v>9.6000000000000002E-2</v>
      </c>
      <c r="F95" s="2130"/>
    </row>
    <row r="96" spans="1:6" ht="14.25" thickBot="1">
      <c r="A96" s="1529" t="s">
        <v>1537</v>
      </c>
      <c r="B96" s="1523" t="s">
        <v>1408</v>
      </c>
      <c r="C96" s="2118">
        <v>9.9000000000000005E-2</v>
      </c>
      <c r="D96" s="2118">
        <v>9.9000000000000005E-2</v>
      </c>
      <c r="E96" s="2118">
        <v>9.9000000000000005E-2</v>
      </c>
      <c r="F96" s="2130"/>
    </row>
    <row r="97" spans="1:6" ht="14.25" thickBot="1">
      <c r="A97" s="1529" t="s">
        <v>1537</v>
      </c>
      <c r="B97" s="1523" t="s">
        <v>1416</v>
      </c>
      <c r="C97" s="2118">
        <v>9.8000000000000004E-2</v>
      </c>
      <c r="D97" s="2118">
        <v>9.8000000000000004E-2</v>
      </c>
      <c r="E97" s="2118">
        <v>9.7000000000000003E-2</v>
      </c>
      <c r="F97" s="2130"/>
    </row>
    <row r="98" spans="1:6" ht="14.25" thickBot="1">
      <c r="A98" s="1529" t="s">
        <v>1537</v>
      </c>
      <c r="B98" s="1523" t="s">
        <v>1423</v>
      </c>
      <c r="C98" s="2118">
        <v>0.1</v>
      </c>
      <c r="D98" s="2118">
        <v>0.1</v>
      </c>
      <c r="E98" s="2118">
        <v>9.7000000000000003E-2</v>
      </c>
      <c r="F98" s="2130"/>
    </row>
    <row r="99" spans="1:6" ht="14.25" thickBot="1">
      <c r="A99" s="1529" t="s">
        <v>1537</v>
      </c>
      <c r="B99" s="1523" t="s">
        <v>1430</v>
      </c>
      <c r="C99" s="2118">
        <v>0.1</v>
      </c>
      <c r="D99" s="2118">
        <v>0.1</v>
      </c>
      <c r="E99" s="2131"/>
      <c r="F99" s="2130"/>
    </row>
    <row r="100" spans="1:6" ht="14.25" thickBot="1">
      <c r="A100" s="1529" t="s">
        <v>1537</v>
      </c>
      <c r="B100" s="1523" t="s">
        <v>1437</v>
      </c>
      <c r="C100" s="2118">
        <v>0.09</v>
      </c>
      <c r="D100" s="2118">
        <v>8.8999999999999996E-2</v>
      </c>
      <c r="E100" s="2131"/>
      <c r="F100" s="2130"/>
    </row>
    <row r="101" spans="1:6" ht="14.25" thickBot="1">
      <c r="A101" s="1529" t="s">
        <v>1537</v>
      </c>
      <c r="B101" s="1523" t="s">
        <v>1444</v>
      </c>
      <c r="C101" s="2118">
        <v>9.8000000000000004E-2</v>
      </c>
      <c r="D101" s="2118">
        <v>9.7000000000000003E-2</v>
      </c>
      <c r="E101" s="2131"/>
      <c r="F101" s="2130"/>
    </row>
    <row r="102" spans="1:6" ht="14.25" thickBot="1">
      <c r="A102" s="1529" t="s">
        <v>1537</v>
      </c>
      <c r="B102" s="1523" t="s">
        <v>2151</v>
      </c>
      <c r="C102" s="2131"/>
      <c r="D102" s="2131"/>
      <c r="E102" s="2131"/>
      <c r="F102" s="2119">
        <v>0.05</v>
      </c>
    </row>
    <row r="103" spans="1:6" ht="24.75" thickBot="1">
      <c r="A103" s="1529" t="s">
        <v>1537</v>
      </c>
      <c r="B103" s="1523" t="s">
        <v>2152</v>
      </c>
      <c r="C103" s="2131"/>
      <c r="D103" s="2131"/>
      <c r="E103" s="2131"/>
      <c r="F103" s="2119">
        <v>0.05</v>
      </c>
    </row>
    <row r="104" spans="1:6" ht="14.25" thickBot="1">
      <c r="A104" s="1529" t="s">
        <v>1537</v>
      </c>
      <c r="B104" s="1523" t="s">
        <v>2153</v>
      </c>
      <c r="C104" s="2131"/>
      <c r="D104" s="2131"/>
      <c r="E104" s="2131"/>
      <c r="F104" s="2119">
        <v>0.05</v>
      </c>
    </row>
    <row r="105" spans="1:6" ht="14.25" thickBot="1">
      <c r="A105" s="1529" t="s">
        <v>1537</v>
      </c>
      <c r="B105" s="1523" t="s">
        <v>2154</v>
      </c>
      <c r="C105" s="2131"/>
      <c r="D105" s="2131"/>
      <c r="E105" s="2131"/>
      <c r="F105" s="2119">
        <v>0.05</v>
      </c>
    </row>
    <row r="106" spans="1:6" ht="14.25" thickBot="1">
      <c r="A106" s="1529" t="s">
        <v>1537</v>
      </c>
      <c r="B106" s="1523" t="s">
        <v>2155</v>
      </c>
      <c r="C106" s="2131"/>
      <c r="D106" s="2131"/>
      <c r="E106" s="2131"/>
      <c r="F106" s="2119">
        <v>0.05</v>
      </c>
    </row>
    <row r="107" spans="1:6" ht="24.75" thickBot="1">
      <c r="A107" s="1529" t="s">
        <v>1537</v>
      </c>
      <c r="B107" s="1523" t="s">
        <v>2156</v>
      </c>
      <c r="C107" s="2131"/>
      <c r="D107" s="2131"/>
      <c r="E107" s="2131"/>
      <c r="F107" s="2119">
        <v>0.05</v>
      </c>
    </row>
    <row r="108" spans="1:6" ht="24.75" thickBot="1">
      <c r="A108" s="1529" t="s">
        <v>1537</v>
      </c>
      <c r="B108" s="1523" t="s">
        <v>2157</v>
      </c>
      <c r="C108" s="2131"/>
      <c r="D108" s="2131"/>
      <c r="E108" s="2131"/>
      <c r="F108" s="2119">
        <v>0.05</v>
      </c>
    </row>
    <row r="109" spans="1:6" ht="24.75" thickBot="1">
      <c r="A109" s="1539" t="s">
        <v>1537</v>
      </c>
      <c r="B109" s="1535" t="s">
        <v>2158</v>
      </c>
      <c r="C109" s="2128"/>
      <c r="D109" s="2128"/>
      <c r="E109" s="2128"/>
      <c r="F109" s="2121">
        <v>0.05</v>
      </c>
    </row>
    <row r="110" spans="1:6" ht="14.25" thickBot="1">
      <c r="A110" s="1529" t="s">
        <v>202</v>
      </c>
      <c r="B110" s="1530" t="s">
        <v>2159</v>
      </c>
      <c r="C110" s="2116">
        <v>0.129</v>
      </c>
      <c r="D110" s="2116">
        <v>0.129</v>
      </c>
      <c r="E110" s="2116">
        <v>0.126</v>
      </c>
      <c r="F110" s="2117">
        <v>0.13</v>
      </c>
    </row>
    <row r="111" spans="1:6" ht="14.25" thickBot="1">
      <c r="A111" s="1529" t="s">
        <v>202</v>
      </c>
      <c r="B111" s="1523" t="s">
        <v>1206</v>
      </c>
      <c r="C111" s="2118">
        <v>0.11</v>
      </c>
      <c r="D111" s="2118">
        <v>0.11</v>
      </c>
      <c r="E111" s="2118">
        <v>9.9000000000000005E-2</v>
      </c>
      <c r="F111" s="2119">
        <v>0.128</v>
      </c>
    </row>
    <row r="112" spans="1:6" ht="14.25" thickBot="1">
      <c r="A112" s="1529" t="s">
        <v>202</v>
      </c>
      <c r="B112" s="1523" t="s">
        <v>1219</v>
      </c>
      <c r="C112" s="2118">
        <v>0.125</v>
      </c>
      <c r="D112" s="2118">
        <v>0.125</v>
      </c>
      <c r="E112" s="2118">
        <v>0.12</v>
      </c>
      <c r="F112" s="2119">
        <v>0.125</v>
      </c>
    </row>
    <row r="113" spans="1:6" ht="14.25" thickBot="1">
      <c r="A113" s="1529" t="s">
        <v>202</v>
      </c>
      <c r="B113" s="1523" t="s">
        <v>1232</v>
      </c>
      <c r="C113" s="2118">
        <v>0.13</v>
      </c>
      <c r="D113" s="2118">
        <v>0.13</v>
      </c>
      <c r="E113" s="2118">
        <v>0.13</v>
      </c>
      <c r="F113" s="2119">
        <v>0.13</v>
      </c>
    </row>
    <row r="114" spans="1:6" ht="14.25" thickBot="1">
      <c r="A114" s="1529" t="s">
        <v>202</v>
      </c>
      <c r="B114" s="1523" t="s">
        <v>1244</v>
      </c>
      <c r="C114" s="2118">
        <v>0.123</v>
      </c>
      <c r="D114" s="2118">
        <v>0.123</v>
      </c>
      <c r="E114" s="2118">
        <v>0.12</v>
      </c>
      <c r="F114" s="2119">
        <v>0.13</v>
      </c>
    </row>
    <row r="115" spans="1:6" ht="14.25" thickBot="1">
      <c r="A115" s="1529" t="s">
        <v>202</v>
      </c>
      <c r="B115" s="1523" t="s">
        <v>1255</v>
      </c>
      <c r="C115" s="2118">
        <v>0.125</v>
      </c>
      <c r="D115" s="2118">
        <v>0.125</v>
      </c>
      <c r="E115" s="2118">
        <v>0.11700000000000001</v>
      </c>
      <c r="F115" s="2119">
        <v>0.13</v>
      </c>
    </row>
    <row r="116" spans="1:6" ht="14.25" thickBot="1">
      <c r="A116" s="1529" t="s">
        <v>202</v>
      </c>
      <c r="B116" s="1523" t="s">
        <v>1266</v>
      </c>
      <c r="C116" s="2118">
        <v>0.11700000000000001</v>
      </c>
      <c r="D116" s="2118">
        <v>0.11700000000000001</v>
      </c>
      <c r="E116" s="2118">
        <v>8.7999999999999995E-2</v>
      </c>
      <c r="F116" s="2119">
        <v>0.13</v>
      </c>
    </row>
    <row r="117" spans="1:6" ht="14.25" thickBot="1">
      <c r="A117" s="1529" t="s">
        <v>202</v>
      </c>
      <c r="B117" s="1523" t="s">
        <v>1277</v>
      </c>
      <c r="C117" s="2118">
        <v>0.13</v>
      </c>
      <c r="D117" s="2118">
        <v>0.13</v>
      </c>
      <c r="E117" s="2118">
        <v>0.129</v>
      </c>
      <c r="F117" s="2119">
        <v>0.13</v>
      </c>
    </row>
    <row r="118" spans="1:6" ht="14.25" thickBot="1">
      <c r="A118" s="1529" t="s">
        <v>202</v>
      </c>
      <c r="B118" s="1523" t="s">
        <v>1289</v>
      </c>
      <c r="C118" s="2118">
        <v>0.123</v>
      </c>
      <c r="D118" s="2118">
        <v>0.123</v>
      </c>
      <c r="E118" s="2118">
        <v>0.11600000000000001</v>
      </c>
      <c r="F118" s="2119">
        <v>0.13</v>
      </c>
    </row>
    <row r="119" spans="1:6" ht="14.25" thickBot="1">
      <c r="A119" s="1529" t="s">
        <v>202</v>
      </c>
      <c r="B119" s="1523" t="s">
        <v>1299</v>
      </c>
      <c r="C119" s="2118">
        <v>0.127</v>
      </c>
      <c r="D119" s="2118">
        <v>0.127</v>
      </c>
      <c r="E119" s="2118">
        <v>0.124</v>
      </c>
      <c r="F119" s="2119">
        <v>0.13</v>
      </c>
    </row>
    <row r="120" spans="1:6" ht="14.25" thickBot="1">
      <c r="A120" s="1529" t="s">
        <v>202</v>
      </c>
      <c r="B120" s="1523" t="s">
        <v>1309</v>
      </c>
      <c r="C120" s="2118">
        <v>0.125</v>
      </c>
      <c r="D120" s="2118">
        <v>0.125</v>
      </c>
      <c r="E120" s="2118">
        <v>0.122</v>
      </c>
      <c r="F120" s="2119">
        <v>0.13</v>
      </c>
    </row>
    <row r="121" spans="1:6" ht="14.25" thickBot="1">
      <c r="A121" s="1529" t="s">
        <v>202</v>
      </c>
      <c r="B121" s="1523" t="s">
        <v>1319</v>
      </c>
      <c r="C121" s="2118">
        <v>0.13</v>
      </c>
      <c r="D121" s="2118">
        <v>0.13</v>
      </c>
      <c r="E121" s="2118">
        <v>0.13</v>
      </c>
      <c r="F121" s="2119">
        <v>0.13</v>
      </c>
    </row>
    <row r="122" spans="1:6" ht="14.25" thickBot="1">
      <c r="A122" s="1529" t="s">
        <v>202</v>
      </c>
      <c r="B122" s="1523" t="s">
        <v>1329</v>
      </c>
      <c r="C122" s="2118">
        <v>0.13</v>
      </c>
      <c r="D122" s="2118">
        <v>0.13</v>
      </c>
      <c r="E122" s="2118">
        <v>0.125</v>
      </c>
      <c r="F122" s="2119">
        <v>0.13</v>
      </c>
    </row>
    <row r="123" spans="1:6" ht="14.25" thickBot="1">
      <c r="A123" s="1529" t="s">
        <v>202</v>
      </c>
      <c r="B123" s="1523" t="s">
        <v>1340</v>
      </c>
      <c r="C123" s="2118">
        <v>0.129</v>
      </c>
      <c r="D123" s="2118">
        <v>0.129</v>
      </c>
      <c r="E123" s="2118">
        <v>0.123</v>
      </c>
      <c r="F123" s="2119">
        <v>0.13</v>
      </c>
    </row>
    <row r="124" spans="1:6" ht="14.25" thickBot="1">
      <c r="A124" s="1529" t="s">
        <v>202</v>
      </c>
      <c r="B124" s="1523" t="s">
        <v>1351</v>
      </c>
      <c r="C124" s="2118">
        <v>0.10199999999999999</v>
      </c>
      <c r="D124" s="2118">
        <v>0.10100000000000001</v>
      </c>
      <c r="E124" s="2118">
        <v>0.08</v>
      </c>
      <c r="F124" s="2130"/>
    </row>
    <row r="125" spans="1:6" ht="14.25" thickBot="1">
      <c r="A125" s="1529" t="s">
        <v>202</v>
      </c>
      <c r="B125" s="1523" t="s">
        <v>1361</v>
      </c>
      <c r="C125" s="2118">
        <v>0.13</v>
      </c>
      <c r="D125" s="2118">
        <v>0.13</v>
      </c>
      <c r="E125" s="2118">
        <v>0.129</v>
      </c>
      <c r="F125" s="2130"/>
    </row>
    <row r="126" spans="1:6" ht="14.25" thickBot="1">
      <c r="A126" s="1529" t="s">
        <v>202</v>
      </c>
      <c r="B126" s="1523" t="s">
        <v>1371</v>
      </c>
      <c r="C126" s="2118">
        <v>0.13</v>
      </c>
      <c r="D126" s="2118">
        <v>0.13</v>
      </c>
      <c r="E126" s="2118">
        <v>0.126</v>
      </c>
      <c r="F126" s="2130"/>
    </row>
    <row r="127" spans="1:6" ht="14.25" thickBot="1">
      <c r="A127" s="1529" t="s">
        <v>202</v>
      </c>
      <c r="B127" s="1523" t="s">
        <v>1381</v>
      </c>
      <c r="C127" s="2118">
        <v>0.125</v>
      </c>
      <c r="D127" s="2118">
        <v>0.125</v>
      </c>
      <c r="E127" s="2118">
        <v>0.121</v>
      </c>
      <c r="F127" s="2130"/>
    </row>
    <row r="128" spans="1:6" ht="14.25" thickBot="1">
      <c r="A128" s="1529" t="s">
        <v>202</v>
      </c>
      <c r="B128" s="1523" t="s">
        <v>1391</v>
      </c>
      <c r="C128" s="2118">
        <v>0.12</v>
      </c>
      <c r="D128" s="2118">
        <v>0.12</v>
      </c>
      <c r="E128" s="2118">
        <v>0.105</v>
      </c>
      <c r="F128" s="2130"/>
    </row>
    <row r="129" spans="1:6" ht="14.25" thickBot="1">
      <c r="A129" s="1529" t="s">
        <v>202</v>
      </c>
      <c r="B129" s="1523" t="s">
        <v>1400</v>
      </c>
      <c r="C129" s="2118">
        <v>0.13</v>
      </c>
      <c r="D129" s="2118">
        <v>0.13</v>
      </c>
      <c r="E129" s="2118">
        <v>0.126</v>
      </c>
      <c r="F129" s="2130"/>
    </row>
    <row r="130" spans="1:6" ht="14.25" thickBot="1">
      <c r="A130" s="1529" t="s">
        <v>202</v>
      </c>
      <c r="B130" s="1523" t="s">
        <v>1409</v>
      </c>
      <c r="C130" s="2118">
        <v>0.125</v>
      </c>
      <c r="D130" s="2118">
        <v>0.125</v>
      </c>
      <c r="E130" s="2118">
        <v>0.122</v>
      </c>
      <c r="F130" s="2130"/>
    </row>
    <row r="131" spans="1:6" ht="14.25" thickBot="1">
      <c r="A131" s="1529" t="s">
        <v>202</v>
      </c>
      <c r="B131" s="1523" t="s">
        <v>1417</v>
      </c>
      <c r="C131" s="2118">
        <v>0.127</v>
      </c>
      <c r="D131" s="2118">
        <v>0.126</v>
      </c>
      <c r="E131" s="2118">
        <v>0.123</v>
      </c>
      <c r="F131" s="2130"/>
    </row>
    <row r="132" spans="1:6" ht="14.25" thickBot="1">
      <c r="A132" s="1529" t="s">
        <v>202</v>
      </c>
      <c r="B132" s="1523" t="s">
        <v>1424</v>
      </c>
      <c r="C132" s="2118">
        <v>9.0999999999999998E-2</v>
      </c>
      <c r="D132" s="2118">
        <v>0.121</v>
      </c>
      <c r="E132" s="2118">
        <v>9.9000000000000005E-2</v>
      </c>
      <c r="F132" s="2130"/>
    </row>
    <row r="133" spans="1:6" ht="14.25" thickBot="1">
      <c r="A133" s="1529" t="s">
        <v>202</v>
      </c>
      <c r="B133" s="1523" t="s">
        <v>1431</v>
      </c>
      <c r="C133" s="2118">
        <v>0.13</v>
      </c>
      <c r="D133" s="2118">
        <v>0.13</v>
      </c>
      <c r="E133" s="2118">
        <v>0.129</v>
      </c>
      <c r="F133" s="2130"/>
    </row>
    <row r="134" spans="1:6" ht="14.25" thickBot="1">
      <c r="A134" s="1529" t="s">
        <v>202</v>
      </c>
      <c r="B134" s="1523" t="s">
        <v>2160</v>
      </c>
      <c r="C134" s="2118">
        <v>6.8000000000000005E-2</v>
      </c>
      <c r="D134" s="2118">
        <v>6.5000000000000002E-2</v>
      </c>
      <c r="E134" s="2118">
        <v>6.5000000000000002E-2</v>
      </c>
      <c r="F134" s="2119">
        <v>0.13</v>
      </c>
    </row>
    <row r="135" spans="1:6" ht="14.25" thickBot="1">
      <c r="A135" s="1529" t="s">
        <v>202</v>
      </c>
      <c r="B135" s="1523" t="s">
        <v>1445</v>
      </c>
      <c r="C135" s="2118">
        <v>0.123</v>
      </c>
      <c r="D135" s="2118">
        <v>0.123</v>
      </c>
      <c r="E135" s="2118">
        <v>0.11</v>
      </c>
      <c r="F135" s="2130"/>
    </row>
    <row r="136" spans="1:6" ht="14.25" thickBot="1">
      <c r="A136" s="1529" t="s">
        <v>202</v>
      </c>
      <c r="B136" s="1523" t="s">
        <v>1452</v>
      </c>
      <c r="C136" s="2118">
        <v>0.13</v>
      </c>
      <c r="D136" s="2118">
        <v>0.13</v>
      </c>
      <c r="E136" s="2118">
        <v>0.125</v>
      </c>
      <c r="F136" s="2130"/>
    </row>
    <row r="137" spans="1:6" ht="14.25" thickBot="1">
      <c r="A137" s="1529" t="s">
        <v>202</v>
      </c>
      <c r="B137" s="1523" t="s">
        <v>1459</v>
      </c>
      <c r="C137" s="2118">
        <v>0.121</v>
      </c>
      <c r="D137" s="2118">
        <v>0.122</v>
      </c>
      <c r="E137" s="2118">
        <v>0.115</v>
      </c>
      <c r="F137" s="2130"/>
    </row>
    <row r="138" spans="1:6" ht="14.25" thickBot="1">
      <c r="A138" s="1529" t="s">
        <v>202</v>
      </c>
      <c r="B138" s="1523" t="s">
        <v>2161</v>
      </c>
      <c r="C138" s="2118">
        <v>0.105</v>
      </c>
      <c r="D138" s="2118">
        <v>0.125</v>
      </c>
      <c r="E138" s="2118">
        <v>0.112</v>
      </c>
      <c r="F138" s="2130"/>
    </row>
    <row r="139" spans="1:6" ht="14.25" thickBot="1">
      <c r="A139" s="1529" t="s">
        <v>202</v>
      </c>
      <c r="B139" s="1523" t="s">
        <v>2162</v>
      </c>
      <c r="C139" s="2118">
        <v>0.127</v>
      </c>
      <c r="D139" s="2118">
        <v>0.127</v>
      </c>
      <c r="E139" s="2118">
        <v>0.122</v>
      </c>
      <c r="F139" s="2119">
        <v>0.13</v>
      </c>
    </row>
    <row r="140" spans="1:6" ht="14.25" thickBot="1">
      <c r="A140" s="1529" t="s">
        <v>202</v>
      </c>
      <c r="B140" s="1523" t="s">
        <v>2163</v>
      </c>
      <c r="C140" s="2118">
        <v>0.125</v>
      </c>
      <c r="D140" s="2118">
        <v>0.125</v>
      </c>
      <c r="E140" s="2118">
        <v>0.11899999999999999</v>
      </c>
      <c r="F140" s="2119">
        <v>0.13</v>
      </c>
    </row>
    <row r="141" spans="1:6" ht="14.25" thickBot="1">
      <c r="A141" s="1529" t="s">
        <v>202</v>
      </c>
      <c r="B141" s="1523" t="s">
        <v>1478</v>
      </c>
      <c r="C141" s="2118">
        <v>0.125</v>
      </c>
      <c r="D141" s="2118">
        <v>0.125</v>
      </c>
      <c r="E141" s="2118">
        <v>0.11700000000000001</v>
      </c>
      <c r="F141" s="2130"/>
    </row>
    <row r="142" spans="1:6" ht="14.25" thickBot="1">
      <c r="A142" s="1529" t="s">
        <v>202</v>
      </c>
      <c r="B142" s="1523" t="s">
        <v>1483</v>
      </c>
      <c r="C142" s="2118">
        <v>0.125</v>
      </c>
      <c r="D142" s="2118">
        <v>0.125</v>
      </c>
      <c r="E142" s="2118">
        <v>0.115</v>
      </c>
      <c r="F142" s="2130"/>
    </row>
    <row r="143" spans="1:6" ht="14.25" thickBot="1">
      <c r="A143" s="1529" t="s">
        <v>202</v>
      </c>
      <c r="B143" s="1523" t="s">
        <v>1488</v>
      </c>
      <c r="C143" s="2118">
        <v>0.121</v>
      </c>
      <c r="D143" s="2118">
        <v>0.121</v>
      </c>
      <c r="E143" s="2118">
        <v>0.108</v>
      </c>
      <c r="F143" s="2130"/>
    </row>
    <row r="144" spans="1:6" ht="14.25" thickBot="1">
      <c r="A144" s="1529" t="s">
        <v>202</v>
      </c>
      <c r="B144" s="2122" t="s">
        <v>2164</v>
      </c>
      <c r="C144" s="2123">
        <v>0.126</v>
      </c>
      <c r="D144" s="2123">
        <v>0.126</v>
      </c>
      <c r="E144" s="2123">
        <v>0.121</v>
      </c>
      <c r="F144" s="2130"/>
    </row>
    <row r="145" spans="1:6" ht="14.25" thickBot="1">
      <c r="A145" s="1539" t="s">
        <v>202</v>
      </c>
      <c r="B145" s="2124" t="s">
        <v>2165</v>
      </c>
      <c r="C145" s="2132"/>
      <c r="D145" s="2132"/>
      <c r="E145" s="2132"/>
      <c r="F145" s="2125">
        <v>0.05</v>
      </c>
    </row>
    <row r="146" spans="1:6" ht="24.75" thickBot="1">
      <c r="A146" s="2126" t="s">
        <v>202</v>
      </c>
      <c r="B146" s="1533" t="s">
        <v>2166</v>
      </c>
      <c r="C146" s="2131"/>
      <c r="D146" s="2131"/>
      <c r="E146" s="2131"/>
      <c r="F146" s="2127">
        <v>0.05</v>
      </c>
    </row>
    <row r="147" spans="1:6" ht="24.75" thickBot="1">
      <c r="A147" s="1529" t="s">
        <v>202</v>
      </c>
      <c r="B147" s="1523" t="s">
        <v>2167</v>
      </c>
      <c r="C147" s="2131"/>
      <c r="D147" s="2131"/>
      <c r="E147" s="2131"/>
      <c r="F147" s="2119">
        <v>0.05</v>
      </c>
    </row>
    <row r="148" spans="1:6" ht="24.75" thickBot="1">
      <c r="A148" s="1529" t="s">
        <v>202</v>
      </c>
      <c r="B148" s="1523" t="s">
        <v>2168</v>
      </c>
      <c r="C148" s="2131"/>
      <c r="D148" s="2131"/>
      <c r="E148" s="2131"/>
      <c r="F148" s="2119">
        <v>0.05</v>
      </c>
    </row>
    <row r="149" spans="1:6" ht="24.75" thickBot="1">
      <c r="A149" s="1529" t="s">
        <v>202</v>
      </c>
      <c r="B149" s="1523" t="s">
        <v>2169</v>
      </c>
      <c r="C149" s="2131"/>
      <c r="D149" s="2131"/>
      <c r="E149" s="2131"/>
      <c r="F149" s="2119">
        <v>0.05</v>
      </c>
    </row>
    <row r="150" spans="1:6" ht="24.75" thickBot="1">
      <c r="A150" s="1529" t="s">
        <v>202</v>
      </c>
      <c r="B150" s="1523" t="s">
        <v>2170</v>
      </c>
      <c r="C150" s="2131"/>
      <c r="D150" s="2131"/>
      <c r="E150" s="2131"/>
      <c r="F150" s="2119">
        <v>0.05</v>
      </c>
    </row>
    <row r="151" spans="1:6" ht="24.75" thickBot="1">
      <c r="A151" s="1529" t="s">
        <v>202</v>
      </c>
      <c r="B151" s="1523" t="s">
        <v>2171</v>
      </c>
      <c r="C151" s="2131"/>
      <c r="D151" s="2131"/>
      <c r="E151" s="2131"/>
      <c r="F151" s="2119">
        <v>0.05</v>
      </c>
    </row>
    <row r="152" spans="1:6" ht="24.75" thickBot="1">
      <c r="A152" s="1529" t="s">
        <v>202</v>
      </c>
      <c r="B152" s="1523" t="s">
        <v>1521</v>
      </c>
      <c r="C152" s="2131"/>
      <c r="D152" s="2131"/>
      <c r="E152" s="2131"/>
      <c r="F152" s="2119">
        <v>0.05</v>
      </c>
    </row>
    <row r="153" spans="1:6" ht="14.25" thickBot="1">
      <c r="A153" s="1529" t="s">
        <v>202</v>
      </c>
      <c r="B153" s="1523" t="s">
        <v>2172</v>
      </c>
      <c r="C153" s="2131"/>
      <c r="D153" s="2131"/>
      <c r="E153" s="2131"/>
      <c r="F153" s="2119">
        <v>0.05</v>
      </c>
    </row>
    <row r="154" spans="1:6" ht="14.25" thickBot="1">
      <c r="A154" s="1529" t="s">
        <v>202</v>
      </c>
      <c r="B154" s="1523" t="s">
        <v>2173</v>
      </c>
      <c r="C154" s="2131"/>
      <c r="D154" s="2131"/>
      <c r="E154" s="2131"/>
      <c r="F154" s="2119">
        <v>0.05</v>
      </c>
    </row>
    <row r="155" spans="1:6" ht="24.75" thickBot="1">
      <c r="A155" s="1529" t="s">
        <v>202</v>
      </c>
      <c r="B155" s="1523" t="s">
        <v>2174</v>
      </c>
      <c r="C155" s="2131"/>
      <c r="D155" s="2131"/>
      <c r="E155" s="2131"/>
      <c r="F155" s="2119">
        <v>0.05</v>
      </c>
    </row>
    <row r="156" spans="1:6" ht="24.75" thickBot="1">
      <c r="A156" s="1529" t="s">
        <v>202</v>
      </c>
      <c r="B156" s="1523" t="s">
        <v>2175</v>
      </c>
      <c r="C156" s="2131"/>
      <c r="D156" s="2131"/>
      <c r="E156" s="2131"/>
      <c r="F156" s="2119">
        <v>0.05</v>
      </c>
    </row>
    <row r="157" spans="1:6" ht="14.25" thickBot="1">
      <c r="A157" s="1539" t="s">
        <v>202</v>
      </c>
      <c r="B157" s="1535" t="s">
        <v>2176</v>
      </c>
      <c r="C157" s="2128"/>
      <c r="D157" s="2128"/>
      <c r="E157" s="2128"/>
      <c r="F157" s="2121">
        <v>0.05</v>
      </c>
    </row>
    <row r="158" spans="1:6" ht="14.25" thickBot="1">
      <c r="A158" s="1529" t="s">
        <v>1540</v>
      </c>
      <c r="B158" s="1530" t="s">
        <v>2177</v>
      </c>
      <c r="C158" s="2116">
        <v>0.13</v>
      </c>
      <c r="D158" s="2116">
        <v>0.13</v>
      </c>
      <c r="E158" s="2116">
        <v>0.13</v>
      </c>
      <c r="F158" s="2117">
        <v>0.13</v>
      </c>
    </row>
    <row r="159" spans="1:6" ht="14.25" thickBot="1">
      <c r="A159" s="1529" t="s">
        <v>1540</v>
      </c>
      <c r="B159" s="1523" t="s">
        <v>1207</v>
      </c>
      <c r="C159" s="2118">
        <v>0.13</v>
      </c>
      <c r="D159" s="2118">
        <v>0.13</v>
      </c>
      <c r="E159" s="2118">
        <v>0.13</v>
      </c>
      <c r="F159" s="2119">
        <v>0.13</v>
      </c>
    </row>
    <row r="160" spans="1:6" ht="14.25" thickBot="1">
      <c r="A160" s="1529" t="s">
        <v>1540</v>
      </c>
      <c r="B160" s="1523" t="s">
        <v>1220</v>
      </c>
      <c r="C160" s="2118">
        <v>0.13</v>
      </c>
      <c r="D160" s="2118">
        <v>0.13</v>
      </c>
      <c r="E160" s="2118">
        <v>0.129</v>
      </c>
      <c r="F160" s="2119">
        <v>0.13</v>
      </c>
    </row>
    <row r="161" spans="1:6" ht="14.25" thickBot="1">
      <c r="A161" s="1529" t="s">
        <v>1540</v>
      </c>
      <c r="B161" s="1523" t="s">
        <v>1233</v>
      </c>
      <c r="C161" s="2118">
        <v>0.128</v>
      </c>
      <c r="D161" s="2118">
        <v>0.128</v>
      </c>
      <c r="E161" s="2118">
        <v>0.125</v>
      </c>
      <c r="F161" s="2119">
        <v>0.13</v>
      </c>
    </row>
    <row r="162" spans="1:6" ht="14.25" thickBot="1">
      <c r="A162" s="1529" t="s">
        <v>1540</v>
      </c>
      <c r="B162" s="1523" t="s">
        <v>1245</v>
      </c>
      <c r="C162" s="2118">
        <v>0.122</v>
      </c>
      <c r="D162" s="2118">
        <v>0.122</v>
      </c>
      <c r="E162" s="2118">
        <v>0.126</v>
      </c>
      <c r="F162" s="2119">
        <v>0.122</v>
      </c>
    </row>
    <row r="163" spans="1:6" ht="14.25" thickBot="1">
      <c r="A163" s="1529" t="s">
        <v>1540</v>
      </c>
      <c r="B163" s="1523" t="s">
        <v>1256</v>
      </c>
      <c r="C163" s="2118">
        <v>0.13</v>
      </c>
      <c r="D163" s="2118">
        <v>0.13</v>
      </c>
      <c r="E163" s="2118">
        <v>0.125</v>
      </c>
      <c r="F163" s="2119">
        <v>0.13</v>
      </c>
    </row>
    <row r="164" spans="1:6" ht="14.25" thickBot="1">
      <c r="A164" s="1529" t="s">
        <v>1540</v>
      </c>
      <c r="B164" s="1523" t="s">
        <v>1267</v>
      </c>
      <c r="C164" s="2118">
        <v>0.13</v>
      </c>
      <c r="D164" s="2118">
        <v>0.13</v>
      </c>
      <c r="E164" s="2118">
        <v>0.13</v>
      </c>
      <c r="F164" s="2119">
        <v>0.13</v>
      </c>
    </row>
    <row r="165" spans="1:6" ht="14.25" thickBot="1">
      <c r="A165" s="1529" t="s">
        <v>1540</v>
      </c>
      <c r="B165" s="1523" t="s">
        <v>1278</v>
      </c>
      <c r="C165" s="2118">
        <v>0.13</v>
      </c>
      <c r="D165" s="2118">
        <v>0.13</v>
      </c>
      <c r="E165" s="2118">
        <v>0.124</v>
      </c>
      <c r="F165" s="2119">
        <v>0.13</v>
      </c>
    </row>
    <row r="166" spans="1:6" ht="14.25" thickBot="1">
      <c r="A166" s="1529" t="s">
        <v>1540</v>
      </c>
      <c r="B166" s="1523" t="s">
        <v>1290</v>
      </c>
      <c r="C166" s="2118">
        <v>0.13</v>
      </c>
      <c r="D166" s="2118">
        <v>0.13</v>
      </c>
      <c r="E166" s="2118">
        <v>0.13</v>
      </c>
      <c r="F166" s="2119">
        <v>0.13</v>
      </c>
    </row>
    <row r="167" spans="1:6" ht="14.25" thickBot="1">
      <c r="A167" s="1529" t="s">
        <v>1540</v>
      </c>
      <c r="B167" s="1523" t="s">
        <v>1300</v>
      </c>
      <c r="C167" s="2118">
        <v>0.125</v>
      </c>
      <c r="D167" s="2118">
        <v>0.125</v>
      </c>
      <c r="E167" s="2118">
        <v>0.121</v>
      </c>
      <c r="F167" s="2130"/>
    </row>
    <row r="168" spans="1:6" ht="14.25" thickBot="1">
      <c r="A168" s="1529" t="s">
        <v>1540</v>
      </c>
      <c r="B168" s="1523" t="s">
        <v>1310</v>
      </c>
      <c r="C168" s="2118">
        <v>0.13</v>
      </c>
      <c r="D168" s="2118">
        <v>0.13</v>
      </c>
      <c r="E168" s="2118">
        <v>0.126</v>
      </c>
      <c r="F168" s="2130"/>
    </row>
    <row r="169" spans="1:6" ht="14.25" thickBot="1">
      <c r="A169" s="1529" t="s">
        <v>1540</v>
      </c>
      <c r="B169" s="1523" t="s">
        <v>1320</v>
      </c>
      <c r="C169" s="2118">
        <v>0.128</v>
      </c>
      <c r="D169" s="2118">
        <v>0.129</v>
      </c>
      <c r="E169" s="2118">
        <v>0.13</v>
      </c>
      <c r="F169" s="2130"/>
    </row>
    <row r="170" spans="1:6" ht="14.25" thickBot="1">
      <c r="A170" s="1529" t="s">
        <v>1540</v>
      </c>
      <c r="B170" s="1523" t="s">
        <v>1330</v>
      </c>
      <c r="C170" s="2118">
        <v>0.14099999999999999</v>
      </c>
      <c r="D170" s="2118">
        <v>0.13</v>
      </c>
      <c r="E170" s="2118">
        <v>0.125</v>
      </c>
      <c r="F170" s="2130"/>
    </row>
    <row r="171" spans="1:6" ht="14.25" thickBot="1">
      <c r="A171" s="1529" t="s">
        <v>1540</v>
      </c>
      <c r="B171" s="1523" t="s">
        <v>2178</v>
      </c>
      <c r="C171" s="2118">
        <v>0.127</v>
      </c>
      <c r="D171" s="2118">
        <v>0.126</v>
      </c>
      <c r="E171" s="2118">
        <v>0.126</v>
      </c>
      <c r="F171" s="2119">
        <v>0.11799999999999999</v>
      </c>
    </row>
    <row r="172" spans="1:6" ht="14.25" thickBot="1">
      <c r="A172" s="1529" t="s">
        <v>1540</v>
      </c>
      <c r="B172" s="1523" t="s">
        <v>2179</v>
      </c>
      <c r="C172" s="2118">
        <v>0.13</v>
      </c>
      <c r="D172" s="2118">
        <v>0.13</v>
      </c>
      <c r="E172" s="2118">
        <v>0.13</v>
      </c>
      <c r="F172" s="2130"/>
    </row>
    <row r="173" spans="1:6" ht="14.25" thickBot="1">
      <c r="A173" s="1529" t="s">
        <v>1540</v>
      </c>
      <c r="B173" s="1523" t="s">
        <v>1362</v>
      </c>
      <c r="C173" s="2118">
        <v>0.13</v>
      </c>
      <c r="D173" s="2118">
        <v>0.13</v>
      </c>
      <c r="E173" s="2118">
        <v>0.13</v>
      </c>
      <c r="F173" s="2130"/>
    </row>
    <row r="174" spans="1:6" ht="14.25" thickBot="1">
      <c r="A174" s="1529" t="s">
        <v>1540</v>
      </c>
      <c r="B174" s="1523" t="s">
        <v>2180</v>
      </c>
      <c r="C174" s="2118">
        <v>0.13</v>
      </c>
      <c r="D174" s="2118">
        <v>0.13</v>
      </c>
      <c r="E174" s="2118">
        <v>0.13</v>
      </c>
      <c r="F174" s="2119">
        <v>0.13</v>
      </c>
    </row>
    <row r="175" spans="1:6" ht="14.25" thickBot="1">
      <c r="A175" s="1529" t="s">
        <v>1540</v>
      </c>
      <c r="B175" s="1523" t="s">
        <v>2181</v>
      </c>
      <c r="C175" s="2118">
        <v>0.13</v>
      </c>
      <c r="D175" s="2118">
        <v>0.13</v>
      </c>
      <c r="E175" s="2118">
        <v>0.13</v>
      </c>
      <c r="F175" s="2119">
        <v>0.13</v>
      </c>
    </row>
    <row r="176" spans="1:6" ht="14.25" thickBot="1">
      <c r="A176" s="1529" t="s">
        <v>1540</v>
      </c>
      <c r="B176" s="1523" t="s">
        <v>1392</v>
      </c>
      <c r="C176" s="2118">
        <v>0.13</v>
      </c>
      <c r="D176" s="2118">
        <v>0.13</v>
      </c>
      <c r="E176" s="2118">
        <v>0.13</v>
      </c>
      <c r="F176" s="2119">
        <v>0.13</v>
      </c>
    </row>
    <row r="177" spans="1:6" ht="14.25" thickBot="1">
      <c r="A177" s="1529" t="s">
        <v>1540</v>
      </c>
      <c r="B177" s="1523" t="s">
        <v>2182</v>
      </c>
      <c r="C177" s="2118">
        <v>0.13</v>
      </c>
      <c r="D177" s="2118">
        <v>0.13</v>
      </c>
      <c r="E177" s="2118">
        <v>0.13</v>
      </c>
      <c r="F177" s="2119">
        <v>0.13</v>
      </c>
    </row>
    <row r="178" spans="1:6" ht="14.25" thickBot="1">
      <c r="A178" s="1529" t="s">
        <v>1540</v>
      </c>
      <c r="B178" s="1523" t="s">
        <v>1410</v>
      </c>
      <c r="C178" s="2118">
        <v>0.13</v>
      </c>
      <c r="D178" s="2118">
        <v>0.13</v>
      </c>
      <c r="E178" s="2118">
        <v>0.13</v>
      </c>
      <c r="F178" s="2119">
        <v>0.127</v>
      </c>
    </row>
    <row r="179" spans="1:6" ht="14.25" thickBot="1">
      <c r="A179" s="1529" t="s">
        <v>1540</v>
      </c>
      <c r="B179" s="1523" t="s">
        <v>1418</v>
      </c>
      <c r="C179" s="2118">
        <v>0.13</v>
      </c>
      <c r="D179" s="2118">
        <v>0.13</v>
      </c>
      <c r="E179" s="2118">
        <v>0.13</v>
      </c>
      <c r="F179" s="2130"/>
    </row>
    <row r="180" spans="1:6" ht="14.25" thickBot="1">
      <c r="A180" s="1529" t="s">
        <v>1540</v>
      </c>
      <c r="B180" s="1523" t="s">
        <v>2183</v>
      </c>
      <c r="C180" s="2118">
        <v>0.13</v>
      </c>
      <c r="D180" s="2118">
        <v>0.13</v>
      </c>
      <c r="E180" s="2118">
        <v>0.125</v>
      </c>
      <c r="F180" s="2119">
        <v>0.13</v>
      </c>
    </row>
    <row r="181" spans="1:6" ht="14.25" thickBot="1">
      <c r="A181" s="1529" t="s">
        <v>1540</v>
      </c>
      <c r="B181" s="1523" t="s">
        <v>1432</v>
      </c>
      <c r="C181" s="2118">
        <v>0.122</v>
      </c>
      <c r="D181" s="2118">
        <v>0.123</v>
      </c>
      <c r="E181" s="2118">
        <v>0.126</v>
      </c>
      <c r="F181" s="2119">
        <v>0.121</v>
      </c>
    </row>
    <row r="182" spans="1:6" ht="14.25" thickBot="1">
      <c r="A182" s="1529" t="s">
        <v>1540</v>
      </c>
      <c r="B182" s="1523" t="s">
        <v>1439</v>
      </c>
      <c r="C182" s="2118">
        <v>0.125</v>
      </c>
      <c r="D182" s="2118">
        <v>0.125</v>
      </c>
      <c r="E182" s="2118">
        <v>0.11700000000000001</v>
      </c>
      <c r="F182" s="2119">
        <v>0.13</v>
      </c>
    </row>
    <row r="183" spans="1:6" ht="14.25" thickBot="1">
      <c r="A183" s="1529" t="s">
        <v>1540</v>
      </c>
      <c r="B183" s="1523" t="s">
        <v>1446</v>
      </c>
      <c r="C183" s="2118">
        <v>0.127</v>
      </c>
      <c r="D183" s="2118">
        <v>0.127</v>
      </c>
      <c r="E183" s="2118">
        <v>0.128</v>
      </c>
      <c r="F183" s="2130"/>
    </row>
    <row r="184" spans="1:6" ht="14.25" thickBot="1">
      <c r="A184" s="1529" t="s">
        <v>1540</v>
      </c>
      <c r="B184" s="1523" t="s">
        <v>1453</v>
      </c>
      <c r="C184" s="2118">
        <v>0.125</v>
      </c>
      <c r="D184" s="2118">
        <v>0.125</v>
      </c>
      <c r="E184" s="2118">
        <v>0.127</v>
      </c>
      <c r="F184" s="2130"/>
    </row>
    <row r="185" spans="1:6" ht="14.25" thickBot="1">
      <c r="A185" s="1529" t="s">
        <v>1540</v>
      </c>
      <c r="B185" s="1523" t="s">
        <v>2184</v>
      </c>
      <c r="C185" s="2118">
        <v>0.127</v>
      </c>
      <c r="D185" s="2118">
        <v>0.127</v>
      </c>
      <c r="E185" s="2118">
        <v>0.128</v>
      </c>
      <c r="F185" s="2119">
        <v>0.13</v>
      </c>
    </row>
    <row r="186" spans="1:6" ht="24.75" thickBot="1">
      <c r="A186" s="1529" t="s">
        <v>1540</v>
      </c>
      <c r="B186" s="1523" t="s">
        <v>2185</v>
      </c>
      <c r="C186" s="2131"/>
      <c r="D186" s="2131"/>
      <c r="E186" s="2131"/>
      <c r="F186" s="2119">
        <v>0.05</v>
      </c>
    </row>
    <row r="187" spans="1:6" ht="14.25" thickBot="1">
      <c r="A187" s="1529" t="s">
        <v>1540</v>
      </c>
      <c r="B187" s="1523" t="s">
        <v>2186</v>
      </c>
      <c r="C187" s="2131"/>
      <c r="D187" s="2131"/>
      <c r="E187" s="2131"/>
      <c r="F187" s="2119">
        <v>0.05</v>
      </c>
    </row>
    <row r="188" spans="1:6" ht="14.25" thickBot="1">
      <c r="A188" s="1529" t="s">
        <v>1540</v>
      </c>
      <c r="B188" s="1523" t="s">
        <v>2187</v>
      </c>
      <c r="C188" s="2131"/>
      <c r="D188" s="2131"/>
      <c r="E188" s="2131"/>
      <c r="F188" s="2119">
        <v>0.05</v>
      </c>
    </row>
    <row r="189" spans="1:6" ht="24.75" thickBot="1">
      <c r="A189" s="1529" t="s">
        <v>1540</v>
      </c>
      <c r="B189" s="1523" t="s">
        <v>2188</v>
      </c>
      <c r="C189" s="2131"/>
      <c r="D189" s="2131"/>
      <c r="E189" s="2131"/>
      <c r="F189" s="2119">
        <v>0.05</v>
      </c>
    </row>
    <row r="190" spans="1:6" ht="24.75" thickBot="1">
      <c r="A190" s="1529" t="s">
        <v>1540</v>
      </c>
      <c r="B190" s="1523" t="s">
        <v>2189</v>
      </c>
      <c r="C190" s="2131"/>
      <c r="D190" s="2131"/>
      <c r="E190" s="2131"/>
      <c r="F190" s="2119">
        <v>0.05</v>
      </c>
    </row>
    <row r="191" spans="1:6" ht="24.75" thickBot="1">
      <c r="A191" s="1529" t="s">
        <v>1540</v>
      </c>
      <c r="B191" s="1523" t="s">
        <v>2190</v>
      </c>
      <c r="C191" s="2131"/>
      <c r="D191" s="2131"/>
      <c r="E191" s="2131"/>
      <c r="F191" s="2119">
        <v>0.05</v>
      </c>
    </row>
    <row r="192" spans="1:6" ht="24.75" thickBot="1">
      <c r="A192" s="1529" t="s">
        <v>1540</v>
      </c>
      <c r="B192" s="1523" t="s">
        <v>2191</v>
      </c>
      <c r="C192" s="2131"/>
      <c r="D192" s="2131"/>
      <c r="E192" s="2131"/>
      <c r="F192" s="2119">
        <v>0.05</v>
      </c>
    </row>
    <row r="193" spans="1:6" ht="24.75" thickBot="1">
      <c r="A193" s="1529" t="s">
        <v>1540</v>
      </c>
      <c r="B193" s="1523" t="s">
        <v>2192</v>
      </c>
      <c r="C193" s="2131"/>
      <c r="D193" s="2131"/>
      <c r="E193" s="2131"/>
      <c r="F193" s="2119">
        <v>0.05</v>
      </c>
    </row>
    <row r="194" spans="1:6" ht="24.75" thickBot="1">
      <c r="A194" s="1529" t="s">
        <v>1540</v>
      </c>
      <c r="B194" s="1523" t="s">
        <v>2193</v>
      </c>
      <c r="C194" s="2131"/>
      <c r="D194" s="2131"/>
      <c r="E194" s="2131"/>
      <c r="F194" s="2119">
        <v>0.05</v>
      </c>
    </row>
    <row r="195" spans="1:6" ht="14.25" thickBot="1">
      <c r="A195" s="1529" t="s">
        <v>1540</v>
      </c>
      <c r="B195" s="1523" t="s">
        <v>2194</v>
      </c>
      <c r="C195" s="2131"/>
      <c r="D195" s="2131"/>
      <c r="E195" s="2131"/>
      <c r="F195" s="2119">
        <v>0.05</v>
      </c>
    </row>
    <row r="196" spans="1:6" ht="24.75" thickBot="1">
      <c r="A196" s="1529" t="s">
        <v>1540</v>
      </c>
      <c r="B196" s="1523" t="s">
        <v>2195</v>
      </c>
      <c r="C196" s="2131"/>
      <c r="D196" s="2131"/>
      <c r="E196" s="2131"/>
      <c r="F196" s="2119">
        <v>0.05</v>
      </c>
    </row>
    <row r="197" spans="1:6" ht="24.75" thickBot="1">
      <c r="A197" s="1529" t="s">
        <v>1540</v>
      </c>
      <c r="B197" s="1523" t="s">
        <v>2196</v>
      </c>
      <c r="C197" s="2131"/>
      <c r="D197" s="2131"/>
      <c r="E197" s="2131"/>
      <c r="F197" s="2119">
        <v>0.05</v>
      </c>
    </row>
    <row r="198" spans="1:6" ht="24.75" thickBot="1">
      <c r="A198" s="1529" t="s">
        <v>1540</v>
      </c>
      <c r="B198" s="1523" t="s">
        <v>2197</v>
      </c>
      <c r="C198" s="2131"/>
      <c r="D198" s="2131"/>
      <c r="E198" s="2131"/>
      <c r="F198" s="2119">
        <v>0.05</v>
      </c>
    </row>
    <row r="199" spans="1:6" ht="24.75" thickBot="1">
      <c r="A199" s="1529" t="s">
        <v>1540</v>
      </c>
      <c r="B199" s="1523" t="s">
        <v>2198</v>
      </c>
      <c r="C199" s="2131"/>
      <c r="D199" s="2131"/>
      <c r="E199" s="2131"/>
      <c r="F199" s="2119">
        <v>0.05</v>
      </c>
    </row>
    <row r="200" spans="1:6" ht="24.75" thickBot="1">
      <c r="A200" s="1529" t="s">
        <v>1540</v>
      </c>
      <c r="B200" s="1523" t="s">
        <v>2199</v>
      </c>
      <c r="C200" s="2131"/>
      <c r="D200" s="2131"/>
      <c r="E200" s="2131"/>
      <c r="F200" s="2119">
        <v>0.05</v>
      </c>
    </row>
    <row r="201" spans="1:6" ht="24.75" thickBot="1">
      <c r="A201" s="1529" t="s">
        <v>1540</v>
      </c>
      <c r="B201" s="1523" t="s">
        <v>2200</v>
      </c>
      <c r="C201" s="2131"/>
      <c r="D201" s="2131"/>
      <c r="E201" s="2131"/>
      <c r="F201" s="2119">
        <v>0.05</v>
      </c>
    </row>
    <row r="202" spans="1:6" ht="24.75" thickBot="1">
      <c r="A202" s="1529" t="s">
        <v>1540</v>
      </c>
      <c r="B202" s="1523" t="s">
        <v>2201</v>
      </c>
      <c r="C202" s="2131"/>
      <c r="D202" s="2131"/>
      <c r="E202" s="2131"/>
      <c r="F202" s="2119">
        <v>0.05</v>
      </c>
    </row>
    <row r="203" spans="1:6" ht="24.75" thickBot="1">
      <c r="A203" s="1529" t="s">
        <v>1540</v>
      </c>
      <c r="B203" s="1523" t="s">
        <v>2202</v>
      </c>
      <c r="C203" s="2131"/>
      <c r="D203" s="2131"/>
      <c r="E203" s="2131"/>
      <c r="F203" s="2119">
        <v>0.05</v>
      </c>
    </row>
    <row r="204" spans="1:6" ht="14.25" thickBot="1">
      <c r="A204" s="1529" t="s">
        <v>1540</v>
      </c>
      <c r="B204" s="1523" t="s">
        <v>2203</v>
      </c>
      <c r="C204" s="2131"/>
      <c r="D204" s="2131"/>
      <c r="E204" s="2131"/>
      <c r="F204" s="2119">
        <v>0.05</v>
      </c>
    </row>
    <row r="205" spans="1:6" ht="14.25" thickBot="1">
      <c r="A205" s="1539" t="s">
        <v>1540</v>
      </c>
      <c r="B205" s="1535" t="s">
        <v>2204</v>
      </c>
      <c r="C205" s="2128"/>
      <c r="D205" s="2128"/>
      <c r="E205" s="2128"/>
      <c r="F205" s="2121">
        <v>0.05</v>
      </c>
    </row>
    <row r="206" spans="1:6" ht="14.25" thickBot="1">
      <c r="A206" s="1529" t="s">
        <v>1542</v>
      </c>
      <c r="B206" s="1530" t="s">
        <v>2205</v>
      </c>
      <c r="C206" s="2116">
        <v>0.15</v>
      </c>
      <c r="D206" s="2116">
        <v>0.15</v>
      </c>
      <c r="E206" s="2116">
        <v>0.15</v>
      </c>
      <c r="F206" s="2117">
        <v>0.15</v>
      </c>
    </row>
    <row r="207" spans="1:6" ht="14.25" thickBot="1">
      <c r="A207" s="1529" t="s">
        <v>1542</v>
      </c>
      <c r="B207" s="1523" t="s">
        <v>1208</v>
      </c>
      <c r="C207" s="2118">
        <v>0.15</v>
      </c>
      <c r="D207" s="2118">
        <v>0.15</v>
      </c>
      <c r="E207" s="2118">
        <v>0.15</v>
      </c>
      <c r="F207" s="2119">
        <v>0.14399999999999999</v>
      </c>
    </row>
    <row r="208" spans="1:6" ht="14.25" thickBot="1">
      <c r="A208" s="1529" t="s">
        <v>1542</v>
      </c>
      <c r="B208" s="1523" t="s">
        <v>1221</v>
      </c>
      <c r="C208" s="2118">
        <v>0.15</v>
      </c>
      <c r="D208" s="2118">
        <v>0.15</v>
      </c>
      <c r="E208" s="2118">
        <v>0.15</v>
      </c>
      <c r="F208" s="2119">
        <v>0.15</v>
      </c>
    </row>
    <row r="209" spans="1:6" ht="14.25" thickBot="1">
      <c r="A209" s="1529" t="s">
        <v>1542</v>
      </c>
      <c r="B209" s="1523" t="s">
        <v>1234</v>
      </c>
      <c r="C209" s="2118">
        <v>0.13700000000000001</v>
      </c>
      <c r="D209" s="2118">
        <v>0.13700000000000001</v>
      </c>
      <c r="E209" s="2118">
        <v>0.14000000000000001</v>
      </c>
      <c r="F209" s="2119">
        <v>0.11700000000000001</v>
      </c>
    </row>
    <row r="210" spans="1:6" ht="14.25" thickBot="1">
      <c r="A210" s="1529" t="s">
        <v>1542</v>
      </c>
      <c r="B210" s="1523" t="s">
        <v>2206</v>
      </c>
      <c r="C210" s="2118">
        <v>0.15</v>
      </c>
      <c r="D210" s="2118">
        <v>0.15</v>
      </c>
      <c r="E210" s="2118">
        <v>0.15</v>
      </c>
      <c r="F210" s="2119">
        <v>0.13800000000000001</v>
      </c>
    </row>
    <row r="211" spans="1:6" ht="14.25" thickBot="1">
      <c r="A211" s="1529" t="s">
        <v>1542</v>
      </c>
      <c r="B211" s="1523" t="s">
        <v>2207</v>
      </c>
      <c r="C211" s="2118">
        <v>0.13700000000000001</v>
      </c>
      <c r="D211" s="2118">
        <v>0.13500000000000001</v>
      </c>
      <c r="E211" s="2118">
        <v>0.13600000000000001</v>
      </c>
      <c r="F211" s="2119">
        <v>0.1</v>
      </c>
    </row>
    <row r="212" spans="1:6" ht="14.25" thickBot="1">
      <c r="A212" s="1529" t="s">
        <v>1542</v>
      </c>
      <c r="B212" s="1523" t="s">
        <v>2208</v>
      </c>
      <c r="C212" s="2118">
        <v>0.15</v>
      </c>
      <c r="D212" s="2118">
        <v>0.15</v>
      </c>
      <c r="E212" s="2118">
        <v>0.14799999999999999</v>
      </c>
      <c r="F212" s="2119">
        <v>0.13600000000000001</v>
      </c>
    </row>
    <row r="213" spans="1:6" ht="14.25" thickBot="1">
      <c r="A213" s="1529" t="s">
        <v>1542</v>
      </c>
      <c r="B213" s="1523" t="s">
        <v>1279</v>
      </c>
      <c r="C213" s="2118">
        <v>0.15</v>
      </c>
      <c r="D213" s="2118">
        <v>0.15</v>
      </c>
      <c r="E213" s="2118">
        <v>0.15</v>
      </c>
      <c r="F213" s="2119">
        <v>0.13800000000000001</v>
      </c>
    </row>
    <row r="214" spans="1:6" ht="14.25" thickBot="1">
      <c r="A214" s="1529" t="s">
        <v>1542</v>
      </c>
      <c r="B214" s="1523" t="s">
        <v>1291</v>
      </c>
      <c r="C214" s="2118">
        <v>9.0999999999999998E-2</v>
      </c>
      <c r="D214" s="2118">
        <v>0.09</v>
      </c>
      <c r="E214" s="2118">
        <v>9.1999999999999998E-2</v>
      </c>
      <c r="F214" s="2130"/>
    </row>
    <row r="215" spans="1:6" ht="14.25" thickBot="1">
      <c r="A215" s="1529" t="s">
        <v>1542</v>
      </c>
      <c r="B215" s="1523" t="s">
        <v>2209</v>
      </c>
      <c r="C215" s="2118">
        <v>0.15</v>
      </c>
      <c r="D215" s="2118">
        <v>0.15</v>
      </c>
      <c r="E215" s="2118">
        <v>0.15</v>
      </c>
      <c r="F215" s="2119">
        <v>0.15</v>
      </c>
    </row>
    <row r="216" spans="1:6" ht="14.25" thickBot="1">
      <c r="A216" s="1529" t="s">
        <v>1542</v>
      </c>
      <c r="B216" s="1523" t="s">
        <v>1311</v>
      </c>
      <c r="C216" s="2118">
        <v>0.14699999999999999</v>
      </c>
      <c r="D216" s="2118">
        <v>0.14699999999999999</v>
      </c>
      <c r="E216" s="2118">
        <v>0.15</v>
      </c>
      <c r="F216" s="2119">
        <v>0.14000000000000001</v>
      </c>
    </row>
    <row r="217" spans="1:6" ht="14.25" thickBot="1">
      <c r="A217" s="1529" t="s">
        <v>1542</v>
      </c>
      <c r="B217" s="1523" t="s">
        <v>1321</v>
      </c>
      <c r="C217" s="2118">
        <v>0.15</v>
      </c>
      <c r="D217" s="2118">
        <v>0.15</v>
      </c>
      <c r="E217" s="2118">
        <v>0.15</v>
      </c>
      <c r="F217" s="2119">
        <v>0.15</v>
      </c>
    </row>
    <row r="218" spans="1:6" ht="14.25" thickBot="1">
      <c r="A218" s="1529" t="s">
        <v>1542</v>
      </c>
      <c r="B218" s="1523" t="s">
        <v>2210</v>
      </c>
      <c r="C218" s="2118">
        <v>0.15</v>
      </c>
      <c r="D218" s="2118">
        <v>0.15</v>
      </c>
      <c r="E218" s="2118">
        <v>0.15</v>
      </c>
      <c r="F218" s="2119">
        <v>0.15</v>
      </c>
    </row>
    <row r="219" spans="1:6" ht="14.25" thickBot="1">
      <c r="A219" s="1529" t="s">
        <v>1542</v>
      </c>
      <c r="B219" s="1523" t="s">
        <v>1342</v>
      </c>
      <c r="C219" s="2118">
        <v>0.15</v>
      </c>
      <c r="D219" s="2118">
        <v>0.15</v>
      </c>
      <c r="E219" s="2118">
        <v>0.15</v>
      </c>
      <c r="F219" s="2119">
        <v>0.14799999999999999</v>
      </c>
    </row>
    <row r="220" spans="1:6" ht="14.25" thickBot="1">
      <c r="A220" s="1529" t="s">
        <v>1542</v>
      </c>
      <c r="B220" s="1523" t="s">
        <v>2211</v>
      </c>
      <c r="C220" s="2118">
        <v>0.15</v>
      </c>
      <c r="D220" s="2118">
        <v>0.15</v>
      </c>
      <c r="E220" s="2118">
        <v>0.15</v>
      </c>
      <c r="F220" s="2119">
        <v>0.15</v>
      </c>
    </row>
    <row r="221" spans="1:6" ht="14.25" thickBot="1">
      <c r="A221" s="1529" t="s">
        <v>1542</v>
      </c>
      <c r="B221" s="1523" t="s">
        <v>1363</v>
      </c>
      <c r="C221" s="2118"/>
      <c r="D221" s="2131"/>
      <c r="E221" s="2131"/>
      <c r="F221" s="2119">
        <v>0.14799999999999999</v>
      </c>
    </row>
    <row r="222" spans="1:6" ht="14.25" thickBot="1">
      <c r="A222" s="1529" t="s">
        <v>1542</v>
      </c>
      <c r="B222" s="1523" t="s">
        <v>1373</v>
      </c>
      <c r="C222" s="2118"/>
      <c r="D222" s="2131"/>
      <c r="E222" s="2131"/>
      <c r="F222" s="2119">
        <v>0.1</v>
      </c>
    </row>
    <row r="223" spans="1:6" ht="14.25" thickBot="1">
      <c r="A223" s="1529" t="s">
        <v>1542</v>
      </c>
      <c r="B223" s="1523" t="s">
        <v>1383</v>
      </c>
      <c r="C223" s="2118"/>
      <c r="D223" s="2131"/>
      <c r="E223" s="2131"/>
      <c r="F223" s="2119">
        <v>0.15</v>
      </c>
    </row>
    <row r="224" spans="1:6" ht="14.25" thickBot="1">
      <c r="A224" s="1529" t="s">
        <v>1542</v>
      </c>
      <c r="B224" s="1523" t="s">
        <v>1393</v>
      </c>
      <c r="C224" s="2118"/>
      <c r="D224" s="2131"/>
      <c r="E224" s="2131"/>
      <c r="F224" s="2119">
        <v>0.15</v>
      </c>
    </row>
    <row r="225" spans="1:6" ht="14.25" thickBot="1">
      <c r="A225" s="1529" t="s">
        <v>1542</v>
      </c>
      <c r="B225" s="1523" t="s">
        <v>2212</v>
      </c>
      <c r="C225" s="2118">
        <v>0.15</v>
      </c>
      <c r="D225" s="2118">
        <v>0.15</v>
      </c>
      <c r="E225" s="2118">
        <v>0.15</v>
      </c>
      <c r="F225" s="2119">
        <v>0.15</v>
      </c>
    </row>
    <row r="226" spans="1:6" ht="14.25" thickBot="1">
      <c r="A226" s="1529" t="s">
        <v>1542</v>
      </c>
      <c r="B226" s="1523" t="s">
        <v>1411</v>
      </c>
      <c r="C226" s="2118">
        <v>0.15</v>
      </c>
      <c r="D226" s="2118">
        <v>0.15</v>
      </c>
      <c r="E226" s="2118">
        <v>0.15</v>
      </c>
      <c r="F226" s="2119">
        <v>0.14799999999999999</v>
      </c>
    </row>
    <row r="227" spans="1:6" ht="14.25" thickBot="1">
      <c r="A227" s="1529" t="s">
        <v>1542</v>
      </c>
      <c r="B227" s="1523" t="s">
        <v>2213</v>
      </c>
      <c r="C227" s="2118">
        <v>0.15</v>
      </c>
      <c r="D227" s="2118">
        <v>0.15</v>
      </c>
      <c r="E227" s="2118">
        <v>0.15</v>
      </c>
      <c r="F227" s="2119">
        <v>0.15</v>
      </c>
    </row>
    <row r="228" spans="1:6" ht="14.25" thickBot="1">
      <c r="A228" s="1529" t="s">
        <v>1542</v>
      </c>
      <c r="B228" s="1523" t="s">
        <v>1426</v>
      </c>
      <c r="C228" s="2118">
        <v>0.15</v>
      </c>
      <c r="D228" s="2118">
        <v>0.15</v>
      </c>
      <c r="E228" s="2118">
        <v>0.15</v>
      </c>
      <c r="F228" s="2119">
        <v>0.15</v>
      </c>
    </row>
    <row r="229" spans="1:6" ht="14.25" thickBot="1">
      <c r="A229" s="1529" t="s">
        <v>1542</v>
      </c>
      <c r="B229" s="1523" t="s">
        <v>1433</v>
      </c>
      <c r="C229" s="2118">
        <v>0.15</v>
      </c>
      <c r="D229" s="2118">
        <v>0.15</v>
      </c>
      <c r="E229" s="2118">
        <v>0.15</v>
      </c>
      <c r="F229" s="2130"/>
    </row>
    <row r="230" spans="1:6" ht="14.25" thickBot="1">
      <c r="A230" s="1529" t="s">
        <v>1542</v>
      </c>
      <c r="B230" s="1523" t="s">
        <v>1440</v>
      </c>
      <c r="C230" s="2118">
        <v>0.14499999999999999</v>
      </c>
      <c r="D230" s="2118">
        <v>0.14499999999999999</v>
      </c>
      <c r="E230" s="2118">
        <v>0.14399999999999999</v>
      </c>
      <c r="F230" s="2130"/>
    </row>
    <row r="231" spans="1:6" ht="14.25" thickBot="1">
      <c r="A231" s="1529" t="s">
        <v>1542</v>
      </c>
      <c r="B231" s="1523" t="s">
        <v>2214</v>
      </c>
      <c r="C231" s="2118">
        <v>0.128</v>
      </c>
      <c r="D231" s="2118">
        <v>0.125</v>
      </c>
      <c r="E231" s="2118">
        <v>0.13200000000000001</v>
      </c>
      <c r="F231" s="2130"/>
    </row>
    <row r="232" spans="1:6" ht="14.25" thickBot="1">
      <c r="A232" s="1529" t="s">
        <v>1542</v>
      </c>
      <c r="B232" s="1523" t="s">
        <v>2215</v>
      </c>
      <c r="C232" s="2118">
        <v>0.14499999999999999</v>
      </c>
      <c r="D232" s="2118">
        <v>0.14399999999999999</v>
      </c>
      <c r="E232" s="2118">
        <v>0.14599999999999999</v>
      </c>
      <c r="F232" s="2119">
        <v>0.13800000000000001</v>
      </c>
    </row>
    <row r="233" spans="1:6" ht="14.25" thickBot="1">
      <c r="A233" s="1529" t="s">
        <v>1542</v>
      </c>
      <c r="B233" s="1523" t="s">
        <v>2216</v>
      </c>
      <c r="C233" s="2118">
        <v>0.14499999999999999</v>
      </c>
      <c r="D233" s="2118">
        <v>0.14299999999999999</v>
      </c>
      <c r="E233" s="2118">
        <v>0.14199999999999999</v>
      </c>
      <c r="F233" s="2130"/>
    </row>
    <row r="234" spans="1:6" ht="14.25" thickBot="1">
      <c r="A234" s="1529" t="s">
        <v>1542</v>
      </c>
      <c r="B234" s="1523" t="s">
        <v>2217</v>
      </c>
      <c r="C234" s="2118">
        <v>0.14000000000000001</v>
      </c>
      <c r="D234" s="2118">
        <v>0.14000000000000001</v>
      </c>
      <c r="E234" s="2118">
        <v>0.14399999999999999</v>
      </c>
      <c r="F234" s="2130"/>
    </row>
    <row r="235" spans="1:6" ht="14.25" thickBot="1">
      <c r="A235" s="1529" t="s">
        <v>1542</v>
      </c>
      <c r="B235" s="1523" t="s">
        <v>2218</v>
      </c>
      <c r="C235" s="2118">
        <v>0.14099999999999999</v>
      </c>
      <c r="D235" s="2118">
        <v>0.14199999999999999</v>
      </c>
      <c r="E235" s="2118">
        <v>0.14499999999999999</v>
      </c>
      <c r="F235" s="2119">
        <v>0.15</v>
      </c>
    </row>
    <row r="236" spans="1:6" ht="14.25" thickBot="1">
      <c r="A236" s="1529" t="s">
        <v>1542</v>
      </c>
      <c r="B236" s="1523" t="s">
        <v>1475</v>
      </c>
      <c r="C236" s="2131"/>
      <c r="D236" s="2131"/>
      <c r="E236" s="2131"/>
      <c r="F236" s="2119">
        <v>0.14299999999999999</v>
      </c>
    </row>
    <row r="237" spans="1:6" ht="24.75" thickBot="1">
      <c r="A237" s="1529" t="s">
        <v>1542</v>
      </c>
      <c r="B237" s="1523" t="s">
        <v>2219</v>
      </c>
      <c r="C237" s="2131"/>
      <c r="D237" s="2131"/>
      <c r="E237" s="2131"/>
      <c r="F237" s="2119">
        <v>0.05</v>
      </c>
    </row>
    <row r="238" spans="1:6" ht="24.75" thickBot="1">
      <c r="A238" s="1529" t="s">
        <v>1542</v>
      </c>
      <c r="B238" s="1523" t="s">
        <v>2220</v>
      </c>
      <c r="C238" s="2131"/>
      <c r="D238" s="2131"/>
      <c r="E238" s="2131"/>
      <c r="F238" s="2119">
        <v>0.05</v>
      </c>
    </row>
    <row r="239" spans="1:6" ht="24.75" thickBot="1">
      <c r="A239" s="1529" t="s">
        <v>1542</v>
      </c>
      <c r="B239" s="1523" t="s">
        <v>2221</v>
      </c>
      <c r="C239" s="2131"/>
      <c r="D239" s="2131"/>
      <c r="E239" s="2131"/>
      <c r="F239" s="2119">
        <v>0.05</v>
      </c>
    </row>
    <row r="240" spans="1:6" ht="24.75" thickBot="1">
      <c r="A240" s="1529" t="s">
        <v>1542</v>
      </c>
      <c r="B240" s="1523" t="s">
        <v>2222</v>
      </c>
      <c r="C240" s="2131"/>
      <c r="D240" s="2131"/>
      <c r="E240" s="2131"/>
      <c r="F240" s="2119">
        <v>0.05</v>
      </c>
    </row>
    <row r="241" spans="1:6" ht="24.75" thickBot="1">
      <c r="A241" s="1529" t="s">
        <v>1542</v>
      </c>
      <c r="B241" s="1523" t="s">
        <v>2223</v>
      </c>
      <c r="C241" s="2131"/>
      <c r="D241" s="2131"/>
      <c r="E241" s="2131"/>
      <c r="F241" s="2119">
        <v>0.05</v>
      </c>
    </row>
    <row r="242" spans="1:6" ht="24.75" thickBot="1">
      <c r="A242" s="1529" t="s">
        <v>1542</v>
      </c>
      <c r="B242" s="1523" t="s">
        <v>2224</v>
      </c>
      <c r="C242" s="2131"/>
      <c r="D242" s="2131"/>
      <c r="E242" s="2131"/>
      <c r="F242" s="2119">
        <v>0.05</v>
      </c>
    </row>
    <row r="243" spans="1:6" ht="24.75" thickBot="1">
      <c r="A243" s="1529" t="s">
        <v>1542</v>
      </c>
      <c r="B243" s="1523" t="s">
        <v>2225</v>
      </c>
      <c r="C243" s="2131"/>
      <c r="D243" s="2131"/>
      <c r="E243" s="2131"/>
      <c r="F243" s="2119">
        <v>0.05</v>
      </c>
    </row>
    <row r="244" spans="1:6" ht="24.75" thickBot="1">
      <c r="A244" s="1539" t="s">
        <v>1542</v>
      </c>
      <c r="B244" s="1535" t="s">
        <v>2226</v>
      </c>
      <c r="C244" s="2128"/>
      <c r="D244" s="2128"/>
      <c r="E244" s="2128"/>
      <c r="F244" s="2121">
        <v>0.05</v>
      </c>
    </row>
    <row r="245" spans="1:6" ht="14.25" thickBot="1">
      <c r="A245" s="1529" t="s">
        <v>1544</v>
      </c>
      <c r="B245" s="1530" t="s">
        <v>2227</v>
      </c>
      <c r="C245" s="2116">
        <v>0.15</v>
      </c>
      <c r="D245" s="2116">
        <v>0.15</v>
      </c>
      <c r="E245" s="2116">
        <v>0.15</v>
      </c>
      <c r="F245" s="2117">
        <v>0.14299999999999999</v>
      </c>
    </row>
    <row r="246" spans="1:6" ht="14.25" thickBot="1">
      <c r="A246" s="1529" t="s">
        <v>1544</v>
      </c>
      <c r="B246" s="1523" t="s">
        <v>1209</v>
      </c>
      <c r="C246" s="2118">
        <v>0.15</v>
      </c>
      <c r="D246" s="2118">
        <v>0.15</v>
      </c>
      <c r="E246" s="2118">
        <v>0.15</v>
      </c>
      <c r="F246" s="2119">
        <v>0.114</v>
      </c>
    </row>
    <row r="247" spans="1:6" ht="14.25" thickBot="1">
      <c r="A247" s="1529" t="s">
        <v>1544</v>
      </c>
      <c r="B247" s="1523" t="s">
        <v>2228</v>
      </c>
      <c r="C247" s="2118">
        <v>0.15</v>
      </c>
      <c r="D247" s="2118">
        <v>0.15</v>
      </c>
      <c r="E247" s="2118">
        <v>0.15</v>
      </c>
      <c r="F247" s="2119">
        <v>0.15</v>
      </c>
    </row>
    <row r="248" spans="1:6" ht="14.25" thickBot="1">
      <c r="A248" s="1529" t="s">
        <v>1544</v>
      </c>
      <c r="B248" s="1523" t="s">
        <v>2229</v>
      </c>
      <c r="C248" s="2118">
        <v>0.15</v>
      </c>
      <c r="D248" s="2118">
        <v>0.15</v>
      </c>
      <c r="E248" s="2118">
        <v>0.15</v>
      </c>
      <c r="F248" s="2119">
        <v>0.14000000000000001</v>
      </c>
    </row>
    <row r="249" spans="1:6" ht="14.25" thickBot="1">
      <c r="A249" s="1529" t="s">
        <v>1544</v>
      </c>
      <c r="B249" s="1523" t="s">
        <v>2230</v>
      </c>
      <c r="C249" s="2118">
        <v>0.15</v>
      </c>
      <c r="D249" s="2118">
        <v>0.14899999999999999</v>
      </c>
      <c r="E249" s="2118">
        <v>0.15</v>
      </c>
      <c r="F249" s="2119">
        <v>0.1</v>
      </c>
    </row>
    <row r="250" spans="1:6" ht="14.25" thickBot="1">
      <c r="A250" s="1529" t="s">
        <v>1544</v>
      </c>
      <c r="B250" s="1523" t="s">
        <v>2231</v>
      </c>
      <c r="C250" s="2118">
        <v>0.15</v>
      </c>
      <c r="D250" s="2118">
        <v>0.15</v>
      </c>
      <c r="E250" s="2118">
        <v>0.15</v>
      </c>
      <c r="F250" s="2119">
        <v>0.14399999999999999</v>
      </c>
    </row>
    <row r="251" spans="1:6" ht="14.25" thickBot="1">
      <c r="A251" s="1529" t="s">
        <v>1544</v>
      </c>
      <c r="B251" s="1523" t="s">
        <v>1269</v>
      </c>
      <c r="C251" s="2118">
        <v>0.15</v>
      </c>
      <c r="D251" s="2118">
        <v>0.15</v>
      </c>
      <c r="E251" s="2118">
        <v>0.15</v>
      </c>
      <c r="F251" s="2119">
        <v>0.14299999999999999</v>
      </c>
    </row>
    <row r="252" spans="1:6" ht="14.25" thickBot="1">
      <c r="A252" s="1529" t="s">
        <v>1544</v>
      </c>
      <c r="B252" s="1523" t="s">
        <v>1280</v>
      </c>
      <c r="C252" s="2118">
        <v>0.15</v>
      </c>
      <c r="D252" s="2118">
        <v>0.15</v>
      </c>
      <c r="E252" s="2118">
        <v>0.15</v>
      </c>
      <c r="F252" s="2119">
        <v>0.1</v>
      </c>
    </row>
    <row r="253" spans="1:6" ht="14.25" thickBot="1">
      <c r="A253" s="1529" t="s">
        <v>1544</v>
      </c>
      <c r="B253" s="1523" t="s">
        <v>1292</v>
      </c>
      <c r="C253" s="2118">
        <v>0.15</v>
      </c>
      <c r="D253" s="2118">
        <v>0.15</v>
      </c>
      <c r="E253" s="2118">
        <v>0.15</v>
      </c>
      <c r="F253" s="2119">
        <v>0.1</v>
      </c>
    </row>
    <row r="254" spans="1:6" ht="14.25" thickBot="1">
      <c r="A254" s="1529" t="s">
        <v>1544</v>
      </c>
      <c r="B254" s="1523" t="s">
        <v>1302</v>
      </c>
      <c r="C254" s="2131"/>
      <c r="D254" s="2131"/>
      <c r="E254" s="2131"/>
      <c r="F254" s="2119">
        <v>0.15</v>
      </c>
    </row>
    <row r="255" spans="1:6" ht="14.25" thickBot="1">
      <c r="A255" s="1529" t="s">
        <v>1544</v>
      </c>
      <c r="B255" s="1523" t="s">
        <v>1312</v>
      </c>
      <c r="C255" s="2131"/>
      <c r="D255" s="2131"/>
      <c r="E255" s="2131"/>
      <c r="F255" s="2119">
        <v>0.14299999999999999</v>
      </c>
    </row>
    <row r="256" spans="1:6" ht="14.25" thickBot="1">
      <c r="A256" s="1529" t="s">
        <v>1544</v>
      </c>
      <c r="B256" s="1523" t="s">
        <v>2232</v>
      </c>
      <c r="C256" s="2118">
        <v>0.14599999999999999</v>
      </c>
      <c r="D256" s="2118">
        <v>0.14699999999999999</v>
      </c>
      <c r="E256" s="2118">
        <v>0.15</v>
      </c>
      <c r="F256" s="2119">
        <v>0.13200000000000001</v>
      </c>
    </row>
    <row r="257" spans="1:6" ht="14.25" thickBot="1">
      <c r="A257" s="1529" t="s">
        <v>1544</v>
      </c>
      <c r="B257" s="1523" t="s">
        <v>1332</v>
      </c>
      <c r="C257" s="2118">
        <v>0.15</v>
      </c>
      <c r="D257" s="2118">
        <v>0.15</v>
      </c>
      <c r="E257" s="2118">
        <v>0.15</v>
      </c>
      <c r="F257" s="2119">
        <v>0.13900000000000001</v>
      </c>
    </row>
    <row r="258" spans="1:6" ht="14.25" thickBot="1">
      <c r="A258" s="1529" t="s">
        <v>1544</v>
      </c>
      <c r="B258" s="1523" t="s">
        <v>1343</v>
      </c>
      <c r="C258" s="2118">
        <v>0.15</v>
      </c>
      <c r="D258" s="2118">
        <v>0.15</v>
      </c>
      <c r="E258" s="2118">
        <v>0.15</v>
      </c>
      <c r="F258" s="2119">
        <v>0.13</v>
      </c>
    </row>
    <row r="259" spans="1:6" ht="14.25" thickBot="1">
      <c r="A259" s="1529" t="s">
        <v>1544</v>
      </c>
      <c r="B259" s="1523" t="s">
        <v>2233</v>
      </c>
      <c r="C259" s="2118">
        <v>0.14799999999999999</v>
      </c>
      <c r="D259" s="2118">
        <v>0.14899999999999999</v>
      </c>
      <c r="E259" s="2118">
        <v>0.15</v>
      </c>
      <c r="F259" s="2119">
        <v>0.13700000000000001</v>
      </c>
    </row>
    <row r="260" spans="1:6" ht="14.25" thickBot="1">
      <c r="A260" s="1529" t="s">
        <v>1544</v>
      </c>
      <c r="B260" s="1523" t="s">
        <v>1364</v>
      </c>
      <c r="C260" s="2118">
        <v>0.15</v>
      </c>
      <c r="D260" s="2118">
        <v>0.15</v>
      </c>
      <c r="E260" s="2118">
        <v>0.15</v>
      </c>
      <c r="F260" s="2119">
        <v>0.14199999999999999</v>
      </c>
    </row>
    <row r="261" spans="1:6" ht="14.25" thickBot="1">
      <c r="A261" s="1529" t="s">
        <v>1544</v>
      </c>
      <c r="B261" s="1523" t="s">
        <v>1374</v>
      </c>
      <c r="C261" s="2118">
        <v>0.15</v>
      </c>
      <c r="D261" s="2118">
        <v>0.15</v>
      </c>
      <c r="E261" s="2118">
        <v>0.14899999999999999</v>
      </c>
      <c r="F261" s="2119">
        <v>0.14799999999999999</v>
      </c>
    </row>
    <row r="262" spans="1:6" ht="14.25" thickBot="1">
      <c r="A262" s="1529" t="s">
        <v>1544</v>
      </c>
      <c r="B262" s="1523" t="s">
        <v>1384</v>
      </c>
      <c r="C262" s="2118">
        <v>0.15</v>
      </c>
      <c r="D262" s="2118">
        <v>0.15</v>
      </c>
      <c r="E262" s="2118">
        <v>0.15</v>
      </c>
      <c r="F262" s="2130"/>
    </row>
    <row r="263" spans="1:6" ht="14.25" thickBot="1">
      <c r="A263" s="1529" t="s">
        <v>1544</v>
      </c>
      <c r="B263" s="1523" t="s">
        <v>2234</v>
      </c>
      <c r="C263" s="2118">
        <v>0.14899999999999999</v>
      </c>
      <c r="D263" s="2118">
        <v>0.14899999999999999</v>
      </c>
      <c r="E263" s="2118">
        <v>0.15</v>
      </c>
      <c r="F263" s="2119">
        <v>0.13</v>
      </c>
    </row>
    <row r="264" spans="1:6" ht="14.25" thickBot="1">
      <c r="A264" s="1529" t="s">
        <v>1544</v>
      </c>
      <c r="B264" s="1523" t="s">
        <v>1403</v>
      </c>
      <c r="C264" s="2118">
        <v>0.14799999999999999</v>
      </c>
      <c r="D264" s="2118">
        <v>0.14699999999999999</v>
      </c>
      <c r="E264" s="2118">
        <v>0.15</v>
      </c>
      <c r="F264" s="2119">
        <v>7.8E-2</v>
      </c>
    </row>
    <row r="265" spans="1:6" ht="14.25" thickBot="1">
      <c r="A265" s="1529" t="s">
        <v>1544</v>
      </c>
      <c r="B265" s="1523" t="s">
        <v>1412</v>
      </c>
      <c r="C265" s="2118">
        <v>0.15</v>
      </c>
      <c r="D265" s="2118">
        <v>0.15</v>
      </c>
      <c r="E265" s="2118">
        <v>0.15</v>
      </c>
      <c r="F265" s="2119">
        <v>7.3999999999999996E-2</v>
      </c>
    </row>
    <row r="266" spans="1:6" ht="14.25" thickBot="1">
      <c r="A266" s="1529" t="s">
        <v>1544</v>
      </c>
      <c r="B266" s="1523" t="s">
        <v>1420</v>
      </c>
      <c r="C266" s="2118">
        <v>0.14699999999999999</v>
      </c>
      <c r="D266" s="2118">
        <v>0.14699999999999999</v>
      </c>
      <c r="E266" s="2118">
        <v>0.15</v>
      </c>
      <c r="F266" s="2119">
        <v>0.14299999999999999</v>
      </c>
    </row>
    <row r="267" spans="1:6" ht="14.25" thickBot="1">
      <c r="A267" s="1529" t="s">
        <v>1544</v>
      </c>
      <c r="B267" s="1523" t="s">
        <v>1427</v>
      </c>
      <c r="C267" s="2118">
        <v>0.14199999999999999</v>
      </c>
      <c r="D267" s="2118">
        <v>0.14299999999999999</v>
      </c>
      <c r="E267" s="2118">
        <v>0.15</v>
      </c>
      <c r="F267" s="2130"/>
    </row>
    <row r="268" spans="1:6" ht="14.25" thickBot="1">
      <c r="A268" s="1529" t="s">
        <v>1544</v>
      </c>
      <c r="B268" s="1523" t="s">
        <v>2235</v>
      </c>
      <c r="C268" s="2118">
        <v>0.15</v>
      </c>
      <c r="D268" s="2118">
        <v>0.15</v>
      </c>
      <c r="E268" s="2118">
        <v>0.15</v>
      </c>
      <c r="F268" s="2119">
        <v>0.13</v>
      </c>
    </row>
    <row r="269" spans="1:6" ht="14.25" thickBot="1">
      <c r="A269" s="1529" t="s">
        <v>1544</v>
      </c>
      <c r="B269" s="1523" t="s">
        <v>1441</v>
      </c>
      <c r="C269" s="2118">
        <v>0.15</v>
      </c>
      <c r="D269" s="2118">
        <v>0.15</v>
      </c>
      <c r="E269" s="2118">
        <v>0.15</v>
      </c>
      <c r="F269" s="2119">
        <v>0.14299999999999999</v>
      </c>
    </row>
    <row r="270" spans="1:6" ht="14.25" thickBot="1">
      <c r="A270" s="1529" t="s">
        <v>1544</v>
      </c>
      <c r="B270" s="1523" t="s">
        <v>1448</v>
      </c>
      <c r="C270" s="2118">
        <v>0.14499999999999999</v>
      </c>
      <c r="D270" s="2118">
        <v>0.14499999999999999</v>
      </c>
      <c r="E270" s="2118">
        <v>0.15</v>
      </c>
      <c r="F270" s="2119">
        <v>0.14699999999999999</v>
      </c>
    </row>
    <row r="271" spans="1:6" ht="14.25" thickBot="1">
      <c r="A271" s="1529" t="s">
        <v>1544</v>
      </c>
      <c r="B271" s="1523" t="s">
        <v>1455</v>
      </c>
      <c r="C271" s="2118">
        <v>0.15</v>
      </c>
      <c r="D271" s="2118">
        <v>0.15</v>
      </c>
      <c r="E271" s="2118">
        <v>0.15</v>
      </c>
      <c r="F271" s="2119">
        <v>0.13800000000000001</v>
      </c>
    </row>
    <row r="272" spans="1:6" ht="14.25" thickBot="1">
      <c r="A272" s="1529" t="s">
        <v>1544</v>
      </c>
      <c r="B272" s="1523" t="s">
        <v>1462</v>
      </c>
      <c r="C272" s="2131"/>
      <c r="D272" s="2131"/>
      <c r="E272" s="2131"/>
      <c r="F272" s="2119">
        <v>0.14000000000000001</v>
      </c>
    </row>
    <row r="273" spans="1:6" ht="14.25" thickBot="1">
      <c r="A273" s="1529" t="s">
        <v>1544</v>
      </c>
      <c r="B273" s="1523" t="s">
        <v>2236</v>
      </c>
      <c r="C273" s="2118">
        <v>0.14199999999999999</v>
      </c>
      <c r="D273" s="2118">
        <v>0.14299999999999999</v>
      </c>
      <c r="E273" s="2118">
        <v>0.15</v>
      </c>
      <c r="F273" s="2119">
        <v>0.1</v>
      </c>
    </row>
    <row r="274" spans="1:6" ht="14.25" thickBot="1">
      <c r="A274" s="1529" t="s">
        <v>1544</v>
      </c>
      <c r="B274" s="1523" t="s">
        <v>2237</v>
      </c>
      <c r="C274" s="2118">
        <v>0.14799999999999999</v>
      </c>
      <c r="D274" s="2118">
        <v>0.14799999999999999</v>
      </c>
      <c r="E274" s="2118">
        <v>0.15</v>
      </c>
      <c r="F274" s="2119">
        <v>6.7000000000000004E-2</v>
      </c>
    </row>
    <row r="275" spans="1:6" ht="14.25" thickBot="1">
      <c r="A275" s="1529" t="s">
        <v>1544</v>
      </c>
      <c r="B275" s="1523" t="s">
        <v>2238</v>
      </c>
      <c r="C275" s="2118">
        <v>0.15</v>
      </c>
      <c r="D275" s="2118">
        <v>0.15</v>
      </c>
      <c r="E275" s="2118">
        <v>0.15</v>
      </c>
      <c r="F275" s="2119">
        <v>0.15</v>
      </c>
    </row>
    <row r="276" spans="1:6" ht="14.25" thickBot="1">
      <c r="A276" s="1529" t="s">
        <v>1544</v>
      </c>
      <c r="B276" s="1523" t="s">
        <v>2239</v>
      </c>
      <c r="C276" s="2118">
        <v>0.14499999999999999</v>
      </c>
      <c r="D276" s="2118">
        <v>0.14299999999999999</v>
      </c>
      <c r="E276" s="2118">
        <v>0.15</v>
      </c>
      <c r="F276" s="2119">
        <v>5.8999999999999997E-2</v>
      </c>
    </row>
    <row r="277" spans="1:6" ht="14.25" thickBot="1">
      <c r="A277" s="1529" t="s">
        <v>1544</v>
      </c>
      <c r="B277" s="1523" t="s">
        <v>2240</v>
      </c>
      <c r="C277" s="2118">
        <v>0.15</v>
      </c>
      <c r="D277" s="2118">
        <v>0.15</v>
      </c>
      <c r="E277" s="2118">
        <v>0.15</v>
      </c>
      <c r="F277" s="2119">
        <v>0.121</v>
      </c>
    </row>
    <row r="278" spans="1:6" ht="14.25" thickBot="1">
      <c r="A278" s="1529" t="s">
        <v>1544</v>
      </c>
      <c r="B278" s="1523" t="s">
        <v>2241</v>
      </c>
      <c r="C278" s="2118">
        <v>0.15</v>
      </c>
      <c r="D278" s="2118">
        <v>0.15</v>
      </c>
      <c r="E278" s="2118">
        <v>0.15</v>
      </c>
      <c r="F278" s="2119">
        <v>0.13800000000000001</v>
      </c>
    </row>
    <row r="279" spans="1:6" ht="24.75" thickBot="1">
      <c r="A279" s="1529" t="s">
        <v>1544</v>
      </c>
      <c r="B279" s="1523" t="s">
        <v>2242</v>
      </c>
      <c r="C279" s="2131"/>
      <c r="D279" s="2131"/>
      <c r="E279" s="2131"/>
      <c r="F279" s="2119">
        <v>0.05</v>
      </c>
    </row>
    <row r="280" spans="1:6" ht="24.75" thickBot="1">
      <c r="A280" s="1529" t="s">
        <v>1544</v>
      </c>
      <c r="B280" s="1523" t="s">
        <v>2243</v>
      </c>
      <c r="C280" s="2131"/>
      <c r="D280" s="2131"/>
      <c r="E280" s="2131"/>
      <c r="F280" s="2119">
        <v>0.05</v>
      </c>
    </row>
    <row r="281" spans="1:6" ht="24.75" thickBot="1">
      <c r="A281" s="1529" t="s">
        <v>1544</v>
      </c>
      <c r="B281" s="1523" t="s">
        <v>2244</v>
      </c>
      <c r="C281" s="2131"/>
      <c r="D281" s="2131"/>
      <c r="E281" s="2131"/>
      <c r="F281" s="2119">
        <v>0.05</v>
      </c>
    </row>
    <row r="282" spans="1:6" ht="24.75" thickBot="1">
      <c r="A282" s="1529" t="s">
        <v>1544</v>
      </c>
      <c r="B282" s="1523" t="s">
        <v>2245</v>
      </c>
      <c r="C282" s="2131"/>
      <c r="D282" s="2131"/>
      <c r="E282" s="2131"/>
      <c r="F282" s="2119">
        <v>0.05</v>
      </c>
    </row>
    <row r="283" spans="1:6" ht="24.75" thickBot="1">
      <c r="A283" s="1529" t="s">
        <v>1544</v>
      </c>
      <c r="B283" s="1523" t="s">
        <v>2246</v>
      </c>
      <c r="C283" s="2131"/>
      <c r="D283" s="2131"/>
      <c r="E283" s="2131"/>
      <c r="F283" s="2119">
        <v>0.05</v>
      </c>
    </row>
    <row r="284" spans="1:6" ht="24.75" thickBot="1">
      <c r="A284" s="1529" t="s">
        <v>1544</v>
      </c>
      <c r="B284" s="1523" t="s">
        <v>2247</v>
      </c>
      <c r="C284" s="2131"/>
      <c r="D284" s="2131"/>
      <c r="E284" s="2131"/>
      <c r="F284" s="2119">
        <v>0.05</v>
      </c>
    </row>
    <row r="285" spans="1:6" ht="24.75" thickBot="1">
      <c r="A285" s="1529" t="s">
        <v>1544</v>
      </c>
      <c r="B285" s="1523" t="s">
        <v>2248</v>
      </c>
      <c r="C285" s="2131"/>
      <c r="D285" s="2131"/>
      <c r="E285" s="2131"/>
      <c r="F285" s="2119">
        <v>0.05</v>
      </c>
    </row>
    <row r="286" spans="1:6" ht="24.75" thickBot="1">
      <c r="A286" s="1529" t="s">
        <v>1544</v>
      </c>
      <c r="B286" s="1523" t="s">
        <v>2249</v>
      </c>
      <c r="C286" s="2131"/>
      <c r="D286" s="2131"/>
      <c r="E286" s="2131"/>
      <c r="F286" s="2119">
        <v>0.05</v>
      </c>
    </row>
    <row r="287" spans="1:6" ht="24.75" thickBot="1">
      <c r="A287" s="1529" t="s">
        <v>1544</v>
      </c>
      <c r="B287" s="1523" t="s">
        <v>2250</v>
      </c>
      <c r="C287" s="2131"/>
      <c r="D287" s="2131"/>
      <c r="E287" s="2131"/>
      <c r="F287" s="2119">
        <v>0.05</v>
      </c>
    </row>
    <row r="288" spans="1:6" ht="24.75" thickBot="1">
      <c r="A288" s="1529" t="s">
        <v>1544</v>
      </c>
      <c r="B288" s="1523" t="s">
        <v>2251</v>
      </c>
      <c r="C288" s="2131"/>
      <c r="D288" s="2131"/>
      <c r="E288" s="2131"/>
      <c r="F288" s="2119">
        <v>0.05</v>
      </c>
    </row>
    <row r="289" spans="1:6" ht="24.75" thickBot="1">
      <c r="A289" s="1539" t="s">
        <v>1544</v>
      </c>
      <c r="B289" s="1535" t="s">
        <v>2252</v>
      </c>
      <c r="C289" s="2128"/>
      <c r="D289" s="2128"/>
      <c r="E289" s="2128"/>
      <c r="F289" s="2121">
        <v>0.05</v>
      </c>
    </row>
    <row r="290" spans="1:6" ht="14.25" thickBot="1">
      <c r="A290" s="1529" t="s">
        <v>1548</v>
      </c>
      <c r="B290" s="1530" t="s">
        <v>2253</v>
      </c>
      <c r="C290" s="2116">
        <v>0.15</v>
      </c>
      <c r="D290" s="2116">
        <v>0.15</v>
      </c>
      <c r="E290" s="2116">
        <v>0.15</v>
      </c>
      <c r="F290" s="2133"/>
    </row>
    <row r="291" spans="1:6" ht="14.25" thickBot="1">
      <c r="A291" s="1529" t="s">
        <v>1548</v>
      </c>
      <c r="B291" s="1523" t="s">
        <v>1210</v>
      </c>
      <c r="C291" s="2118">
        <v>0.15</v>
      </c>
      <c r="D291" s="2118">
        <v>0.15</v>
      </c>
      <c r="E291" s="2118">
        <v>0.15</v>
      </c>
      <c r="F291" s="2130"/>
    </row>
    <row r="292" spans="1:6" ht="14.25" thickBot="1">
      <c r="A292" s="1529" t="s">
        <v>1548</v>
      </c>
      <c r="B292" s="1523" t="s">
        <v>2254</v>
      </c>
      <c r="C292" s="2118">
        <v>0.15</v>
      </c>
      <c r="D292" s="2118">
        <v>0.15</v>
      </c>
      <c r="E292" s="2118">
        <v>0.15</v>
      </c>
      <c r="F292" s="2119">
        <v>0.14699999999999999</v>
      </c>
    </row>
    <row r="293" spans="1:6" ht="14.25" thickBot="1">
      <c r="A293" s="1529" t="s">
        <v>1548</v>
      </c>
      <c r="B293" s="1523" t="s">
        <v>2255</v>
      </c>
      <c r="C293" s="2131"/>
      <c r="D293" s="2131"/>
      <c r="E293" s="2131"/>
      <c r="F293" s="2119">
        <v>0.1</v>
      </c>
    </row>
    <row r="294" spans="1:6" ht="14.25" thickBot="1">
      <c r="A294" s="1529" t="s">
        <v>1548</v>
      </c>
      <c r="B294" s="1523" t="s">
        <v>2256</v>
      </c>
      <c r="C294" s="2118">
        <v>0.15</v>
      </c>
      <c r="D294" s="2118">
        <v>0.15</v>
      </c>
      <c r="E294" s="2118">
        <v>0.15</v>
      </c>
      <c r="F294" s="2119">
        <v>0.15</v>
      </c>
    </row>
    <row r="295" spans="1:6" ht="14.25" thickBot="1">
      <c r="A295" s="1529" t="s">
        <v>1548</v>
      </c>
      <c r="B295" s="1523" t="s">
        <v>1248</v>
      </c>
      <c r="C295" s="2118">
        <v>0.15</v>
      </c>
      <c r="D295" s="2118">
        <v>0.15</v>
      </c>
      <c r="E295" s="2118">
        <v>0.15</v>
      </c>
      <c r="F295" s="2119">
        <v>0.15</v>
      </c>
    </row>
    <row r="296" spans="1:6" ht="14.25" thickBot="1">
      <c r="A296" s="1529" t="s">
        <v>1548</v>
      </c>
      <c r="B296" s="1523" t="s">
        <v>2257</v>
      </c>
      <c r="C296" s="2118">
        <v>0.15</v>
      </c>
      <c r="D296" s="2118">
        <v>0.15</v>
      </c>
      <c r="E296" s="2118">
        <v>0.15</v>
      </c>
      <c r="F296" s="2119">
        <v>0.15</v>
      </c>
    </row>
    <row r="297" spans="1:6" ht="14.25" thickBot="1">
      <c r="A297" s="1529" t="s">
        <v>1548</v>
      </c>
      <c r="B297" s="1523" t="s">
        <v>2258</v>
      </c>
      <c r="C297" s="2118">
        <v>0.14799999999999999</v>
      </c>
      <c r="D297" s="2118">
        <v>0.14899999999999999</v>
      </c>
      <c r="E297" s="2118">
        <v>0.15</v>
      </c>
      <c r="F297" s="2119">
        <v>0.13700000000000001</v>
      </c>
    </row>
    <row r="298" spans="1:6" ht="14.25" thickBot="1">
      <c r="A298" s="1529" t="s">
        <v>1548</v>
      </c>
      <c r="B298" s="1523" t="s">
        <v>1281</v>
      </c>
      <c r="C298" s="2118">
        <v>0.13400000000000001</v>
      </c>
      <c r="D298" s="2118">
        <v>0.13400000000000001</v>
      </c>
      <c r="E298" s="2118">
        <v>0.14499999999999999</v>
      </c>
      <c r="F298" s="2119">
        <v>0.14799999999999999</v>
      </c>
    </row>
    <row r="299" spans="1:6" ht="14.25" thickBot="1">
      <c r="A299" s="1529" t="s">
        <v>1548</v>
      </c>
      <c r="B299" s="1523" t="s">
        <v>1293</v>
      </c>
      <c r="C299" s="2118">
        <v>0.15</v>
      </c>
      <c r="D299" s="2118">
        <v>0.15</v>
      </c>
      <c r="E299" s="2118">
        <v>0.15</v>
      </c>
      <c r="F299" s="2130"/>
    </row>
    <row r="300" spans="1:6" ht="14.25" thickBot="1">
      <c r="A300" s="1529" t="s">
        <v>1548</v>
      </c>
      <c r="B300" s="1523" t="s">
        <v>2259</v>
      </c>
      <c r="C300" s="2118">
        <v>0.15</v>
      </c>
      <c r="D300" s="2118">
        <v>0.15</v>
      </c>
      <c r="E300" s="2118">
        <v>0.15</v>
      </c>
      <c r="F300" s="2119">
        <v>0.15</v>
      </c>
    </row>
    <row r="301" spans="1:6" ht="14.25" thickBot="1">
      <c r="A301" s="1529" t="s">
        <v>1548</v>
      </c>
      <c r="B301" s="1523" t="s">
        <v>1313</v>
      </c>
      <c r="C301" s="2118">
        <v>0.15</v>
      </c>
      <c r="D301" s="2118">
        <v>0.15</v>
      </c>
      <c r="E301" s="2118">
        <v>0.15</v>
      </c>
      <c r="F301" s="2130"/>
    </row>
    <row r="302" spans="1:6" ht="14.25" thickBot="1">
      <c r="A302" s="1529" t="s">
        <v>1548</v>
      </c>
      <c r="B302" s="1523" t="s">
        <v>2260</v>
      </c>
      <c r="C302" s="2118">
        <v>0.15</v>
      </c>
      <c r="D302" s="2118">
        <v>0.15</v>
      </c>
      <c r="E302" s="2118">
        <v>0.15</v>
      </c>
      <c r="F302" s="2119">
        <v>0.15</v>
      </c>
    </row>
    <row r="303" spans="1:6" ht="14.25" thickBot="1">
      <c r="A303" s="1529" t="s">
        <v>1548</v>
      </c>
      <c r="B303" s="1523" t="s">
        <v>1333</v>
      </c>
      <c r="C303" s="2118">
        <v>0.15</v>
      </c>
      <c r="D303" s="2118">
        <v>0.15</v>
      </c>
      <c r="E303" s="2118">
        <v>0.15</v>
      </c>
      <c r="F303" s="2119">
        <v>0.15</v>
      </c>
    </row>
    <row r="304" spans="1:6" ht="14.25" thickBot="1">
      <c r="A304" s="1529" t="s">
        <v>1548</v>
      </c>
      <c r="B304" s="1523" t="s">
        <v>1344</v>
      </c>
      <c r="C304" s="2118">
        <v>0.15</v>
      </c>
      <c r="D304" s="2118">
        <v>0.15</v>
      </c>
      <c r="E304" s="2118">
        <v>0.15</v>
      </c>
      <c r="F304" s="2130"/>
    </row>
    <row r="305" spans="1:6" ht="14.25" thickBot="1">
      <c r="A305" s="1529" t="s">
        <v>1548</v>
      </c>
      <c r="B305" s="1523" t="s">
        <v>2261</v>
      </c>
      <c r="C305" s="2118">
        <v>0.15</v>
      </c>
      <c r="D305" s="2118">
        <v>0.15</v>
      </c>
      <c r="E305" s="2118">
        <v>0.15</v>
      </c>
      <c r="F305" s="2119">
        <v>0.14000000000000001</v>
      </c>
    </row>
    <row r="306" spans="1:6" ht="14.25" thickBot="1">
      <c r="A306" s="1529" t="s">
        <v>1548</v>
      </c>
      <c r="B306" s="1523" t="s">
        <v>1365</v>
      </c>
      <c r="C306" s="2118">
        <v>0.15</v>
      </c>
      <c r="D306" s="2118">
        <v>0.15</v>
      </c>
      <c r="E306" s="2118">
        <v>0.15</v>
      </c>
      <c r="F306" s="2130"/>
    </row>
    <row r="307" spans="1:6" ht="14.25" thickBot="1">
      <c r="A307" s="1529" t="s">
        <v>1548</v>
      </c>
      <c r="B307" s="1523" t="s">
        <v>2262</v>
      </c>
      <c r="C307" s="2118">
        <v>0.15</v>
      </c>
      <c r="D307" s="2118">
        <v>0.15</v>
      </c>
      <c r="E307" s="2118">
        <v>0.15</v>
      </c>
      <c r="F307" s="2119">
        <v>0.14299999999999999</v>
      </c>
    </row>
    <row r="308" spans="1:6" ht="14.25" thickBot="1">
      <c r="A308" s="1529" t="s">
        <v>1548</v>
      </c>
      <c r="B308" s="1523" t="s">
        <v>1385</v>
      </c>
      <c r="C308" s="2118">
        <v>0.15</v>
      </c>
      <c r="D308" s="2118">
        <v>0.15</v>
      </c>
      <c r="E308" s="2118">
        <v>0.15</v>
      </c>
      <c r="F308" s="2119">
        <v>0.15</v>
      </c>
    </row>
    <row r="309" spans="1:6" ht="14.25" thickBot="1">
      <c r="A309" s="1529" t="s">
        <v>1548</v>
      </c>
      <c r="B309" s="1523" t="s">
        <v>1395</v>
      </c>
      <c r="C309" s="2118">
        <v>0.15</v>
      </c>
      <c r="D309" s="2118">
        <v>0.15</v>
      </c>
      <c r="E309" s="2118">
        <v>0.15</v>
      </c>
      <c r="F309" s="2130"/>
    </row>
    <row r="310" spans="1:6" ht="14.25" thickBot="1">
      <c r="A310" s="1529" t="s">
        <v>1548</v>
      </c>
      <c r="B310" s="1523" t="s">
        <v>2263</v>
      </c>
      <c r="C310" s="2118">
        <v>0.15</v>
      </c>
      <c r="D310" s="2118">
        <v>0.15</v>
      </c>
      <c r="E310" s="2118">
        <v>0.15</v>
      </c>
      <c r="F310" s="2119">
        <v>0.13700000000000001</v>
      </c>
    </row>
    <row r="311" spans="1:6" ht="14.25" thickBot="1">
      <c r="A311" s="1529" t="s">
        <v>1548</v>
      </c>
      <c r="B311" s="1523" t="s">
        <v>2264</v>
      </c>
      <c r="C311" s="2118">
        <v>0.15</v>
      </c>
      <c r="D311" s="2118">
        <v>0.15</v>
      </c>
      <c r="E311" s="2118">
        <v>0.15</v>
      </c>
      <c r="F311" s="2119">
        <v>0.15</v>
      </c>
    </row>
    <row r="312" spans="1:6" ht="14.25" thickBot="1">
      <c r="A312" s="1529" t="s">
        <v>1548</v>
      </c>
      <c r="B312" s="1523" t="s">
        <v>1421</v>
      </c>
      <c r="C312" s="2118">
        <v>0.15</v>
      </c>
      <c r="D312" s="2118">
        <v>0.15</v>
      </c>
      <c r="E312" s="2118">
        <v>0.15</v>
      </c>
      <c r="F312" s="2119">
        <v>0.1</v>
      </c>
    </row>
    <row r="313" spans="1:6" ht="14.25" thickBot="1">
      <c r="A313" s="1529" t="s">
        <v>1548</v>
      </c>
      <c r="B313" s="1523" t="s">
        <v>2265</v>
      </c>
      <c r="C313" s="2118">
        <v>0.15</v>
      </c>
      <c r="D313" s="2118">
        <v>0.15</v>
      </c>
      <c r="E313" s="2118">
        <v>0.15</v>
      </c>
      <c r="F313" s="2119">
        <v>0.15</v>
      </c>
    </row>
    <row r="314" spans="1:6" ht="24.75" thickBot="1">
      <c r="A314" s="1529" t="s">
        <v>1548</v>
      </c>
      <c r="B314" s="1523" t="s">
        <v>2266</v>
      </c>
      <c r="C314" s="2131"/>
      <c r="D314" s="2131"/>
      <c r="E314" s="2131"/>
      <c r="F314" s="2119">
        <v>0.05</v>
      </c>
    </row>
    <row r="315" spans="1:6" ht="24.75" thickBot="1">
      <c r="A315" s="1529" t="s">
        <v>1548</v>
      </c>
      <c r="B315" s="1523" t="s">
        <v>2267</v>
      </c>
      <c r="C315" s="2131"/>
      <c r="D315" s="2131"/>
      <c r="E315" s="2131"/>
      <c r="F315" s="2119">
        <v>0.05</v>
      </c>
    </row>
    <row r="316" spans="1:6" ht="24.75" thickBot="1">
      <c r="A316" s="1539" t="s">
        <v>1548</v>
      </c>
      <c r="B316" s="1535" t="s">
        <v>2268</v>
      </c>
      <c r="C316" s="2128"/>
      <c r="D316" s="2128"/>
      <c r="E316" s="2128"/>
      <c r="F316" s="2121">
        <v>0.05</v>
      </c>
    </row>
    <row r="317" spans="1:6" ht="14.25" thickBot="1">
      <c r="A317" s="1529" t="s">
        <v>2269</v>
      </c>
      <c r="B317" s="1530" t="s">
        <v>2270</v>
      </c>
      <c r="C317" s="2116">
        <v>0.15</v>
      </c>
      <c r="D317" s="2116">
        <v>0.15</v>
      </c>
      <c r="E317" s="2116">
        <v>0.15</v>
      </c>
      <c r="F317" s="2117">
        <v>0.15</v>
      </c>
    </row>
    <row r="318" spans="1:6" ht="14.25" thickBot="1">
      <c r="A318" s="1529" t="s">
        <v>2269</v>
      </c>
      <c r="B318" s="1523" t="s">
        <v>2271</v>
      </c>
      <c r="C318" s="2118">
        <v>0.107</v>
      </c>
      <c r="D318" s="2118">
        <v>0.11</v>
      </c>
      <c r="E318" s="2118">
        <v>0.112</v>
      </c>
      <c r="F318" s="2130"/>
    </row>
    <row r="319" spans="1:6" ht="14.25" thickBot="1">
      <c r="A319" s="1529" t="s">
        <v>2269</v>
      </c>
      <c r="B319" s="1523" t="s">
        <v>2272</v>
      </c>
      <c r="C319" s="2118">
        <v>0.15</v>
      </c>
      <c r="D319" s="2118">
        <v>0.15</v>
      </c>
      <c r="E319" s="2118">
        <v>0.15</v>
      </c>
      <c r="F319" s="2119">
        <v>0.15</v>
      </c>
    </row>
    <row r="320" spans="1:6" ht="14.25" thickBot="1">
      <c r="A320" s="1529" t="s">
        <v>2269</v>
      </c>
      <c r="B320" s="1523" t="s">
        <v>1237</v>
      </c>
      <c r="C320" s="2118">
        <v>0.15</v>
      </c>
      <c r="D320" s="2118">
        <v>0.15</v>
      </c>
      <c r="E320" s="2118">
        <v>0.15</v>
      </c>
      <c r="F320" s="2130"/>
    </row>
    <row r="321" spans="1:6" ht="14.25" thickBot="1">
      <c r="A321" s="1529" t="s">
        <v>2269</v>
      </c>
      <c r="B321" s="1523" t="s">
        <v>2273</v>
      </c>
      <c r="C321" s="2118">
        <v>0.15</v>
      </c>
      <c r="D321" s="2118">
        <v>0.15</v>
      </c>
      <c r="E321" s="2118">
        <v>0.15</v>
      </c>
      <c r="F321" s="2130"/>
    </row>
    <row r="322" spans="1:6" ht="14.25" thickBot="1">
      <c r="A322" s="1529" t="s">
        <v>2269</v>
      </c>
      <c r="B322" s="1523" t="s">
        <v>2274</v>
      </c>
      <c r="C322" s="2118">
        <v>0.15</v>
      </c>
      <c r="D322" s="2118">
        <v>0.15</v>
      </c>
      <c r="E322" s="2118">
        <v>0.15</v>
      </c>
      <c r="F322" s="2119">
        <v>0.15</v>
      </c>
    </row>
    <row r="323" spans="1:6" ht="14.25" thickBot="1">
      <c r="A323" s="1529" t="s">
        <v>2269</v>
      </c>
      <c r="B323" s="1523" t="s">
        <v>2275</v>
      </c>
      <c r="C323" s="2118">
        <v>0.15</v>
      </c>
      <c r="D323" s="2118">
        <v>0.15</v>
      </c>
      <c r="E323" s="2118">
        <v>0.15</v>
      </c>
      <c r="F323" s="2130"/>
    </row>
    <row r="324" spans="1:6" ht="14.25" thickBot="1">
      <c r="A324" s="1529" t="s">
        <v>2269</v>
      </c>
      <c r="B324" s="1523" t="s">
        <v>2276</v>
      </c>
      <c r="C324" s="2118">
        <v>0.15</v>
      </c>
      <c r="D324" s="2118">
        <v>0.15</v>
      </c>
      <c r="E324" s="2118">
        <v>0.15</v>
      </c>
      <c r="F324" s="2130"/>
    </row>
    <row r="325" spans="1:6" ht="14.25" thickBot="1">
      <c r="A325" s="1529" t="s">
        <v>2269</v>
      </c>
      <c r="B325" s="1523" t="s">
        <v>2277</v>
      </c>
      <c r="C325" s="2118">
        <v>0.15</v>
      </c>
      <c r="D325" s="2118">
        <v>0.15</v>
      </c>
      <c r="E325" s="2118">
        <v>0.15</v>
      </c>
      <c r="F325" s="2119">
        <v>0.14699999999999999</v>
      </c>
    </row>
    <row r="326" spans="1:6" ht="14.25" thickBot="1">
      <c r="A326" s="1529" t="s">
        <v>2269</v>
      </c>
      <c r="B326" s="1523" t="s">
        <v>1304</v>
      </c>
      <c r="C326" s="2118">
        <v>0.15</v>
      </c>
      <c r="D326" s="2118">
        <v>0.15</v>
      </c>
      <c r="E326" s="2118">
        <v>0.15</v>
      </c>
      <c r="F326" s="2130"/>
    </row>
    <row r="327" spans="1:6" ht="14.25" thickBot="1">
      <c r="A327" s="1529" t="s">
        <v>2269</v>
      </c>
      <c r="B327" s="1523" t="s">
        <v>2278</v>
      </c>
      <c r="C327" s="2118">
        <v>0.15</v>
      </c>
      <c r="D327" s="2118">
        <v>0.15</v>
      </c>
      <c r="E327" s="2118">
        <v>0.15</v>
      </c>
      <c r="F327" s="2119">
        <v>0.15</v>
      </c>
    </row>
    <row r="328" spans="1:6" ht="14.25" thickBot="1">
      <c r="A328" s="1529" t="s">
        <v>2269</v>
      </c>
      <c r="B328" s="1523" t="s">
        <v>1324</v>
      </c>
      <c r="C328" s="2118">
        <v>0.15</v>
      </c>
      <c r="D328" s="2118">
        <v>0.15</v>
      </c>
      <c r="E328" s="2118">
        <v>0.15</v>
      </c>
      <c r="F328" s="2119">
        <v>0.14099999999999999</v>
      </c>
    </row>
    <row r="329" spans="1:6" ht="14.25" thickBot="1">
      <c r="A329" s="1529" t="s">
        <v>2269</v>
      </c>
      <c r="B329" s="1523" t="s">
        <v>1334</v>
      </c>
      <c r="C329" s="2118">
        <v>0.15</v>
      </c>
      <c r="D329" s="2118">
        <v>0.15</v>
      </c>
      <c r="E329" s="2118">
        <v>0.15</v>
      </c>
      <c r="F329" s="2119">
        <v>0.15</v>
      </c>
    </row>
    <row r="330" spans="1:6" ht="14.25" thickBot="1">
      <c r="A330" s="1529" t="s">
        <v>2269</v>
      </c>
      <c r="B330" s="1523" t="s">
        <v>1345</v>
      </c>
      <c r="C330" s="2118">
        <v>0.15</v>
      </c>
      <c r="D330" s="2118">
        <v>0.15</v>
      </c>
      <c r="E330" s="2118">
        <v>0.15</v>
      </c>
      <c r="F330" s="2130"/>
    </row>
    <row r="331" spans="1:6" ht="14.25" thickBot="1">
      <c r="A331" s="1529" t="s">
        <v>2269</v>
      </c>
      <c r="B331" s="1523" t="s">
        <v>2279</v>
      </c>
      <c r="C331" s="2118">
        <v>0.15</v>
      </c>
      <c r="D331" s="2118">
        <v>0.15</v>
      </c>
      <c r="E331" s="2118">
        <v>0.15</v>
      </c>
      <c r="F331" s="2119">
        <v>0.15</v>
      </c>
    </row>
    <row r="332" spans="1:6" ht="14.25" thickBot="1">
      <c r="A332" s="1529" t="s">
        <v>2269</v>
      </c>
      <c r="B332" s="1523" t="s">
        <v>1366</v>
      </c>
      <c r="C332" s="2118">
        <v>0.15</v>
      </c>
      <c r="D332" s="2118">
        <v>0.15</v>
      </c>
      <c r="E332" s="2118">
        <v>0.15</v>
      </c>
      <c r="F332" s="2119">
        <v>0.15</v>
      </c>
    </row>
    <row r="333" spans="1:6" ht="14.25" thickBot="1">
      <c r="A333" s="1529" t="s">
        <v>2269</v>
      </c>
      <c r="B333" s="1523" t="s">
        <v>2280</v>
      </c>
      <c r="C333" s="2118">
        <v>0.15</v>
      </c>
      <c r="D333" s="2118">
        <v>0.15</v>
      </c>
      <c r="E333" s="2118">
        <v>0.15</v>
      </c>
      <c r="F333" s="2119">
        <v>0.14099999999999999</v>
      </c>
    </row>
    <row r="334" spans="1:6" ht="14.25" thickBot="1">
      <c r="A334" s="1529" t="s">
        <v>2269</v>
      </c>
      <c r="B334" s="1523" t="s">
        <v>1386</v>
      </c>
      <c r="C334" s="2118">
        <v>0.15</v>
      </c>
      <c r="D334" s="2118">
        <v>0.15</v>
      </c>
      <c r="E334" s="2118">
        <v>0.15</v>
      </c>
      <c r="F334" s="2119">
        <v>0.15</v>
      </c>
    </row>
    <row r="335" spans="1:6" ht="14.25" thickBot="1">
      <c r="A335" s="1529" t="s">
        <v>2269</v>
      </c>
      <c r="B335" s="1523" t="s">
        <v>1396</v>
      </c>
      <c r="C335" s="2118">
        <v>0.15</v>
      </c>
      <c r="D335" s="2118">
        <v>0.15</v>
      </c>
      <c r="E335" s="2118">
        <v>0.15</v>
      </c>
      <c r="F335" s="2130"/>
    </row>
    <row r="336" spans="1:6" ht="14.25" thickBot="1">
      <c r="A336" s="1529" t="s">
        <v>2269</v>
      </c>
      <c r="B336" s="1523" t="s">
        <v>2281</v>
      </c>
      <c r="C336" s="2118">
        <v>0.15</v>
      </c>
      <c r="D336" s="2118">
        <v>0.15</v>
      </c>
      <c r="E336" s="2118">
        <v>0.15</v>
      </c>
      <c r="F336" s="2119">
        <v>0.11799999999999999</v>
      </c>
    </row>
    <row r="337" spans="1:6" ht="14.25" thickBot="1">
      <c r="A337" s="1539" t="s">
        <v>2269</v>
      </c>
      <c r="B337" s="1535" t="s">
        <v>1414</v>
      </c>
      <c r="C337" s="2128"/>
      <c r="D337" s="2128"/>
      <c r="E337" s="2128"/>
      <c r="F337" s="2121">
        <v>0.14299999999999999</v>
      </c>
    </row>
    <row r="338" spans="1:6" ht="14.25" thickBot="1">
      <c r="A338" s="1529" t="s">
        <v>2282</v>
      </c>
      <c r="B338" s="1530" t="s">
        <v>2283</v>
      </c>
      <c r="C338" s="2116">
        <v>0.15</v>
      </c>
      <c r="D338" s="2116">
        <v>0.15</v>
      </c>
      <c r="E338" s="2116">
        <v>0.15</v>
      </c>
      <c r="F338" s="2133"/>
    </row>
    <row r="339" spans="1:6" ht="14.25" thickBot="1">
      <c r="A339" s="1529" t="s">
        <v>2282</v>
      </c>
      <c r="B339" s="1523" t="s">
        <v>2284</v>
      </c>
      <c r="C339" s="2118">
        <v>0.15</v>
      </c>
      <c r="D339" s="2118">
        <v>0.15</v>
      </c>
      <c r="E339" s="2118">
        <v>0.15</v>
      </c>
      <c r="F339" s="2130"/>
    </row>
    <row r="340" spans="1:6" ht="14.25" thickBot="1">
      <c r="A340" s="1529" t="s">
        <v>2282</v>
      </c>
      <c r="B340" s="1523" t="s">
        <v>2285</v>
      </c>
      <c r="C340" s="2118">
        <v>0.15</v>
      </c>
      <c r="D340" s="2118">
        <v>0.15</v>
      </c>
      <c r="E340" s="2118">
        <v>0.15</v>
      </c>
      <c r="F340" s="2130"/>
    </row>
    <row r="341" spans="1:6" ht="14.25" thickBot="1">
      <c r="A341" s="1529" t="s">
        <v>2282</v>
      </c>
      <c r="B341" s="1523" t="s">
        <v>2286</v>
      </c>
      <c r="C341" s="2118">
        <v>0.15</v>
      </c>
      <c r="D341" s="2118">
        <v>0.15</v>
      </c>
      <c r="E341" s="2118">
        <v>0.15</v>
      </c>
      <c r="F341" s="2119">
        <v>0.15</v>
      </c>
    </row>
    <row r="342" spans="1:6" ht="14.25" thickBot="1">
      <c r="A342" s="1529" t="s">
        <v>2282</v>
      </c>
      <c r="B342" s="1523" t="s">
        <v>2287</v>
      </c>
      <c r="C342" s="2118">
        <v>0.15</v>
      </c>
      <c r="D342" s="2118">
        <v>0.15</v>
      </c>
      <c r="E342" s="2118">
        <v>0.15</v>
      </c>
      <c r="F342" s="2119">
        <v>0.15</v>
      </c>
    </row>
    <row r="343" spans="1:6" ht="14.25" thickBot="1">
      <c r="A343" s="1529" t="s">
        <v>2282</v>
      </c>
      <c r="B343" s="1523" t="s">
        <v>2288</v>
      </c>
      <c r="C343" s="2118">
        <v>0.15</v>
      </c>
      <c r="D343" s="2118">
        <v>0.15</v>
      </c>
      <c r="E343" s="2118">
        <v>0.15</v>
      </c>
      <c r="F343" s="2119">
        <v>0.15</v>
      </c>
    </row>
    <row r="344" spans="1:6" ht="14.25" thickBot="1">
      <c r="A344" s="1539" t="s">
        <v>2282</v>
      </c>
      <c r="B344" s="1535"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42986</v>
      </c>
      <c r="D1" s="3201" t="s">
        <v>2904</v>
      </c>
      <c r="E1" s="3196">
        <f>'数据-取费表'!B22</f>
        <v>2</v>
      </c>
      <c r="F1" s="3201" t="s">
        <v>2905</v>
      </c>
      <c r="G1" s="3197">
        <f ca="1">INDIRECT("d"&amp;$K$1)/100</f>
        <v>4.7500000000000001E-2</v>
      </c>
      <c r="H1" s="3201" t="s">
        <v>2935</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0" t="s">
        <v>3036</v>
      </c>
      <c r="E1" s="3324" t="s">
        <v>3040</v>
      </c>
      <c r="F1" s="3325" t="s">
        <v>3044</v>
      </c>
    </row>
    <row r="2" spans="1:13" ht="20.25">
      <c r="A2" s="3331" t="s">
        <v>3037</v>
      </c>
    </row>
    <row r="3" spans="1:13" ht="16.5">
      <c r="A3" s="3332" t="s">
        <v>3038</v>
      </c>
    </row>
    <row r="4" spans="1:13" ht="14.25">
      <c r="A4" s="3322" t="s">
        <v>3039</v>
      </c>
      <c r="B4" s="3327" t="s">
        <v>3041</v>
      </c>
      <c r="C4" s="3328"/>
      <c r="D4" s="3329"/>
      <c r="E4" s="3327" t="s">
        <v>141</v>
      </c>
      <c r="F4" s="3328"/>
      <c r="G4" s="3329"/>
      <c r="H4" s="3327" t="s">
        <v>3042</v>
      </c>
      <c r="I4" s="3328"/>
      <c r="J4" s="3329"/>
      <c r="K4" s="3327" t="s">
        <v>39</v>
      </c>
      <c r="L4" s="3328"/>
      <c r="M4" s="3329"/>
    </row>
    <row r="5" spans="1:13" ht="14.25">
      <c r="A5" s="3323" t="s">
        <v>3043</v>
      </c>
      <c r="B5" s="3322" t="s">
        <v>3045</v>
      </c>
      <c r="C5" s="3322" t="s">
        <v>3046</v>
      </c>
      <c r="D5" s="3322" t="s">
        <v>3047</v>
      </c>
      <c r="E5" s="3322" t="s">
        <v>3045</v>
      </c>
      <c r="F5" s="3322" t="s">
        <v>3046</v>
      </c>
      <c r="G5" s="3322" t="s">
        <v>3047</v>
      </c>
      <c r="H5" s="3322" t="s">
        <v>3045</v>
      </c>
      <c r="I5" s="3322" t="s">
        <v>3046</v>
      </c>
      <c r="J5" s="3322" t="s">
        <v>3047</v>
      </c>
      <c r="K5" s="3322" t="s">
        <v>3045</v>
      </c>
      <c r="L5" s="3322" t="s">
        <v>3046</v>
      </c>
      <c r="M5" s="3322" t="s">
        <v>3047</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202</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P180"/>
  <sheetViews>
    <sheetView topLeftCell="A13" workbookViewId="0">
      <selection activeCell="O19" sqref="O19"/>
    </sheetView>
  </sheetViews>
  <sheetFormatPr defaultRowHeight="13.5"/>
  <cols>
    <col min="1" max="1" width="12.75" bestFit="1" customWidth="1"/>
    <col min="5" max="5" width="13.875" customWidth="1"/>
    <col min="8" max="8" width="12" customWidth="1"/>
    <col min="14" max="14" width="16.125" customWidth="1"/>
    <col min="15" max="15" width="13.375" customWidth="1"/>
  </cols>
  <sheetData>
    <row r="1" spans="1:14">
      <c r="A1" s="3371" t="s">
        <v>3134</v>
      </c>
    </row>
    <row r="2" spans="1:14">
      <c r="A2" s="3813" t="s">
        <v>3076</v>
      </c>
      <c r="B2" s="3813"/>
      <c r="C2" s="3813"/>
      <c r="D2" s="3813"/>
      <c r="E2" s="3813"/>
      <c r="N2" s="3360" t="s">
        <v>3084</v>
      </c>
    </row>
    <row r="3" spans="1:14">
      <c r="A3" s="3356" t="s">
        <v>3077</v>
      </c>
      <c r="B3" s="3357" t="s">
        <v>3078</v>
      </c>
      <c r="C3" s="3357" t="s">
        <v>3079</v>
      </c>
      <c r="D3" s="3357" t="s">
        <v>3080</v>
      </c>
      <c r="E3" s="3358" t="s">
        <v>3081</v>
      </c>
      <c r="F3" s="3373" t="s">
        <v>3135</v>
      </c>
      <c r="G3" s="3381" t="s">
        <v>3159</v>
      </c>
      <c r="H3" s="3375" t="s">
        <v>3188</v>
      </c>
      <c r="I3" s="3375" t="s">
        <v>3317</v>
      </c>
      <c r="J3" s="3375" t="s">
        <v>3318</v>
      </c>
      <c r="K3" s="3422" t="s">
        <v>3319</v>
      </c>
      <c r="N3">
        <v>92783.56</v>
      </c>
    </row>
    <row r="4" spans="1:14">
      <c r="A4" s="3357">
        <v>1</v>
      </c>
      <c r="B4" s="3357">
        <v>2</v>
      </c>
      <c r="C4" s="3357" t="s">
        <v>3082</v>
      </c>
      <c r="D4" s="3357">
        <v>1996</v>
      </c>
      <c r="E4" s="3358">
        <v>10269.85</v>
      </c>
      <c r="F4" s="3374"/>
      <c r="G4" s="3374">
        <v>1996</v>
      </c>
      <c r="H4" s="3375" t="s">
        <v>3189</v>
      </c>
      <c r="I4" s="3374">
        <v>2000</v>
      </c>
      <c r="J4" s="3385">
        <f>ROUND(1-(2017-G4)/50,2)</f>
        <v>0.57999999999999996</v>
      </c>
      <c r="N4" s="3360" t="s">
        <v>3085</v>
      </c>
    </row>
    <row r="5" spans="1:14" ht="94.5">
      <c r="A5" s="3376">
        <v>2</v>
      </c>
      <c r="B5" s="3376">
        <v>2</v>
      </c>
      <c r="C5" s="3376" t="s">
        <v>3082</v>
      </c>
      <c r="D5" s="3376">
        <v>1996</v>
      </c>
      <c r="E5" s="3377">
        <v>2899.45</v>
      </c>
      <c r="F5" s="3378" t="s">
        <v>3137</v>
      </c>
      <c r="G5" s="3378">
        <v>1996</v>
      </c>
      <c r="H5" s="3375" t="s">
        <v>3190</v>
      </c>
      <c r="I5" s="3374">
        <v>3000</v>
      </c>
      <c r="J5" s="3385">
        <f t="shared" ref="J5:J10" si="0">ROUND(1-(2017-G5)/50,2)</f>
        <v>0.57999999999999996</v>
      </c>
      <c r="K5">
        <f>G21</f>
        <v>10590</v>
      </c>
      <c r="N5" s="3400">
        <f>E11/N3</f>
        <v>0.24096887422728774</v>
      </c>
    </row>
    <row r="6" spans="1:14" ht="27">
      <c r="A6" s="3357">
        <v>3</v>
      </c>
      <c r="B6" s="3357">
        <v>1</v>
      </c>
      <c r="C6" s="3357" t="s">
        <v>3082</v>
      </c>
      <c r="D6" s="3357">
        <v>1996</v>
      </c>
      <c r="E6" s="3358">
        <v>722.85</v>
      </c>
      <c r="F6" s="3374"/>
      <c r="G6" s="3374">
        <v>1996</v>
      </c>
      <c r="H6" s="3384" t="s">
        <v>3191</v>
      </c>
      <c r="I6" s="3374">
        <v>2000</v>
      </c>
      <c r="J6" s="3385">
        <f t="shared" si="0"/>
        <v>0.57999999999999996</v>
      </c>
    </row>
    <row r="7" spans="1:14">
      <c r="A7" s="3357">
        <v>4</v>
      </c>
      <c r="B7" s="3357">
        <v>2</v>
      </c>
      <c r="C7" s="3357" t="s">
        <v>3082</v>
      </c>
      <c r="D7" s="3357">
        <v>1996</v>
      </c>
      <c r="E7" s="3358">
        <v>2818.07</v>
      </c>
      <c r="F7" s="3374"/>
      <c r="G7" s="3374">
        <v>1996</v>
      </c>
      <c r="H7" s="3375" t="s">
        <v>3192</v>
      </c>
      <c r="I7" s="3374">
        <v>2500</v>
      </c>
      <c r="J7" s="3385">
        <f t="shared" si="0"/>
        <v>0.57999999999999996</v>
      </c>
      <c r="N7" s="3360" t="s">
        <v>3086</v>
      </c>
    </row>
    <row r="8" spans="1:14">
      <c r="A8" s="3357">
        <v>5</v>
      </c>
      <c r="B8" s="3357">
        <v>1</v>
      </c>
      <c r="C8" s="3357" t="s">
        <v>3082</v>
      </c>
      <c r="D8" s="3357">
        <v>1997</v>
      </c>
      <c r="E8" s="3358">
        <v>1344.29</v>
      </c>
      <c r="F8" s="3374"/>
      <c r="G8" s="3374">
        <v>1997</v>
      </c>
      <c r="H8" s="3375" t="s">
        <v>3193</v>
      </c>
      <c r="I8" s="3374">
        <v>1300</v>
      </c>
      <c r="J8" s="3385">
        <f t="shared" si="0"/>
        <v>0.6</v>
      </c>
      <c r="N8" s="3362">
        <v>0.15</v>
      </c>
    </row>
    <row r="9" spans="1:14" ht="81">
      <c r="A9" s="3376">
        <v>6</v>
      </c>
      <c r="B9" s="3376">
        <v>1</v>
      </c>
      <c r="C9" s="3376" t="s">
        <v>3082</v>
      </c>
      <c r="D9" s="3376">
        <v>1997</v>
      </c>
      <c r="E9" s="3377">
        <v>1075.06</v>
      </c>
      <c r="F9" s="3378" t="s">
        <v>3138</v>
      </c>
      <c r="G9" s="3378">
        <v>1997</v>
      </c>
      <c r="H9" s="3375" t="s">
        <v>3194</v>
      </c>
      <c r="I9" s="3374">
        <v>1300</v>
      </c>
      <c r="J9" s="3385">
        <f t="shared" si="0"/>
        <v>0.6</v>
      </c>
      <c r="K9">
        <v>3900</v>
      </c>
    </row>
    <row r="10" spans="1:14">
      <c r="A10" s="3357">
        <v>7</v>
      </c>
      <c r="B10" s="3357">
        <v>4</v>
      </c>
      <c r="C10" s="3357" t="s">
        <v>3082</v>
      </c>
      <c r="D10" s="3357">
        <v>2002</v>
      </c>
      <c r="E10" s="3358">
        <v>3228.38</v>
      </c>
      <c r="F10" s="3374"/>
      <c r="G10" s="3374">
        <v>2002</v>
      </c>
      <c r="H10" s="3375" t="s">
        <v>3192</v>
      </c>
      <c r="I10" s="3374">
        <v>2500</v>
      </c>
      <c r="J10" s="3385">
        <f t="shared" si="0"/>
        <v>0.7</v>
      </c>
    </row>
    <row r="11" spans="1:14">
      <c r="A11" s="3810" t="s">
        <v>3083</v>
      </c>
      <c r="B11" s="3810"/>
      <c r="C11" s="3810"/>
      <c r="D11" s="3810"/>
      <c r="E11" s="3358">
        <f>SUM(E4:E10)</f>
        <v>22357.950000000004</v>
      </c>
      <c r="F11" s="3374"/>
      <c r="G11" s="3374"/>
      <c r="H11" s="3374"/>
      <c r="I11" s="3374">
        <f>ROUND((E4*I4+K5*I5+E6*I6+E7*I7+E8*I8+E10*I10+I9*K9*0.3)/(E11-E9-E5),0)</f>
        <v>3924</v>
      </c>
      <c r="J11" s="3374">
        <f>ROUND((E4*J4+E6*J6+E7*J7+E8*J8+E10*J10)/(E11-E5-E9),2)</f>
        <v>0.6</v>
      </c>
    </row>
    <row r="14" spans="1:14">
      <c r="A14" s="3818" t="s">
        <v>3087</v>
      </c>
      <c r="B14" s="3818"/>
      <c r="C14" s="3818"/>
      <c r="D14" s="3818"/>
      <c r="E14" s="3818"/>
      <c r="F14" s="3818"/>
      <c r="G14" s="3818"/>
      <c r="H14" s="3818"/>
      <c r="I14" s="3818"/>
      <c r="J14" s="3818"/>
      <c r="K14" s="3818"/>
      <c r="L14" s="3809" t="s">
        <v>3135</v>
      </c>
    </row>
    <row r="15" spans="1:14">
      <c r="A15" s="3819" t="s">
        <v>218</v>
      </c>
      <c r="B15" s="3363" t="s">
        <v>3088</v>
      </c>
      <c r="C15" s="3363" t="s">
        <v>3089</v>
      </c>
      <c r="D15" s="3819" t="s">
        <v>3090</v>
      </c>
      <c r="E15" s="3363" t="s">
        <v>3091</v>
      </c>
      <c r="F15" s="3363" t="s">
        <v>3092</v>
      </c>
      <c r="G15" s="3819" t="s">
        <v>3093</v>
      </c>
      <c r="H15" s="3819" t="s">
        <v>3094</v>
      </c>
      <c r="I15" s="3364"/>
      <c r="J15" s="3819" t="s">
        <v>3095</v>
      </c>
      <c r="K15" s="3819" t="s">
        <v>3039</v>
      </c>
      <c r="L15" s="3810"/>
    </row>
    <row r="16" spans="1:14" ht="22.5">
      <c r="A16" s="3819"/>
      <c r="B16" s="3363" t="s">
        <v>3096</v>
      </c>
      <c r="C16" s="3363" t="s">
        <v>3097</v>
      </c>
      <c r="D16" s="3819"/>
      <c r="E16" s="3363" t="s">
        <v>3098</v>
      </c>
      <c r="F16" s="3363" t="s">
        <v>3099</v>
      </c>
      <c r="G16" s="3819"/>
      <c r="H16" s="3819"/>
      <c r="I16" s="3365" t="s">
        <v>3100</v>
      </c>
      <c r="J16" s="3819"/>
      <c r="K16" s="3819"/>
      <c r="L16" s="3810"/>
    </row>
    <row r="17" spans="1:12" ht="22.5">
      <c r="A17" s="3811">
        <v>1</v>
      </c>
      <c r="B17" s="3811" t="s">
        <v>3101</v>
      </c>
      <c r="C17" s="3820" t="s">
        <v>3102</v>
      </c>
      <c r="D17" s="3366" t="s">
        <v>3103</v>
      </c>
      <c r="E17" s="3811" t="s">
        <v>3104</v>
      </c>
      <c r="F17" s="3811">
        <v>3</v>
      </c>
      <c r="G17" s="3821">
        <v>1717.3</v>
      </c>
      <c r="H17" s="3811">
        <v>2012.5</v>
      </c>
      <c r="I17" s="3811" t="s">
        <v>150</v>
      </c>
      <c r="J17" s="3817" t="s">
        <v>3105</v>
      </c>
      <c r="K17" s="3811" t="s">
        <v>3106</v>
      </c>
      <c r="L17" s="3811"/>
    </row>
    <row r="18" spans="1:12" ht="22.5">
      <c r="A18" s="3811"/>
      <c r="B18" s="3811"/>
      <c r="C18" s="3820"/>
      <c r="D18" s="3366" t="s">
        <v>3107</v>
      </c>
      <c r="E18" s="3811"/>
      <c r="F18" s="3811"/>
      <c r="G18" s="3821"/>
      <c r="H18" s="3811"/>
      <c r="I18" s="3811"/>
      <c r="J18" s="3817"/>
      <c r="K18" s="3811"/>
      <c r="L18" s="3811"/>
    </row>
    <row r="19" spans="1:12" ht="22.5">
      <c r="A19" s="3811">
        <v>2</v>
      </c>
      <c r="B19" s="3811" t="s">
        <v>3101</v>
      </c>
      <c r="C19" s="3820" t="s">
        <v>3108</v>
      </c>
      <c r="D19" s="3366" t="s">
        <v>3103</v>
      </c>
      <c r="E19" s="3811" t="s">
        <v>3109</v>
      </c>
      <c r="F19" s="3811">
        <v>2</v>
      </c>
      <c r="G19" s="3821">
        <v>1155.67</v>
      </c>
      <c r="H19" s="3822">
        <v>35765</v>
      </c>
      <c r="I19" s="3811" t="s">
        <v>3110</v>
      </c>
      <c r="J19" s="3817" t="s">
        <v>3105</v>
      </c>
      <c r="K19" s="3811" t="s">
        <v>3111</v>
      </c>
      <c r="L19" s="3811"/>
    </row>
    <row r="20" spans="1:12" ht="22.5">
      <c r="A20" s="3811"/>
      <c r="B20" s="3811"/>
      <c r="C20" s="3820"/>
      <c r="D20" s="3366" t="s">
        <v>3107</v>
      </c>
      <c r="E20" s="3811"/>
      <c r="F20" s="3811"/>
      <c r="G20" s="3821"/>
      <c r="H20" s="3822"/>
      <c r="I20" s="3811"/>
      <c r="J20" s="3817"/>
      <c r="K20" s="3811"/>
      <c r="L20" s="3811"/>
    </row>
    <row r="21" spans="1:12" ht="22.5">
      <c r="A21" s="3812">
        <v>3</v>
      </c>
      <c r="B21" s="3812" t="s">
        <v>3101</v>
      </c>
      <c r="C21" s="3814" t="s">
        <v>3112</v>
      </c>
      <c r="D21" s="3372" t="s">
        <v>3103</v>
      </c>
      <c r="E21" s="3812" t="s">
        <v>3104</v>
      </c>
      <c r="F21" s="3812">
        <v>6</v>
      </c>
      <c r="G21" s="3823">
        <v>10590</v>
      </c>
      <c r="H21" s="3815">
        <v>40298</v>
      </c>
      <c r="I21" s="3812" t="s">
        <v>3113</v>
      </c>
      <c r="J21" s="3812" t="s">
        <v>3114</v>
      </c>
      <c r="K21" s="3812" t="s">
        <v>3106</v>
      </c>
      <c r="L21" s="3812" t="s">
        <v>3136</v>
      </c>
    </row>
    <row r="22" spans="1:12" ht="22.5">
      <c r="A22" s="3812"/>
      <c r="B22" s="3812"/>
      <c r="C22" s="3814"/>
      <c r="D22" s="3372" t="s">
        <v>3107</v>
      </c>
      <c r="E22" s="3812"/>
      <c r="F22" s="3812"/>
      <c r="G22" s="3823"/>
      <c r="H22" s="3815"/>
      <c r="I22" s="3812"/>
      <c r="J22" s="3812"/>
      <c r="K22" s="3812"/>
      <c r="L22" s="3812"/>
    </row>
    <row r="23" spans="1:12" ht="22.5">
      <c r="A23" s="3811">
        <v>4</v>
      </c>
      <c r="B23" s="3811" t="s">
        <v>3101</v>
      </c>
      <c r="C23" s="3820" t="s">
        <v>3115</v>
      </c>
      <c r="D23" s="3366" t="s">
        <v>3103</v>
      </c>
      <c r="E23" s="3811" t="s">
        <v>3116</v>
      </c>
      <c r="F23" s="3811">
        <v>1</v>
      </c>
      <c r="G23" s="3811">
        <v>370</v>
      </c>
      <c r="H23" s="3822">
        <v>38352</v>
      </c>
      <c r="I23" s="3811" t="s">
        <v>3117</v>
      </c>
      <c r="J23" s="3817" t="s">
        <v>3118</v>
      </c>
      <c r="K23" s="3811" t="s">
        <v>3111</v>
      </c>
      <c r="L23" s="3811"/>
    </row>
    <row r="24" spans="1:12" ht="22.5">
      <c r="A24" s="3811"/>
      <c r="B24" s="3811"/>
      <c r="C24" s="3820"/>
      <c r="D24" s="3366" t="s">
        <v>3107</v>
      </c>
      <c r="E24" s="3811"/>
      <c r="F24" s="3811"/>
      <c r="G24" s="3811"/>
      <c r="H24" s="3822"/>
      <c r="I24" s="3811"/>
      <c r="J24" s="3817"/>
      <c r="K24" s="3811"/>
      <c r="L24" s="3811"/>
    </row>
    <row r="25" spans="1:12" ht="22.5">
      <c r="A25" s="3811">
        <v>5</v>
      </c>
      <c r="B25" s="3811" t="s">
        <v>3101</v>
      </c>
      <c r="C25" s="3820" t="s">
        <v>3119</v>
      </c>
      <c r="D25" s="3366" t="s">
        <v>3103</v>
      </c>
      <c r="E25" s="3811" t="s">
        <v>3116</v>
      </c>
      <c r="F25" s="3811">
        <v>2</v>
      </c>
      <c r="G25" s="3811">
        <v>530</v>
      </c>
      <c r="H25" s="3822">
        <v>37894</v>
      </c>
      <c r="I25" s="3811" t="s">
        <v>3117</v>
      </c>
      <c r="J25" s="3817" t="s">
        <v>3118</v>
      </c>
      <c r="K25" s="3811" t="s">
        <v>3111</v>
      </c>
      <c r="L25" s="3811"/>
    </row>
    <row r="26" spans="1:12" ht="22.5">
      <c r="A26" s="3811"/>
      <c r="B26" s="3811"/>
      <c r="C26" s="3820"/>
      <c r="D26" s="3366" t="s">
        <v>3107</v>
      </c>
      <c r="E26" s="3811"/>
      <c r="F26" s="3811"/>
      <c r="G26" s="3811"/>
      <c r="H26" s="3822"/>
      <c r="I26" s="3811"/>
      <c r="J26" s="3817"/>
      <c r="K26" s="3811"/>
      <c r="L26" s="3811"/>
    </row>
    <row r="27" spans="1:12" ht="22.5">
      <c r="A27" s="3811">
        <v>6</v>
      </c>
      <c r="B27" s="3811" t="s">
        <v>3101</v>
      </c>
      <c r="C27" s="3820" t="s">
        <v>3120</v>
      </c>
      <c r="D27" s="3366" t="s">
        <v>3103</v>
      </c>
      <c r="E27" s="3811" t="s">
        <v>3109</v>
      </c>
      <c r="F27" s="3811">
        <v>1</v>
      </c>
      <c r="G27" s="3811">
        <v>150</v>
      </c>
      <c r="H27" s="3822">
        <v>40140</v>
      </c>
      <c r="I27" s="3811" t="s">
        <v>3121</v>
      </c>
      <c r="J27" s="3817" t="s">
        <v>3105</v>
      </c>
      <c r="K27" s="3811" t="s">
        <v>3111</v>
      </c>
      <c r="L27" s="3811"/>
    </row>
    <row r="28" spans="1:12" ht="22.5">
      <c r="A28" s="3811"/>
      <c r="B28" s="3811"/>
      <c r="C28" s="3820"/>
      <c r="D28" s="3366" t="s">
        <v>3107</v>
      </c>
      <c r="E28" s="3811"/>
      <c r="F28" s="3811"/>
      <c r="G28" s="3811"/>
      <c r="H28" s="3822"/>
      <c r="I28" s="3811"/>
      <c r="J28" s="3817"/>
      <c r="K28" s="3811"/>
      <c r="L28" s="3811"/>
    </row>
    <row r="29" spans="1:12" ht="22.5">
      <c r="A29" s="3811">
        <v>7</v>
      </c>
      <c r="B29" s="3811" t="s">
        <v>3101</v>
      </c>
      <c r="C29" s="3820" t="s">
        <v>3122</v>
      </c>
      <c r="D29" s="3366" t="s">
        <v>3103</v>
      </c>
      <c r="E29" s="3811" t="s">
        <v>3109</v>
      </c>
      <c r="F29" s="3811">
        <v>1</v>
      </c>
      <c r="G29" s="3811">
        <v>246.6</v>
      </c>
      <c r="H29" s="3822">
        <v>37179</v>
      </c>
      <c r="I29" s="3811" t="s">
        <v>3123</v>
      </c>
      <c r="J29" s="3817" t="s">
        <v>3105</v>
      </c>
      <c r="K29" s="3811" t="s">
        <v>3111</v>
      </c>
      <c r="L29" s="3811"/>
    </row>
    <row r="30" spans="1:12" ht="22.5">
      <c r="A30" s="3811"/>
      <c r="B30" s="3811"/>
      <c r="C30" s="3820"/>
      <c r="D30" s="3366" t="s">
        <v>3107</v>
      </c>
      <c r="E30" s="3811"/>
      <c r="F30" s="3811"/>
      <c r="G30" s="3811"/>
      <c r="H30" s="3822"/>
      <c r="I30" s="3811"/>
      <c r="J30" s="3817"/>
      <c r="K30" s="3811"/>
      <c r="L30" s="3811"/>
    </row>
    <row r="31" spans="1:12">
      <c r="A31" s="3367" t="s">
        <v>183</v>
      </c>
      <c r="B31" s="3367"/>
      <c r="C31" s="3367"/>
      <c r="D31" s="3367"/>
      <c r="E31" s="3367"/>
      <c r="F31" s="3367"/>
      <c r="G31" s="3368">
        <v>14759.57</v>
      </c>
      <c r="H31" s="3367"/>
      <c r="I31" s="3367"/>
      <c r="J31" s="3367"/>
      <c r="K31" s="3367"/>
      <c r="L31" s="3367"/>
    </row>
    <row r="33" spans="1:16">
      <c r="A33" s="3812"/>
      <c r="B33" s="3812"/>
      <c r="C33" s="3814" t="s">
        <v>3139</v>
      </c>
      <c r="D33" s="3372"/>
      <c r="E33" s="3812"/>
      <c r="F33" s="3812">
        <v>1</v>
      </c>
      <c r="G33" s="3812">
        <v>3900</v>
      </c>
      <c r="H33" s="3815" t="s">
        <v>3140</v>
      </c>
      <c r="I33" s="3812" t="s">
        <v>3141</v>
      </c>
      <c r="J33" s="3816" t="s">
        <v>3142</v>
      </c>
      <c r="K33" s="3812" t="s">
        <v>3143</v>
      </c>
      <c r="L33" s="3812" t="s">
        <v>3144</v>
      </c>
    </row>
    <row r="34" spans="1:16">
      <c r="A34" s="3812"/>
      <c r="B34" s="3812"/>
      <c r="C34" s="3814"/>
      <c r="D34" s="3372"/>
      <c r="E34" s="3812"/>
      <c r="F34" s="3812"/>
      <c r="G34" s="3812"/>
      <c r="H34" s="3815"/>
      <c r="I34" s="3812"/>
      <c r="J34" s="3816"/>
      <c r="K34" s="3812"/>
      <c r="L34" s="3812"/>
    </row>
    <row r="37" spans="1:16">
      <c r="A37" s="3379" t="s">
        <v>3145</v>
      </c>
    </row>
    <row r="38" spans="1:16">
      <c r="A38" s="3813" t="s">
        <v>3146</v>
      </c>
      <c r="B38" s="3813"/>
      <c r="C38" s="3813"/>
      <c r="D38" s="3813"/>
      <c r="E38" s="3813"/>
      <c r="G38" s="3360" t="s">
        <v>3155</v>
      </c>
      <c r="I38" s="3824" t="s">
        <v>3195</v>
      </c>
      <c r="J38" s="3824"/>
      <c r="K38" s="3824"/>
      <c r="L38" s="3824"/>
      <c r="M38" s="3824"/>
      <c r="N38" s="3386"/>
    </row>
    <row r="39" spans="1:16" ht="27">
      <c r="A39" s="3356" t="s">
        <v>3147</v>
      </c>
      <c r="B39" s="3356" t="s">
        <v>3148</v>
      </c>
      <c r="C39" s="3356" t="s">
        <v>3149</v>
      </c>
      <c r="D39" s="3356" t="s">
        <v>3150</v>
      </c>
      <c r="E39" s="3380" t="s">
        <v>3151</v>
      </c>
      <c r="G39">
        <v>82323.28</v>
      </c>
      <c r="J39" t="s">
        <v>3196</v>
      </c>
      <c r="K39">
        <v>6377.35</v>
      </c>
      <c r="L39" t="s">
        <v>3197</v>
      </c>
      <c r="M39">
        <v>6711.29</v>
      </c>
    </row>
    <row r="40" spans="1:16">
      <c r="A40" s="3359">
        <v>1</v>
      </c>
      <c r="B40" s="3359">
        <v>1</v>
      </c>
      <c r="C40" s="3359" t="s">
        <v>3152</v>
      </c>
      <c r="D40" s="3359">
        <v>1997</v>
      </c>
      <c r="E40" s="3358">
        <v>61.39</v>
      </c>
      <c r="G40" s="3360" t="s">
        <v>3156</v>
      </c>
      <c r="I40" s="3387" t="s">
        <v>3198</v>
      </c>
      <c r="J40" s="3387" t="s">
        <v>3199</v>
      </c>
      <c r="K40" s="3387" t="s">
        <v>3200</v>
      </c>
      <c r="L40" s="3387" t="s">
        <v>3201</v>
      </c>
      <c r="M40" s="3387" t="s">
        <v>3202</v>
      </c>
      <c r="N40" s="3387" t="s">
        <v>3203</v>
      </c>
      <c r="O40" s="3387" t="s">
        <v>3204</v>
      </c>
      <c r="P40" t="s">
        <v>3205</v>
      </c>
    </row>
    <row r="41" spans="1:16">
      <c r="A41" s="3359">
        <v>2</v>
      </c>
      <c r="B41" s="3359">
        <v>1</v>
      </c>
      <c r="C41" s="3359" t="s">
        <v>3152</v>
      </c>
      <c r="D41" s="3359">
        <v>1997</v>
      </c>
      <c r="E41" s="3358">
        <v>301.76</v>
      </c>
      <c r="G41" s="3361">
        <f>E161/G39</f>
        <v>0.15470860733440175</v>
      </c>
      <c r="I41" s="3387">
        <v>1</v>
      </c>
      <c r="J41" s="3387">
        <v>1</v>
      </c>
      <c r="K41" s="3387" t="s">
        <v>3206</v>
      </c>
      <c r="L41" s="3387">
        <v>1997</v>
      </c>
      <c r="M41" s="3387">
        <v>61.39</v>
      </c>
      <c r="N41" s="3387">
        <v>0</v>
      </c>
      <c r="O41" s="3388" t="s">
        <v>3207</v>
      </c>
      <c r="P41">
        <f>ROUND(N41*M41,0)</f>
        <v>0</v>
      </c>
    </row>
    <row r="42" spans="1:16">
      <c r="A42" s="3359">
        <v>3</v>
      </c>
      <c r="B42" s="3359">
        <v>1</v>
      </c>
      <c r="C42" s="3359" t="s">
        <v>3152</v>
      </c>
      <c r="D42" s="3359">
        <v>1997</v>
      </c>
      <c r="E42" s="3358">
        <v>83.09</v>
      </c>
      <c r="I42" s="3387">
        <v>2</v>
      </c>
      <c r="J42" s="3387">
        <v>1</v>
      </c>
      <c r="K42" s="3387" t="s">
        <v>3206</v>
      </c>
      <c r="L42" s="3389">
        <v>1997</v>
      </c>
      <c r="M42" s="3389">
        <v>301.76</v>
      </c>
      <c r="N42" s="3389">
        <v>0</v>
      </c>
      <c r="O42" s="3388" t="s">
        <v>3207</v>
      </c>
      <c r="P42">
        <f t="shared" ref="P42:P105" si="1">ROUND(N42*M42,0)</f>
        <v>0</v>
      </c>
    </row>
    <row r="43" spans="1:16">
      <c r="A43" s="3359">
        <v>4</v>
      </c>
      <c r="B43" s="3359">
        <v>1</v>
      </c>
      <c r="C43" s="3359" t="s">
        <v>3153</v>
      </c>
      <c r="D43" s="3359">
        <v>1997</v>
      </c>
      <c r="E43" s="3358">
        <v>43.48</v>
      </c>
      <c r="I43" s="3387">
        <v>3</v>
      </c>
      <c r="J43" s="3387">
        <v>1</v>
      </c>
      <c r="K43" s="3387" t="s">
        <v>3206</v>
      </c>
      <c r="L43" s="3387">
        <v>1997</v>
      </c>
      <c r="M43" s="3387">
        <v>83.09</v>
      </c>
      <c r="N43" s="3387">
        <v>0</v>
      </c>
      <c r="O43" s="3388" t="s">
        <v>3207</v>
      </c>
      <c r="P43">
        <f t="shared" si="1"/>
        <v>0</v>
      </c>
    </row>
    <row r="44" spans="1:16">
      <c r="A44" s="3359">
        <v>5</v>
      </c>
      <c r="B44" s="3359">
        <v>1</v>
      </c>
      <c r="C44" s="3359" t="s">
        <v>3153</v>
      </c>
      <c r="D44" s="3359">
        <v>1997</v>
      </c>
      <c r="E44" s="3358">
        <v>82.34</v>
      </c>
      <c r="I44" s="3387">
        <v>4</v>
      </c>
      <c r="J44" s="3387">
        <v>1</v>
      </c>
      <c r="K44" s="3387" t="s">
        <v>3208</v>
      </c>
      <c r="L44" s="3387">
        <v>1997</v>
      </c>
      <c r="M44" s="3387">
        <v>43.48</v>
      </c>
      <c r="N44" s="3387">
        <v>1200</v>
      </c>
      <c r="O44" s="3387"/>
      <c r="P44">
        <f t="shared" si="1"/>
        <v>52176</v>
      </c>
    </row>
    <row r="45" spans="1:16">
      <c r="A45" s="3359">
        <v>6</v>
      </c>
      <c r="B45" s="3359">
        <v>1</v>
      </c>
      <c r="C45" s="3359" t="s">
        <v>3153</v>
      </c>
      <c r="D45" s="3359">
        <v>1997</v>
      </c>
      <c r="E45" s="3358">
        <v>58.52</v>
      </c>
      <c r="I45" s="3387">
        <v>5</v>
      </c>
      <c r="J45" s="3387">
        <v>1</v>
      </c>
      <c r="K45" s="3387" t="s">
        <v>3208</v>
      </c>
      <c r="L45" s="3387">
        <v>1997</v>
      </c>
      <c r="M45" s="3387">
        <v>82.34</v>
      </c>
      <c r="N45" s="3387">
        <v>1200</v>
      </c>
      <c r="O45" s="3387"/>
      <c r="P45">
        <f t="shared" si="1"/>
        <v>98808</v>
      </c>
    </row>
    <row r="46" spans="1:16">
      <c r="A46" s="3359">
        <v>7</v>
      </c>
      <c r="B46" s="3359">
        <v>1</v>
      </c>
      <c r="C46" s="3359" t="s">
        <v>3153</v>
      </c>
      <c r="D46" s="3359">
        <v>1997</v>
      </c>
      <c r="E46" s="3358">
        <v>90.78</v>
      </c>
      <c r="I46" s="3390">
        <v>6</v>
      </c>
      <c r="J46" s="3390">
        <v>1</v>
      </c>
      <c r="K46" s="3390" t="s">
        <v>3208</v>
      </c>
      <c r="L46" s="3390">
        <v>1997</v>
      </c>
      <c r="M46" s="3390">
        <v>58.52</v>
      </c>
      <c r="N46" s="3387">
        <v>1200</v>
      </c>
      <c r="O46" s="3387"/>
      <c r="P46">
        <f t="shared" si="1"/>
        <v>70224</v>
      </c>
    </row>
    <row r="47" spans="1:16">
      <c r="A47" s="3359">
        <v>8</v>
      </c>
      <c r="B47" s="3359">
        <v>1</v>
      </c>
      <c r="C47" s="3359" t="s">
        <v>3153</v>
      </c>
      <c r="D47" s="3359">
        <v>1997</v>
      </c>
      <c r="E47" s="3358">
        <v>91.28</v>
      </c>
      <c r="I47" s="3387">
        <v>7</v>
      </c>
      <c r="J47" s="3387">
        <v>1</v>
      </c>
      <c r="K47" s="3387" t="s">
        <v>3208</v>
      </c>
      <c r="L47" s="3387">
        <v>1997</v>
      </c>
      <c r="M47" s="3387">
        <v>90.78</v>
      </c>
      <c r="N47" s="3387">
        <v>1200</v>
      </c>
      <c r="O47" s="3387"/>
      <c r="P47">
        <f t="shared" si="1"/>
        <v>108936</v>
      </c>
    </row>
    <row r="48" spans="1:16">
      <c r="A48" s="3359">
        <v>9</v>
      </c>
      <c r="B48" s="3359">
        <v>2</v>
      </c>
      <c r="C48" s="3359" t="s">
        <v>3153</v>
      </c>
      <c r="D48" s="3359">
        <v>1997</v>
      </c>
      <c r="E48" s="3358">
        <v>72.239999999999995</v>
      </c>
      <c r="I48" s="3387">
        <v>8</v>
      </c>
      <c r="J48" s="3387">
        <v>1</v>
      </c>
      <c r="K48" s="3387" t="s">
        <v>3208</v>
      </c>
      <c r="L48" s="3387">
        <v>1997</v>
      </c>
      <c r="M48" s="3387">
        <v>91.28</v>
      </c>
      <c r="N48" s="3387">
        <v>1200</v>
      </c>
      <c r="O48" s="3387"/>
      <c r="P48">
        <f t="shared" si="1"/>
        <v>109536</v>
      </c>
    </row>
    <row r="49" spans="1:16">
      <c r="A49" s="3359">
        <v>10</v>
      </c>
      <c r="B49" s="3359">
        <v>1</v>
      </c>
      <c r="C49" s="3359" t="s">
        <v>3153</v>
      </c>
      <c r="D49" s="3359">
        <v>1997</v>
      </c>
      <c r="E49" s="3358">
        <v>49.41</v>
      </c>
      <c r="I49" s="3387">
        <v>9</v>
      </c>
      <c r="J49" s="3387">
        <v>2</v>
      </c>
      <c r="K49" s="3387" t="s">
        <v>3208</v>
      </c>
      <c r="L49" s="3387">
        <v>1997</v>
      </c>
      <c r="M49" s="3387">
        <v>72.239999999999995</v>
      </c>
      <c r="N49" s="3387">
        <v>1200</v>
      </c>
      <c r="O49" s="3387"/>
      <c r="P49">
        <f t="shared" si="1"/>
        <v>86688</v>
      </c>
    </row>
    <row r="50" spans="1:16">
      <c r="A50" s="3359">
        <v>11</v>
      </c>
      <c r="B50" s="3359">
        <v>1</v>
      </c>
      <c r="C50" s="3359" t="s">
        <v>3153</v>
      </c>
      <c r="D50" s="3359">
        <v>1997</v>
      </c>
      <c r="E50" s="3358">
        <v>26.6</v>
      </c>
      <c r="I50" s="3387">
        <v>10</v>
      </c>
      <c r="J50" s="3387">
        <v>1</v>
      </c>
      <c r="K50" s="3387" t="s">
        <v>3208</v>
      </c>
      <c r="L50" s="3387">
        <v>1997</v>
      </c>
      <c r="M50" s="3387">
        <v>49.41</v>
      </c>
      <c r="N50" s="3387">
        <v>1200</v>
      </c>
      <c r="O50" s="3387"/>
      <c r="P50">
        <f t="shared" si="1"/>
        <v>59292</v>
      </c>
    </row>
    <row r="51" spans="1:16">
      <c r="A51" s="3359">
        <v>17</v>
      </c>
      <c r="B51" s="3359">
        <v>1</v>
      </c>
      <c r="C51" s="3359" t="s">
        <v>3153</v>
      </c>
      <c r="D51" s="3359">
        <v>1997</v>
      </c>
      <c r="E51" s="3358">
        <v>44.55</v>
      </c>
      <c r="I51" s="3387">
        <v>11</v>
      </c>
      <c r="J51" s="3387">
        <v>1</v>
      </c>
      <c r="K51" s="3387" t="s">
        <v>3208</v>
      </c>
      <c r="L51" s="3387">
        <v>1997</v>
      </c>
      <c r="M51" s="3387">
        <v>26.6</v>
      </c>
      <c r="N51" s="3387">
        <v>0</v>
      </c>
      <c r="O51" s="3388" t="s">
        <v>3207</v>
      </c>
      <c r="P51">
        <f t="shared" si="1"/>
        <v>0</v>
      </c>
    </row>
    <row r="52" spans="1:16">
      <c r="A52" s="3359">
        <v>18</v>
      </c>
      <c r="B52" s="3359">
        <v>1</v>
      </c>
      <c r="C52" s="3359" t="s">
        <v>3153</v>
      </c>
      <c r="D52" s="3359">
        <v>1997</v>
      </c>
      <c r="E52" s="3358">
        <v>93.55</v>
      </c>
      <c r="I52" s="3391">
        <v>12</v>
      </c>
      <c r="J52" s="3391">
        <v>1</v>
      </c>
      <c r="K52" s="3391" t="s">
        <v>3208</v>
      </c>
      <c r="L52" s="3391">
        <v>1997</v>
      </c>
      <c r="M52" s="3391">
        <v>49.84</v>
      </c>
      <c r="N52" s="3387">
        <v>1200</v>
      </c>
      <c r="O52" s="3387"/>
      <c r="P52">
        <f t="shared" si="1"/>
        <v>59808</v>
      </c>
    </row>
    <row r="53" spans="1:16">
      <c r="A53" s="3359">
        <v>19</v>
      </c>
      <c r="B53" s="3359">
        <v>2</v>
      </c>
      <c r="C53" s="3359" t="s">
        <v>3153</v>
      </c>
      <c r="D53" s="3359">
        <v>1997</v>
      </c>
      <c r="E53" s="3358">
        <v>1246.02</v>
      </c>
      <c r="I53" s="3391">
        <v>13</v>
      </c>
      <c r="J53" s="3391">
        <v>1</v>
      </c>
      <c r="K53" s="3391" t="s">
        <v>3208</v>
      </c>
      <c r="L53" s="3391">
        <v>1997</v>
      </c>
      <c r="M53" s="3391">
        <v>97.25</v>
      </c>
      <c r="N53" s="3387">
        <v>1200</v>
      </c>
      <c r="O53" s="3387"/>
      <c r="P53">
        <f t="shared" si="1"/>
        <v>116700</v>
      </c>
    </row>
    <row r="54" spans="1:16">
      <c r="A54" s="3359">
        <v>20</v>
      </c>
      <c r="B54" s="3359">
        <v>1</v>
      </c>
      <c r="C54" s="3359" t="s">
        <v>3153</v>
      </c>
      <c r="D54" s="3359">
        <v>1997</v>
      </c>
      <c r="E54" s="3358">
        <v>21.42</v>
      </c>
      <c r="I54" s="3391">
        <v>14</v>
      </c>
      <c r="J54" s="3391">
        <v>1</v>
      </c>
      <c r="K54" s="3391" t="s">
        <v>3208</v>
      </c>
      <c r="L54" s="3391">
        <v>1997</v>
      </c>
      <c r="M54" s="3391">
        <v>49.97</v>
      </c>
      <c r="N54" s="3387">
        <v>1200</v>
      </c>
      <c r="O54" s="3387"/>
      <c r="P54">
        <f t="shared" si="1"/>
        <v>59964</v>
      </c>
    </row>
    <row r="55" spans="1:16">
      <c r="A55" s="3359">
        <v>21</v>
      </c>
      <c r="B55" s="3359">
        <v>1</v>
      </c>
      <c r="C55" s="3359" t="s">
        <v>3153</v>
      </c>
      <c r="D55" s="3359">
        <v>1997</v>
      </c>
      <c r="E55" s="3358">
        <v>38.01</v>
      </c>
      <c r="I55" s="3391">
        <v>15</v>
      </c>
      <c r="J55" s="3391">
        <v>1</v>
      </c>
      <c r="K55" s="3391" t="s">
        <v>3208</v>
      </c>
      <c r="L55" s="3391">
        <v>1997</v>
      </c>
      <c r="M55" s="3391">
        <v>31.75</v>
      </c>
      <c r="N55" s="3387">
        <v>1200</v>
      </c>
      <c r="O55" s="3387"/>
      <c r="P55">
        <f t="shared" si="1"/>
        <v>38100</v>
      </c>
    </row>
    <row r="56" spans="1:16">
      <c r="A56" s="3359">
        <v>22</v>
      </c>
      <c r="B56" s="3359">
        <v>1</v>
      </c>
      <c r="C56" s="3359" t="s">
        <v>3153</v>
      </c>
      <c r="D56" s="3359">
        <v>1997</v>
      </c>
      <c r="E56" s="3358">
        <v>120.32</v>
      </c>
      <c r="I56" s="3391">
        <v>16</v>
      </c>
      <c r="J56" s="3391">
        <v>1</v>
      </c>
      <c r="K56" s="3391" t="s">
        <v>3208</v>
      </c>
      <c r="L56" s="3391">
        <v>1997</v>
      </c>
      <c r="M56" s="3391">
        <v>76.95</v>
      </c>
      <c r="N56" s="3387">
        <v>1200</v>
      </c>
      <c r="O56" s="3387"/>
      <c r="P56">
        <f t="shared" si="1"/>
        <v>92340</v>
      </c>
    </row>
    <row r="57" spans="1:16">
      <c r="A57" s="3359">
        <v>23</v>
      </c>
      <c r="B57" s="3359">
        <v>1</v>
      </c>
      <c r="C57" s="3359" t="s">
        <v>3153</v>
      </c>
      <c r="D57" s="3359">
        <v>1997</v>
      </c>
      <c r="E57" s="3358">
        <v>70.05</v>
      </c>
      <c r="I57" s="3387">
        <v>17</v>
      </c>
      <c r="J57" s="3387">
        <v>1</v>
      </c>
      <c r="K57" s="3387" t="s">
        <v>3208</v>
      </c>
      <c r="L57" s="3387">
        <v>1997</v>
      </c>
      <c r="M57" s="3387">
        <v>44.55</v>
      </c>
      <c r="N57" s="3387">
        <v>1200</v>
      </c>
      <c r="O57" s="3387"/>
      <c r="P57">
        <f t="shared" si="1"/>
        <v>53460</v>
      </c>
    </row>
    <row r="58" spans="1:16">
      <c r="A58" s="3359">
        <v>24</v>
      </c>
      <c r="B58" s="3359">
        <v>1</v>
      </c>
      <c r="C58" s="3359" t="s">
        <v>3153</v>
      </c>
      <c r="D58" s="3359">
        <v>1997</v>
      </c>
      <c r="E58" s="3358">
        <v>64.290000000000006</v>
      </c>
      <c r="I58" s="3387">
        <v>18</v>
      </c>
      <c r="J58" s="3387">
        <v>1</v>
      </c>
      <c r="K58" s="3387" t="s">
        <v>3208</v>
      </c>
      <c r="L58" s="3387">
        <v>1997</v>
      </c>
      <c r="M58" s="3387">
        <v>93.55</v>
      </c>
      <c r="N58" s="3387">
        <v>1200</v>
      </c>
      <c r="O58" s="3387"/>
      <c r="P58">
        <f t="shared" si="1"/>
        <v>112260</v>
      </c>
    </row>
    <row r="59" spans="1:16">
      <c r="A59" s="3359">
        <v>25</v>
      </c>
      <c r="B59" s="3359">
        <v>1</v>
      </c>
      <c r="C59" s="3359" t="s">
        <v>3153</v>
      </c>
      <c r="D59" s="3359">
        <v>1997</v>
      </c>
      <c r="E59" s="3358">
        <v>66.209999999999994</v>
      </c>
      <c r="I59" s="3387">
        <v>19</v>
      </c>
      <c r="J59" s="3387">
        <v>2</v>
      </c>
      <c r="K59" s="3387" t="s">
        <v>3208</v>
      </c>
      <c r="L59" s="3387">
        <v>1997</v>
      </c>
      <c r="M59" s="3387">
        <v>1246.02</v>
      </c>
      <c r="N59" s="3387">
        <v>1200</v>
      </c>
      <c r="O59" s="3387"/>
      <c r="P59">
        <f t="shared" si="1"/>
        <v>1495224</v>
      </c>
    </row>
    <row r="60" spans="1:16">
      <c r="A60" s="3359">
        <v>26</v>
      </c>
      <c r="B60" s="3359">
        <v>1</v>
      </c>
      <c r="C60" s="3359" t="s">
        <v>3153</v>
      </c>
      <c r="D60" s="3359">
        <v>1997</v>
      </c>
      <c r="E60" s="3358">
        <v>132.13</v>
      </c>
      <c r="I60" s="3387">
        <v>20</v>
      </c>
      <c r="J60" s="3387">
        <v>1</v>
      </c>
      <c r="K60" s="3387" t="s">
        <v>3208</v>
      </c>
      <c r="L60" s="3387">
        <v>1997</v>
      </c>
      <c r="M60" s="3387">
        <v>21.42</v>
      </c>
      <c r="N60" s="3387">
        <v>1200</v>
      </c>
      <c r="O60" s="3387"/>
      <c r="P60">
        <f t="shared" si="1"/>
        <v>25704</v>
      </c>
    </row>
    <row r="61" spans="1:16">
      <c r="A61" s="3359">
        <v>27</v>
      </c>
      <c r="B61" s="3359">
        <v>1</v>
      </c>
      <c r="C61" s="3359" t="s">
        <v>3153</v>
      </c>
      <c r="D61" s="3359">
        <v>1997</v>
      </c>
      <c r="E61" s="3358">
        <v>27.9</v>
      </c>
      <c r="I61" s="3387">
        <v>21</v>
      </c>
      <c r="J61" s="3387">
        <v>1</v>
      </c>
      <c r="K61" s="3387" t="s">
        <v>3208</v>
      </c>
      <c r="L61" s="3387">
        <v>1997</v>
      </c>
      <c r="M61" s="3387">
        <v>38.01</v>
      </c>
      <c r="N61" s="3387">
        <v>1200</v>
      </c>
      <c r="O61" s="3387"/>
      <c r="P61">
        <f t="shared" si="1"/>
        <v>45612</v>
      </c>
    </row>
    <row r="62" spans="1:16">
      <c r="A62" s="3359">
        <v>28</v>
      </c>
      <c r="B62" s="3359">
        <v>1</v>
      </c>
      <c r="C62" s="3359" t="s">
        <v>3153</v>
      </c>
      <c r="D62" s="3359">
        <v>1997</v>
      </c>
      <c r="E62" s="3358">
        <v>31.4</v>
      </c>
      <c r="I62" s="3390">
        <v>22</v>
      </c>
      <c r="J62" s="3390">
        <v>1</v>
      </c>
      <c r="K62" s="3390" t="s">
        <v>3208</v>
      </c>
      <c r="L62" s="3390">
        <v>1997</v>
      </c>
      <c r="M62" s="3390">
        <v>120.32</v>
      </c>
      <c r="N62" s="3387">
        <v>1200</v>
      </c>
      <c r="O62" s="3387"/>
      <c r="P62">
        <f t="shared" si="1"/>
        <v>144384</v>
      </c>
    </row>
    <row r="63" spans="1:16">
      <c r="A63" s="3359">
        <v>29</v>
      </c>
      <c r="B63" s="3359">
        <v>1</v>
      </c>
      <c r="C63" s="3359" t="s">
        <v>3153</v>
      </c>
      <c r="D63" s="3359">
        <v>1997</v>
      </c>
      <c r="E63" s="3358">
        <v>18.670000000000002</v>
      </c>
      <c r="I63" s="3387">
        <v>23</v>
      </c>
      <c r="J63" s="3387">
        <v>1</v>
      </c>
      <c r="K63" s="3387" t="s">
        <v>3208</v>
      </c>
      <c r="L63" s="3387">
        <v>1997</v>
      </c>
      <c r="M63" s="3387">
        <v>70.05</v>
      </c>
      <c r="N63" s="3387">
        <v>1200</v>
      </c>
      <c r="O63" s="3387"/>
      <c r="P63">
        <f t="shared" si="1"/>
        <v>84060</v>
      </c>
    </row>
    <row r="64" spans="1:16">
      <c r="A64" s="3359">
        <v>30</v>
      </c>
      <c r="B64" s="3359">
        <v>1</v>
      </c>
      <c r="C64" s="3359" t="s">
        <v>3153</v>
      </c>
      <c r="D64" s="3359">
        <v>1997</v>
      </c>
      <c r="E64" s="3358">
        <v>97.5</v>
      </c>
      <c r="I64" s="3387">
        <v>24</v>
      </c>
      <c r="J64" s="3387">
        <v>1</v>
      </c>
      <c r="K64" s="3387" t="s">
        <v>3208</v>
      </c>
      <c r="L64" s="3387">
        <v>1997</v>
      </c>
      <c r="M64" s="3387">
        <v>64.290000000000006</v>
      </c>
      <c r="N64" s="3387">
        <v>1200</v>
      </c>
      <c r="O64" s="3387"/>
      <c r="P64">
        <f t="shared" si="1"/>
        <v>77148</v>
      </c>
    </row>
    <row r="65" spans="1:16">
      <c r="A65" s="3359">
        <v>31</v>
      </c>
      <c r="B65" s="3359">
        <v>1</v>
      </c>
      <c r="C65" s="3359" t="s">
        <v>3153</v>
      </c>
      <c r="D65" s="3359">
        <v>1997</v>
      </c>
      <c r="E65" s="3358">
        <v>36.43</v>
      </c>
      <c r="I65" s="3387">
        <v>25</v>
      </c>
      <c r="J65" s="3387">
        <v>1</v>
      </c>
      <c r="K65" s="3387" t="s">
        <v>3208</v>
      </c>
      <c r="L65" s="3387">
        <v>1997</v>
      </c>
      <c r="M65" s="3387">
        <v>66.209999999999994</v>
      </c>
      <c r="N65" s="3387">
        <v>1200</v>
      </c>
      <c r="O65" s="3387"/>
      <c r="P65">
        <f t="shared" si="1"/>
        <v>79452</v>
      </c>
    </row>
    <row r="66" spans="1:16">
      <c r="A66" s="3359">
        <v>32</v>
      </c>
      <c r="B66" s="3359">
        <v>1</v>
      </c>
      <c r="C66" s="3359" t="s">
        <v>3153</v>
      </c>
      <c r="D66" s="3359">
        <v>1997</v>
      </c>
      <c r="E66" s="3358">
        <v>28.5</v>
      </c>
      <c r="I66" s="3387">
        <v>26</v>
      </c>
      <c r="J66" s="3387">
        <v>1</v>
      </c>
      <c r="K66" s="3387" t="s">
        <v>3208</v>
      </c>
      <c r="L66" s="3387">
        <v>1997</v>
      </c>
      <c r="M66" s="3387">
        <v>132.13</v>
      </c>
      <c r="N66" s="3387">
        <v>0</v>
      </c>
      <c r="O66" s="3388" t="s">
        <v>3207</v>
      </c>
      <c r="P66">
        <f t="shared" si="1"/>
        <v>0</v>
      </c>
    </row>
    <row r="67" spans="1:16">
      <c r="A67" s="3359">
        <v>33</v>
      </c>
      <c r="B67" s="3359">
        <v>1</v>
      </c>
      <c r="C67" s="3359" t="s">
        <v>3153</v>
      </c>
      <c r="D67" s="3359">
        <v>1997</v>
      </c>
      <c r="E67" s="3358">
        <v>106.9</v>
      </c>
      <c r="I67" s="3387">
        <v>27</v>
      </c>
      <c r="J67" s="3387">
        <v>1</v>
      </c>
      <c r="K67" s="3387" t="s">
        <v>3208</v>
      </c>
      <c r="L67" s="3387">
        <v>1997</v>
      </c>
      <c r="M67" s="3387">
        <v>27.9</v>
      </c>
      <c r="N67" s="3387">
        <v>0</v>
      </c>
      <c r="O67" s="3388" t="s">
        <v>3207</v>
      </c>
      <c r="P67">
        <f t="shared" si="1"/>
        <v>0</v>
      </c>
    </row>
    <row r="68" spans="1:16">
      <c r="A68" s="3359">
        <v>34</v>
      </c>
      <c r="B68" s="3359">
        <v>1</v>
      </c>
      <c r="C68" s="3359" t="s">
        <v>3153</v>
      </c>
      <c r="D68" s="3359">
        <v>1997</v>
      </c>
      <c r="E68" s="3358">
        <v>30.78</v>
      </c>
      <c r="I68" s="3387">
        <v>28</v>
      </c>
      <c r="J68" s="3387">
        <v>1</v>
      </c>
      <c r="K68" s="3387" t="s">
        <v>3208</v>
      </c>
      <c r="L68" s="3387">
        <v>1997</v>
      </c>
      <c r="M68" s="3387">
        <v>31.4</v>
      </c>
      <c r="N68" s="3387">
        <v>1200</v>
      </c>
      <c r="O68" s="3387"/>
      <c r="P68">
        <f t="shared" si="1"/>
        <v>37680</v>
      </c>
    </row>
    <row r="69" spans="1:16">
      <c r="A69" s="3359">
        <v>35</v>
      </c>
      <c r="B69" s="3359">
        <v>1</v>
      </c>
      <c r="C69" s="3359" t="s">
        <v>3153</v>
      </c>
      <c r="D69" s="3359">
        <v>1997</v>
      </c>
      <c r="E69" s="3358">
        <v>33.700000000000003</v>
      </c>
      <c r="I69" s="3387">
        <v>29</v>
      </c>
      <c r="J69" s="3387">
        <v>1</v>
      </c>
      <c r="K69" s="3387" t="s">
        <v>3208</v>
      </c>
      <c r="L69" s="3387">
        <v>1997</v>
      </c>
      <c r="M69" s="3387">
        <v>18.670000000000002</v>
      </c>
      <c r="N69" s="3387">
        <v>1200</v>
      </c>
      <c r="O69" s="3387"/>
      <c r="P69">
        <f t="shared" si="1"/>
        <v>22404</v>
      </c>
    </row>
    <row r="70" spans="1:16">
      <c r="A70" s="3359">
        <v>36</v>
      </c>
      <c r="B70" s="3359">
        <v>1</v>
      </c>
      <c r="C70" s="3359" t="s">
        <v>3153</v>
      </c>
      <c r="D70" s="3359">
        <v>1997</v>
      </c>
      <c r="E70" s="3358">
        <v>33.64</v>
      </c>
      <c r="I70" s="3387">
        <v>30</v>
      </c>
      <c r="J70" s="3387">
        <v>1</v>
      </c>
      <c r="K70" s="3387" t="s">
        <v>3208</v>
      </c>
      <c r="L70" s="3387">
        <v>1997</v>
      </c>
      <c r="M70" s="3387">
        <v>97.5</v>
      </c>
      <c r="N70" s="3387">
        <v>1200</v>
      </c>
      <c r="O70" s="3387"/>
      <c r="P70">
        <f t="shared" si="1"/>
        <v>117000</v>
      </c>
    </row>
    <row r="71" spans="1:16">
      <c r="A71" s="3359">
        <v>37</v>
      </c>
      <c r="B71" s="3359">
        <v>2</v>
      </c>
      <c r="C71" s="3359" t="s">
        <v>3153</v>
      </c>
      <c r="D71" s="3359">
        <v>1997</v>
      </c>
      <c r="E71" s="3358">
        <v>129.12</v>
      </c>
      <c r="I71" s="3387">
        <v>31</v>
      </c>
      <c r="J71" s="3387">
        <v>1</v>
      </c>
      <c r="K71" s="3387" t="s">
        <v>3208</v>
      </c>
      <c r="L71" s="3387">
        <v>1997</v>
      </c>
      <c r="M71" s="3387">
        <v>36.43</v>
      </c>
      <c r="N71" s="3387">
        <v>1200</v>
      </c>
      <c r="O71" s="3387"/>
      <c r="P71">
        <f t="shared" si="1"/>
        <v>43716</v>
      </c>
    </row>
    <row r="72" spans="1:16">
      <c r="A72" s="3359">
        <v>38</v>
      </c>
      <c r="B72" s="3359">
        <v>1</v>
      </c>
      <c r="C72" s="3359" t="s">
        <v>3153</v>
      </c>
      <c r="D72" s="3359">
        <v>1997</v>
      </c>
      <c r="E72" s="3358">
        <v>32.31</v>
      </c>
      <c r="I72" s="3387">
        <v>32</v>
      </c>
      <c r="J72" s="3387">
        <v>1</v>
      </c>
      <c r="K72" s="3387" t="s">
        <v>3208</v>
      </c>
      <c r="L72" s="3387">
        <v>1997</v>
      </c>
      <c r="M72" s="3387">
        <v>28.5</v>
      </c>
      <c r="N72" s="3387">
        <v>1200</v>
      </c>
      <c r="O72" s="3387"/>
      <c r="P72">
        <f t="shared" si="1"/>
        <v>34200</v>
      </c>
    </row>
    <row r="73" spans="1:16">
      <c r="A73" s="3359">
        <v>39</v>
      </c>
      <c r="B73" s="3359">
        <v>1</v>
      </c>
      <c r="C73" s="3359" t="s">
        <v>3153</v>
      </c>
      <c r="D73" s="3359">
        <v>1997</v>
      </c>
      <c r="E73" s="3358">
        <v>76.38</v>
      </c>
      <c r="I73" s="3387">
        <v>33</v>
      </c>
      <c r="J73" s="3387">
        <v>1</v>
      </c>
      <c r="K73" s="3387" t="s">
        <v>3208</v>
      </c>
      <c r="L73" s="3387">
        <v>1997</v>
      </c>
      <c r="M73" s="3387">
        <v>106.9</v>
      </c>
      <c r="N73" s="3387">
        <v>1200</v>
      </c>
      <c r="O73" s="3387"/>
      <c r="P73">
        <f t="shared" si="1"/>
        <v>128280</v>
      </c>
    </row>
    <row r="74" spans="1:16">
      <c r="A74" s="3359">
        <v>40</v>
      </c>
      <c r="B74" s="3359">
        <v>1</v>
      </c>
      <c r="C74" s="3359" t="s">
        <v>3153</v>
      </c>
      <c r="D74" s="3359">
        <v>1997</v>
      </c>
      <c r="E74" s="3358">
        <v>44.51</v>
      </c>
      <c r="I74" s="3387">
        <v>34</v>
      </c>
      <c r="J74" s="3387">
        <v>1</v>
      </c>
      <c r="K74" s="3387" t="s">
        <v>3208</v>
      </c>
      <c r="L74" s="3387">
        <v>1997</v>
      </c>
      <c r="M74" s="3387">
        <v>30.78</v>
      </c>
      <c r="N74" s="3387">
        <v>1200</v>
      </c>
      <c r="O74" s="3387"/>
      <c r="P74">
        <f t="shared" si="1"/>
        <v>36936</v>
      </c>
    </row>
    <row r="75" spans="1:16">
      <c r="A75" s="3359">
        <v>41</v>
      </c>
      <c r="B75" s="3359">
        <v>2</v>
      </c>
      <c r="C75" s="3359" t="s">
        <v>3153</v>
      </c>
      <c r="D75" s="3359">
        <v>1997</v>
      </c>
      <c r="E75" s="3358">
        <v>78.459999999999994</v>
      </c>
      <c r="I75" s="3387">
        <v>35</v>
      </c>
      <c r="J75" s="3387">
        <v>1</v>
      </c>
      <c r="K75" s="3387" t="s">
        <v>3208</v>
      </c>
      <c r="L75" s="3387">
        <v>1997</v>
      </c>
      <c r="M75" s="3387">
        <v>33.700000000000003</v>
      </c>
      <c r="N75" s="3387">
        <v>1200</v>
      </c>
      <c r="O75" s="3387"/>
      <c r="P75">
        <f t="shared" si="1"/>
        <v>40440</v>
      </c>
    </row>
    <row r="76" spans="1:16">
      <c r="A76" s="3359">
        <v>42</v>
      </c>
      <c r="B76" s="3359">
        <v>1</v>
      </c>
      <c r="C76" s="3359" t="s">
        <v>3153</v>
      </c>
      <c r="D76" s="3359">
        <v>1997</v>
      </c>
      <c r="E76" s="3358">
        <v>35.270000000000003</v>
      </c>
      <c r="I76" s="3387">
        <v>36</v>
      </c>
      <c r="J76" s="3387">
        <v>1</v>
      </c>
      <c r="K76" s="3387" t="s">
        <v>3208</v>
      </c>
      <c r="L76" s="3387">
        <v>1997</v>
      </c>
      <c r="M76" s="3387">
        <v>33.64</v>
      </c>
      <c r="N76" s="3387">
        <v>1200</v>
      </c>
      <c r="O76" s="3387"/>
      <c r="P76">
        <f t="shared" si="1"/>
        <v>40368</v>
      </c>
    </row>
    <row r="77" spans="1:16">
      <c r="A77" s="3359">
        <v>43</v>
      </c>
      <c r="B77" s="3359">
        <v>1</v>
      </c>
      <c r="C77" s="3359" t="s">
        <v>3153</v>
      </c>
      <c r="D77" s="3359">
        <v>1997</v>
      </c>
      <c r="E77" s="3358">
        <v>29.96</v>
      </c>
      <c r="I77" s="3387">
        <v>37</v>
      </c>
      <c r="J77" s="3387">
        <v>2</v>
      </c>
      <c r="K77" s="3387" t="s">
        <v>3208</v>
      </c>
      <c r="L77" s="3387">
        <v>1997</v>
      </c>
      <c r="M77" s="3387">
        <v>129.12</v>
      </c>
      <c r="N77" s="3387">
        <v>1200</v>
      </c>
      <c r="O77" s="3387"/>
      <c r="P77">
        <f t="shared" si="1"/>
        <v>154944</v>
      </c>
    </row>
    <row r="78" spans="1:16">
      <c r="A78" s="3359">
        <v>44</v>
      </c>
      <c r="B78" s="3359">
        <v>1</v>
      </c>
      <c r="C78" s="3359" t="s">
        <v>3153</v>
      </c>
      <c r="D78" s="3359">
        <v>1997</v>
      </c>
      <c r="E78" s="3358">
        <v>15.6</v>
      </c>
      <c r="I78" s="3387">
        <v>38</v>
      </c>
      <c r="J78" s="3387">
        <v>1</v>
      </c>
      <c r="K78" s="3387" t="s">
        <v>3208</v>
      </c>
      <c r="L78" s="3387">
        <v>1997</v>
      </c>
      <c r="M78" s="3387">
        <v>32.31</v>
      </c>
      <c r="N78" s="3387">
        <v>1200</v>
      </c>
      <c r="O78" s="3387"/>
      <c r="P78">
        <f t="shared" si="1"/>
        <v>38772</v>
      </c>
    </row>
    <row r="79" spans="1:16">
      <c r="A79" s="3359">
        <v>45</v>
      </c>
      <c r="B79" s="3359">
        <v>2</v>
      </c>
      <c r="C79" s="3359" t="s">
        <v>3153</v>
      </c>
      <c r="D79" s="3359">
        <v>1997</v>
      </c>
      <c r="E79" s="3358">
        <v>144.44</v>
      </c>
      <c r="I79" s="3390">
        <v>39</v>
      </c>
      <c r="J79" s="3390">
        <v>1</v>
      </c>
      <c r="K79" s="3390" t="s">
        <v>3208</v>
      </c>
      <c r="L79" s="3390">
        <v>1997</v>
      </c>
      <c r="M79" s="3390">
        <v>76.38</v>
      </c>
      <c r="N79" s="3387">
        <v>1200</v>
      </c>
      <c r="O79" s="3387"/>
      <c r="P79">
        <f t="shared" si="1"/>
        <v>91656</v>
      </c>
    </row>
    <row r="80" spans="1:16">
      <c r="A80" s="3359">
        <v>46</v>
      </c>
      <c r="B80" s="3359">
        <v>1</v>
      </c>
      <c r="C80" s="3359" t="s">
        <v>3153</v>
      </c>
      <c r="D80" s="3359">
        <v>1997</v>
      </c>
      <c r="E80" s="3358">
        <v>50.57</v>
      </c>
      <c r="I80" s="3387">
        <v>40</v>
      </c>
      <c r="J80" s="3387">
        <v>1</v>
      </c>
      <c r="K80" s="3387" t="s">
        <v>3208</v>
      </c>
      <c r="L80" s="3387">
        <v>1997</v>
      </c>
      <c r="M80" s="3387">
        <v>44.51</v>
      </c>
      <c r="N80" s="3387">
        <v>1200</v>
      </c>
      <c r="O80" s="3387"/>
      <c r="P80">
        <f t="shared" si="1"/>
        <v>53412</v>
      </c>
    </row>
    <row r="81" spans="1:16">
      <c r="A81" s="3359">
        <v>48</v>
      </c>
      <c r="B81" s="3359">
        <v>1</v>
      </c>
      <c r="C81" s="3359" t="s">
        <v>3153</v>
      </c>
      <c r="D81" s="3359">
        <v>1997</v>
      </c>
      <c r="E81" s="3358">
        <v>17.53</v>
      </c>
      <c r="I81" s="3387">
        <v>41</v>
      </c>
      <c r="J81" s="3387">
        <v>2</v>
      </c>
      <c r="K81" s="3387" t="s">
        <v>3208</v>
      </c>
      <c r="L81" s="3387">
        <v>1997</v>
      </c>
      <c r="M81" s="3387">
        <v>78.459999999999994</v>
      </c>
      <c r="N81" s="3387">
        <v>1200</v>
      </c>
      <c r="O81" s="3387"/>
      <c r="P81">
        <f t="shared" si="1"/>
        <v>94152</v>
      </c>
    </row>
    <row r="82" spans="1:16">
      <c r="A82" s="3359">
        <v>49</v>
      </c>
      <c r="B82" s="3359">
        <v>1</v>
      </c>
      <c r="C82" s="3359" t="s">
        <v>3153</v>
      </c>
      <c r="D82" s="3359">
        <v>1997</v>
      </c>
      <c r="E82" s="3358">
        <v>12.35</v>
      </c>
      <c r="I82" s="3387">
        <v>42</v>
      </c>
      <c r="J82" s="3387">
        <v>1</v>
      </c>
      <c r="K82" s="3387" t="s">
        <v>3208</v>
      </c>
      <c r="L82" s="3387">
        <v>1997</v>
      </c>
      <c r="M82" s="3387">
        <v>35.270000000000003</v>
      </c>
      <c r="N82" s="3387">
        <v>1200</v>
      </c>
      <c r="O82" s="3387"/>
      <c r="P82">
        <f t="shared" si="1"/>
        <v>42324</v>
      </c>
    </row>
    <row r="83" spans="1:16">
      <c r="A83" s="3359">
        <v>50</v>
      </c>
      <c r="B83" s="3359">
        <v>1</v>
      </c>
      <c r="C83" s="3359" t="s">
        <v>3153</v>
      </c>
      <c r="D83" s="3359">
        <v>1997</v>
      </c>
      <c r="E83" s="3358">
        <v>28.77</v>
      </c>
      <c r="I83" s="3387">
        <v>43</v>
      </c>
      <c r="J83" s="3387">
        <v>1</v>
      </c>
      <c r="K83" s="3387" t="s">
        <v>3208</v>
      </c>
      <c r="L83" s="3387">
        <v>1997</v>
      </c>
      <c r="M83" s="3387">
        <v>29.96</v>
      </c>
      <c r="N83" s="3387">
        <v>1200</v>
      </c>
      <c r="O83" s="3387"/>
      <c r="P83">
        <f t="shared" si="1"/>
        <v>35952</v>
      </c>
    </row>
    <row r="84" spans="1:16">
      <c r="A84" s="3359">
        <v>51</v>
      </c>
      <c r="B84" s="3359">
        <v>1</v>
      </c>
      <c r="C84" s="3359" t="s">
        <v>3153</v>
      </c>
      <c r="D84" s="3359">
        <v>1997</v>
      </c>
      <c r="E84" s="3358">
        <v>38.090000000000003</v>
      </c>
      <c r="I84" s="3387">
        <v>44</v>
      </c>
      <c r="J84" s="3387">
        <v>1</v>
      </c>
      <c r="K84" s="3387" t="s">
        <v>3208</v>
      </c>
      <c r="L84" s="3387">
        <v>1997</v>
      </c>
      <c r="M84" s="3387">
        <v>15.6</v>
      </c>
      <c r="N84" s="3387">
        <v>1200</v>
      </c>
      <c r="O84" s="3387"/>
      <c r="P84">
        <f t="shared" si="1"/>
        <v>18720</v>
      </c>
    </row>
    <row r="85" spans="1:16">
      <c r="A85" s="3359">
        <v>52</v>
      </c>
      <c r="B85" s="3359">
        <v>1</v>
      </c>
      <c r="C85" s="3359" t="s">
        <v>3153</v>
      </c>
      <c r="D85" s="3359">
        <v>1997</v>
      </c>
      <c r="E85" s="3358">
        <v>12.37</v>
      </c>
      <c r="I85" s="3387">
        <v>45</v>
      </c>
      <c r="J85" s="3387">
        <v>2</v>
      </c>
      <c r="K85" s="3387" t="s">
        <v>3208</v>
      </c>
      <c r="L85" s="3387">
        <v>1997</v>
      </c>
      <c r="M85" s="3387">
        <v>144.44</v>
      </c>
      <c r="N85" s="3387">
        <v>1200</v>
      </c>
      <c r="O85" s="3387"/>
      <c r="P85">
        <f t="shared" si="1"/>
        <v>173328</v>
      </c>
    </row>
    <row r="86" spans="1:16">
      <c r="A86" s="3359">
        <v>53</v>
      </c>
      <c r="B86" s="3359">
        <v>1</v>
      </c>
      <c r="C86" s="3359" t="s">
        <v>3153</v>
      </c>
      <c r="D86" s="3359">
        <v>1997</v>
      </c>
      <c r="E86" s="3358">
        <v>20.36</v>
      </c>
      <c r="I86" s="3387">
        <v>46</v>
      </c>
      <c r="J86" s="3387">
        <v>1</v>
      </c>
      <c r="K86" s="3387" t="s">
        <v>3208</v>
      </c>
      <c r="L86" s="3387">
        <v>1997</v>
      </c>
      <c r="M86" s="3387">
        <v>50.57</v>
      </c>
      <c r="N86" s="3387">
        <v>1200</v>
      </c>
      <c r="O86" s="3387"/>
      <c r="P86">
        <f t="shared" si="1"/>
        <v>60684</v>
      </c>
    </row>
    <row r="87" spans="1:16">
      <c r="A87" s="3359">
        <v>54</v>
      </c>
      <c r="B87" s="3359">
        <v>1</v>
      </c>
      <c r="C87" s="3359" t="s">
        <v>3153</v>
      </c>
      <c r="D87" s="3359">
        <v>1997</v>
      </c>
      <c r="E87" s="3358">
        <v>36.75</v>
      </c>
      <c r="I87" s="3391">
        <v>47</v>
      </c>
      <c r="J87" s="3391">
        <v>1</v>
      </c>
      <c r="K87" s="3391" t="s">
        <v>3208</v>
      </c>
      <c r="L87" s="3391">
        <v>1997</v>
      </c>
      <c r="M87" s="3391">
        <v>46.76</v>
      </c>
      <c r="N87" s="3387">
        <v>1200</v>
      </c>
      <c r="O87" s="3387"/>
      <c r="P87">
        <f t="shared" si="1"/>
        <v>56112</v>
      </c>
    </row>
    <row r="88" spans="1:16">
      <c r="A88" s="3359">
        <v>55</v>
      </c>
      <c r="B88" s="3359">
        <v>1</v>
      </c>
      <c r="C88" s="3359" t="s">
        <v>3153</v>
      </c>
      <c r="D88" s="3359">
        <v>1997</v>
      </c>
      <c r="E88" s="3358">
        <v>18.91</v>
      </c>
      <c r="I88" s="3387">
        <v>48</v>
      </c>
      <c r="J88" s="3387">
        <v>1</v>
      </c>
      <c r="K88" s="3387" t="s">
        <v>3208</v>
      </c>
      <c r="L88" s="3387">
        <v>1997</v>
      </c>
      <c r="M88" s="3387">
        <v>17.53</v>
      </c>
      <c r="N88" s="3387">
        <v>1200</v>
      </c>
      <c r="O88" s="3387"/>
      <c r="P88">
        <f t="shared" si="1"/>
        <v>21036</v>
      </c>
    </row>
    <row r="89" spans="1:16">
      <c r="A89" s="3359">
        <v>56</v>
      </c>
      <c r="B89" s="3359">
        <v>1</v>
      </c>
      <c r="C89" s="3359" t="s">
        <v>3153</v>
      </c>
      <c r="D89" s="3359">
        <v>1997</v>
      </c>
      <c r="E89" s="3358">
        <v>17.62</v>
      </c>
      <c r="I89" s="3387">
        <v>49</v>
      </c>
      <c r="J89" s="3387">
        <v>1</v>
      </c>
      <c r="K89" s="3387" t="s">
        <v>3208</v>
      </c>
      <c r="L89" s="3387">
        <v>1997</v>
      </c>
      <c r="M89" s="3387">
        <v>12.35</v>
      </c>
      <c r="N89" s="3387">
        <v>1200</v>
      </c>
      <c r="O89" s="3387"/>
      <c r="P89">
        <f t="shared" si="1"/>
        <v>14820</v>
      </c>
    </row>
    <row r="90" spans="1:16">
      <c r="A90" s="3359">
        <v>57</v>
      </c>
      <c r="B90" s="3359">
        <v>1</v>
      </c>
      <c r="C90" s="3359" t="s">
        <v>3153</v>
      </c>
      <c r="D90" s="3359">
        <v>1997</v>
      </c>
      <c r="E90" s="3358">
        <v>33.54</v>
      </c>
      <c r="I90" s="3387">
        <v>50</v>
      </c>
      <c r="J90" s="3387">
        <v>1</v>
      </c>
      <c r="K90" s="3387" t="s">
        <v>3208</v>
      </c>
      <c r="L90" s="3387">
        <v>1997</v>
      </c>
      <c r="M90" s="3387">
        <v>28.77</v>
      </c>
      <c r="N90" s="3387">
        <v>1200</v>
      </c>
      <c r="O90" s="3387"/>
      <c r="P90">
        <f t="shared" si="1"/>
        <v>34524</v>
      </c>
    </row>
    <row r="91" spans="1:16">
      <c r="A91" s="3359">
        <v>58</v>
      </c>
      <c r="B91" s="3359">
        <v>1</v>
      </c>
      <c r="C91" s="3359" t="s">
        <v>3153</v>
      </c>
      <c r="D91" s="3359">
        <v>1997</v>
      </c>
      <c r="E91" s="3358">
        <v>24.14</v>
      </c>
      <c r="I91" s="3387">
        <v>51</v>
      </c>
      <c r="J91" s="3387">
        <v>1</v>
      </c>
      <c r="K91" s="3387" t="s">
        <v>3208</v>
      </c>
      <c r="L91" s="3387">
        <v>1997</v>
      </c>
      <c r="M91" s="3387">
        <v>38.090000000000003</v>
      </c>
      <c r="N91" s="3387">
        <v>1200</v>
      </c>
      <c r="O91" s="3387"/>
      <c r="P91">
        <f t="shared" si="1"/>
        <v>45708</v>
      </c>
    </row>
    <row r="92" spans="1:16">
      <c r="A92" s="3359">
        <v>59</v>
      </c>
      <c r="B92" s="3359">
        <v>1</v>
      </c>
      <c r="C92" s="3359" t="s">
        <v>3153</v>
      </c>
      <c r="D92" s="3359">
        <v>1997</v>
      </c>
      <c r="E92" s="3358">
        <v>31.75</v>
      </c>
      <c r="I92" s="3387">
        <v>52</v>
      </c>
      <c r="J92" s="3387">
        <v>1</v>
      </c>
      <c r="K92" s="3387" t="s">
        <v>3208</v>
      </c>
      <c r="L92" s="3387">
        <v>1997</v>
      </c>
      <c r="M92" s="3387">
        <v>12.37</v>
      </c>
      <c r="N92" s="3387">
        <v>1200</v>
      </c>
      <c r="O92" s="3387"/>
      <c r="P92">
        <f t="shared" si="1"/>
        <v>14844</v>
      </c>
    </row>
    <row r="93" spans="1:16">
      <c r="A93" s="3359">
        <v>60</v>
      </c>
      <c r="B93" s="3359">
        <v>2</v>
      </c>
      <c r="C93" s="3359" t="s">
        <v>3153</v>
      </c>
      <c r="D93" s="3359">
        <v>1997</v>
      </c>
      <c r="E93" s="3358">
        <v>79.58</v>
      </c>
      <c r="I93" s="3387">
        <v>53</v>
      </c>
      <c r="J93" s="3387">
        <v>1</v>
      </c>
      <c r="K93" s="3387" t="s">
        <v>3208</v>
      </c>
      <c r="L93" s="3387">
        <v>1997</v>
      </c>
      <c r="M93" s="3387">
        <v>20.36</v>
      </c>
      <c r="N93" s="3387">
        <v>1200</v>
      </c>
      <c r="O93" s="3387"/>
      <c r="P93">
        <f t="shared" si="1"/>
        <v>24432</v>
      </c>
    </row>
    <row r="94" spans="1:16">
      <c r="A94" s="3359">
        <v>61</v>
      </c>
      <c r="B94" s="3359">
        <v>1</v>
      </c>
      <c r="C94" s="3359" t="s">
        <v>3153</v>
      </c>
      <c r="D94" s="3359">
        <v>1997</v>
      </c>
      <c r="E94" s="3358">
        <v>83.92</v>
      </c>
      <c r="I94" s="3387">
        <v>54</v>
      </c>
      <c r="J94" s="3387">
        <v>1</v>
      </c>
      <c r="K94" s="3387" t="s">
        <v>3208</v>
      </c>
      <c r="L94" s="3387">
        <v>1997</v>
      </c>
      <c r="M94" s="3387">
        <v>36.75</v>
      </c>
      <c r="N94" s="3387">
        <v>1200</v>
      </c>
      <c r="O94" s="3387"/>
      <c r="P94">
        <f t="shared" si="1"/>
        <v>44100</v>
      </c>
    </row>
    <row r="95" spans="1:16">
      <c r="A95" s="3359">
        <v>62</v>
      </c>
      <c r="B95" s="3359">
        <v>1</v>
      </c>
      <c r="C95" s="3359" t="s">
        <v>3153</v>
      </c>
      <c r="D95" s="3359">
        <v>1997</v>
      </c>
      <c r="E95" s="3358">
        <v>63.58</v>
      </c>
      <c r="I95" s="3390">
        <v>55</v>
      </c>
      <c r="J95" s="3390">
        <v>1</v>
      </c>
      <c r="K95" s="3390" t="s">
        <v>3208</v>
      </c>
      <c r="L95" s="3390">
        <v>1997</v>
      </c>
      <c r="M95" s="3390">
        <v>18.91</v>
      </c>
      <c r="N95" s="3387">
        <v>1200</v>
      </c>
      <c r="O95" s="3387"/>
      <c r="P95">
        <f t="shared" si="1"/>
        <v>22692</v>
      </c>
    </row>
    <row r="96" spans="1:16">
      <c r="A96" s="3359">
        <v>63</v>
      </c>
      <c r="B96" s="3359">
        <v>1</v>
      </c>
      <c r="C96" s="3359" t="s">
        <v>3153</v>
      </c>
      <c r="D96" s="3359">
        <v>1997</v>
      </c>
      <c r="E96" s="3358">
        <v>63.72</v>
      </c>
      <c r="I96" s="3387">
        <v>56</v>
      </c>
      <c r="J96" s="3387">
        <v>1</v>
      </c>
      <c r="K96" s="3387" t="s">
        <v>3208</v>
      </c>
      <c r="L96" s="3387">
        <v>1997</v>
      </c>
      <c r="M96" s="3387">
        <v>17.62</v>
      </c>
      <c r="N96" s="3387">
        <v>1200</v>
      </c>
      <c r="O96" s="3387"/>
      <c r="P96">
        <f t="shared" si="1"/>
        <v>21144</v>
      </c>
    </row>
    <row r="97" spans="1:16">
      <c r="A97" s="3359">
        <v>64</v>
      </c>
      <c r="B97" s="3359">
        <v>1</v>
      </c>
      <c r="C97" s="3359" t="s">
        <v>3153</v>
      </c>
      <c r="D97" s="3359">
        <v>1997</v>
      </c>
      <c r="E97" s="3358">
        <v>112.21</v>
      </c>
      <c r="I97" s="3387">
        <v>57</v>
      </c>
      <c r="J97" s="3387">
        <v>1</v>
      </c>
      <c r="K97" s="3387" t="s">
        <v>3208</v>
      </c>
      <c r="L97" s="3387">
        <v>1997</v>
      </c>
      <c r="M97" s="3387">
        <v>33.54</v>
      </c>
      <c r="N97" s="3387">
        <v>1200</v>
      </c>
      <c r="O97" s="3387"/>
      <c r="P97">
        <f t="shared" si="1"/>
        <v>40248</v>
      </c>
    </row>
    <row r="98" spans="1:16">
      <c r="A98" s="3359">
        <v>65</v>
      </c>
      <c r="B98" s="3359">
        <v>2</v>
      </c>
      <c r="C98" s="3359" t="s">
        <v>3153</v>
      </c>
      <c r="D98" s="3359">
        <v>1997</v>
      </c>
      <c r="E98" s="3358">
        <v>70.2</v>
      </c>
      <c r="I98" s="3387">
        <v>58</v>
      </c>
      <c r="J98" s="3387">
        <v>1</v>
      </c>
      <c r="K98" s="3387" t="s">
        <v>3208</v>
      </c>
      <c r="L98" s="3387">
        <v>1997</v>
      </c>
      <c r="M98" s="3387">
        <v>24.14</v>
      </c>
      <c r="N98" s="3387">
        <v>1200</v>
      </c>
      <c r="O98" s="3387"/>
      <c r="P98">
        <f t="shared" si="1"/>
        <v>28968</v>
      </c>
    </row>
    <row r="99" spans="1:16">
      <c r="A99" s="3359">
        <v>66</v>
      </c>
      <c r="B99" s="3359">
        <v>1</v>
      </c>
      <c r="C99" s="3359" t="s">
        <v>3153</v>
      </c>
      <c r="D99" s="3359">
        <v>1997</v>
      </c>
      <c r="E99" s="3358">
        <v>209.37</v>
      </c>
      <c r="I99" s="3387">
        <v>59</v>
      </c>
      <c r="J99" s="3387">
        <v>1</v>
      </c>
      <c r="K99" s="3387" t="s">
        <v>3208</v>
      </c>
      <c r="L99" s="3387">
        <v>1997</v>
      </c>
      <c r="M99" s="3387">
        <v>31.75</v>
      </c>
      <c r="N99" s="3387">
        <v>1200</v>
      </c>
      <c r="O99" s="3387"/>
      <c r="P99">
        <f t="shared" si="1"/>
        <v>38100</v>
      </c>
    </row>
    <row r="100" spans="1:16">
      <c r="A100" s="3359">
        <v>67</v>
      </c>
      <c r="B100" s="3359">
        <v>1</v>
      </c>
      <c r="C100" s="3359" t="s">
        <v>3153</v>
      </c>
      <c r="D100" s="3359">
        <v>1997</v>
      </c>
      <c r="E100" s="3358">
        <v>69.94</v>
      </c>
      <c r="I100" s="3387">
        <v>60</v>
      </c>
      <c r="J100" s="3387">
        <v>2</v>
      </c>
      <c r="K100" s="3387" t="s">
        <v>3208</v>
      </c>
      <c r="L100" s="3387">
        <v>1997</v>
      </c>
      <c r="M100" s="3387">
        <v>79.58</v>
      </c>
      <c r="N100" s="3387">
        <v>1200</v>
      </c>
      <c r="O100" s="3387"/>
      <c r="P100">
        <f t="shared" si="1"/>
        <v>95496</v>
      </c>
    </row>
    <row r="101" spans="1:16">
      <c r="A101" s="3359">
        <v>68</v>
      </c>
      <c r="B101" s="3359">
        <v>1</v>
      </c>
      <c r="C101" s="3359" t="s">
        <v>3153</v>
      </c>
      <c r="D101" s="3359">
        <v>1997</v>
      </c>
      <c r="E101" s="3358">
        <v>208.57</v>
      </c>
      <c r="I101" s="3387">
        <v>61</v>
      </c>
      <c r="J101" s="3387">
        <v>1</v>
      </c>
      <c r="K101" s="3387" t="s">
        <v>3208</v>
      </c>
      <c r="L101" s="3387">
        <v>1997</v>
      </c>
      <c r="M101" s="3387">
        <v>83.92</v>
      </c>
      <c r="N101" s="3387">
        <v>1200</v>
      </c>
      <c r="O101" s="3387"/>
      <c r="P101">
        <f t="shared" si="1"/>
        <v>100704</v>
      </c>
    </row>
    <row r="102" spans="1:16">
      <c r="A102" s="3359">
        <v>69</v>
      </c>
      <c r="B102" s="3359">
        <v>1</v>
      </c>
      <c r="C102" s="3359" t="s">
        <v>3153</v>
      </c>
      <c r="D102" s="3359">
        <v>1997</v>
      </c>
      <c r="E102" s="3358">
        <v>95.65</v>
      </c>
      <c r="I102" s="3387">
        <v>62</v>
      </c>
      <c r="J102" s="3387">
        <v>1</v>
      </c>
      <c r="K102" s="3387" t="s">
        <v>3208</v>
      </c>
      <c r="L102" s="3387">
        <v>1997</v>
      </c>
      <c r="M102" s="3387">
        <v>63.58</v>
      </c>
      <c r="N102" s="3387">
        <v>1200</v>
      </c>
      <c r="O102" s="3387"/>
      <c r="P102">
        <f t="shared" si="1"/>
        <v>76296</v>
      </c>
    </row>
    <row r="103" spans="1:16">
      <c r="A103" s="3359">
        <v>70</v>
      </c>
      <c r="B103" s="3359">
        <v>1</v>
      </c>
      <c r="C103" s="3359" t="s">
        <v>3153</v>
      </c>
      <c r="D103" s="3359">
        <v>1997</v>
      </c>
      <c r="E103" s="3358">
        <v>77.13</v>
      </c>
      <c r="I103" s="3387">
        <v>63</v>
      </c>
      <c r="J103" s="3387">
        <v>1</v>
      </c>
      <c r="K103" s="3387" t="s">
        <v>3208</v>
      </c>
      <c r="L103" s="3387">
        <v>1997</v>
      </c>
      <c r="M103" s="3387">
        <v>63.72</v>
      </c>
      <c r="N103" s="3387">
        <v>1200</v>
      </c>
      <c r="O103" s="3387"/>
      <c r="P103">
        <f t="shared" si="1"/>
        <v>76464</v>
      </c>
    </row>
    <row r="104" spans="1:16">
      <c r="A104" s="3359">
        <v>71</v>
      </c>
      <c r="B104" s="3359">
        <v>1</v>
      </c>
      <c r="C104" s="3359" t="s">
        <v>3153</v>
      </c>
      <c r="D104" s="3359">
        <v>1997</v>
      </c>
      <c r="E104" s="3358">
        <v>120.77</v>
      </c>
      <c r="I104" s="3387">
        <v>64</v>
      </c>
      <c r="J104" s="3387">
        <v>1</v>
      </c>
      <c r="K104" s="3387" t="s">
        <v>3208</v>
      </c>
      <c r="L104" s="3387">
        <v>1997</v>
      </c>
      <c r="M104" s="3387">
        <v>112.21</v>
      </c>
      <c r="N104" s="3387">
        <v>1200</v>
      </c>
      <c r="O104" s="3387"/>
      <c r="P104">
        <f t="shared" si="1"/>
        <v>134652</v>
      </c>
    </row>
    <row r="105" spans="1:16">
      <c r="A105" s="3359">
        <v>72</v>
      </c>
      <c r="B105" s="3359">
        <v>1</v>
      </c>
      <c r="C105" s="3359" t="s">
        <v>3153</v>
      </c>
      <c r="D105" s="3359">
        <v>1997</v>
      </c>
      <c r="E105" s="3358">
        <v>24.64</v>
      </c>
      <c r="I105" s="3387">
        <v>65</v>
      </c>
      <c r="J105" s="3387">
        <v>2</v>
      </c>
      <c r="K105" s="3387" t="s">
        <v>3208</v>
      </c>
      <c r="L105" s="3387">
        <v>1997</v>
      </c>
      <c r="M105" s="3387">
        <v>70.2</v>
      </c>
      <c r="N105" s="3387">
        <v>1200</v>
      </c>
      <c r="O105" s="3387"/>
      <c r="P105">
        <f t="shared" si="1"/>
        <v>84240</v>
      </c>
    </row>
    <row r="106" spans="1:16">
      <c r="A106" s="3359">
        <v>73</v>
      </c>
      <c r="B106" s="3359">
        <v>1</v>
      </c>
      <c r="C106" s="3359" t="s">
        <v>3153</v>
      </c>
      <c r="D106" s="3359">
        <v>1997</v>
      </c>
      <c r="E106" s="3358">
        <v>60.68</v>
      </c>
      <c r="I106" s="3387">
        <v>66</v>
      </c>
      <c r="J106" s="3387">
        <v>1</v>
      </c>
      <c r="K106" s="3387" t="s">
        <v>3208</v>
      </c>
      <c r="L106" s="3387">
        <v>1997</v>
      </c>
      <c r="M106" s="3387">
        <v>209.37</v>
      </c>
      <c r="N106" s="3387">
        <v>1200</v>
      </c>
      <c r="O106" s="3387"/>
      <c r="P106">
        <f t="shared" ref="P106:P167" si="2">ROUND(N106*M106,0)</f>
        <v>251244</v>
      </c>
    </row>
    <row r="107" spans="1:16">
      <c r="A107" s="3359">
        <v>74</v>
      </c>
      <c r="B107" s="3359">
        <v>1</v>
      </c>
      <c r="C107" s="3359" t="s">
        <v>3153</v>
      </c>
      <c r="D107" s="3359">
        <v>1997</v>
      </c>
      <c r="E107" s="3358">
        <v>32.44</v>
      </c>
      <c r="I107" s="3387">
        <v>67</v>
      </c>
      <c r="J107" s="3387">
        <v>1</v>
      </c>
      <c r="K107" s="3387" t="s">
        <v>3208</v>
      </c>
      <c r="L107" s="3387">
        <v>1997</v>
      </c>
      <c r="M107" s="3387">
        <v>69.94</v>
      </c>
      <c r="N107" s="3387">
        <v>1200</v>
      </c>
      <c r="O107" s="3387"/>
      <c r="P107">
        <f t="shared" si="2"/>
        <v>83928</v>
      </c>
    </row>
    <row r="108" spans="1:16">
      <c r="A108" s="3359">
        <v>75</v>
      </c>
      <c r="B108" s="3359">
        <v>1</v>
      </c>
      <c r="C108" s="3359" t="s">
        <v>3153</v>
      </c>
      <c r="D108" s="3359">
        <v>1997</v>
      </c>
      <c r="E108" s="3358">
        <v>162.61000000000001</v>
      </c>
      <c r="I108" s="3387">
        <v>68</v>
      </c>
      <c r="J108" s="3387">
        <v>1</v>
      </c>
      <c r="K108" s="3387" t="s">
        <v>3208</v>
      </c>
      <c r="L108" s="3387">
        <v>1997</v>
      </c>
      <c r="M108" s="3387">
        <v>208.57</v>
      </c>
      <c r="N108" s="3387">
        <v>1200</v>
      </c>
      <c r="O108" s="3387"/>
      <c r="P108">
        <f t="shared" si="2"/>
        <v>250284</v>
      </c>
    </row>
    <row r="109" spans="1:16">
      <c r="A109" s="3359">
        <v>76</v>
      </c>
      <c r="B109" s="3359">
        <v>1</v>
      </c>
      <c r="C109" s="3359" t="s">
        <v>3153</v>
      </c>
      <c r="D109" s="3359">
        <v>1997</v>
      </c>
      <c r="E109" s="3358">
        <v>82.51</v>
      </c>
      <c r="I109" s="3387">
        <v>69</v>
      </c>
      <c r="J109" s="3387">
        <v>1</v>
      </c>
      <c r="K109" s="3387" t="s">
        <v>3208</v>
      </c>
      <c r="L109" s="3387">
        <v>1997</v>
      </c>
      <c r="M109" s="3387">
        <v>95.65</v>
      </c>
      <c r="N109" s="3387">
        <v>1200</v>
      </c>
      <c r="O109" s="3387"/>
      <c r="P109">
        <f t="shared" si="2"/>
        <v>114780</v>
      </c>
    </row>
    <row r="110" spans="1:16">
      <c r="A110" s="3359">
        <v>77</v>
      </c>
      <c r="B110" s="3359">
        <v>1</v>
      </c>
      <c r="C110" s="3359" t="s">
        <v>3153</v>
      </c>
      <c r="D110" s="3359">
        <v>1997</v>
      </c>
      <c r="E110" s="3358">
        <v>101.18</v>
      </c>
      <c r="I110" s="3387">
        <v>70</v>
      </c>
      <c r="J110" s="3387">
        <v>1</v>
      </c>
      <c r="K110" s="3387" t="s">
        <v>3208</v>
      </c>
      <c r="L110" s="3387">
        <v>1997</v>
      </c>
      <c r="M110" s="3387">
        <v>77.13</v>
      </c>
      <c r="N110" s="3387">
        <v>1200</v>
      </c>
      <c r="O110" s="3387"/>
      <c r="P110">
        <f t="shared" si="2"/>
        <v>92556</v>
      </c>
    </row>
    <row r="111" spans="1:16">
      <c r="A111" s="3359">
        <v>78</v>
      </c>
      <c r="B111" s="3359">
        <v>1</v>
      </c>
      <c r="C111" s="3359" t="s">
        <v>3153</v>
      </c>
      <c r="D111" s="3359">
        <v>1997</v>
      </c>
      <c r="E111" s="3358">
        <v>11.68</v>
      </c>
      <c r="I111" s="3390">
        <v>71</v>
      </c>
      <c r="J111" s="3390">
        <v>1</v>
      </c>
      <c r="K111" s="3390" t="s">
        <v>3208</v>
      </c>
      <c r="L111" s="3390">
        <v>1997</v>
      </c>
      <c r="M111" s="3390">
        <v>120.77</v>
      </c>
      <c r="N111" s="3387">
        <v>1200</v>
      </c>
      <c r="O111" s="3387"/>
      <c r="P111">
        <f t="shared" si="2"/>
        <v>144924</v>
      </c>
    </row>
    <row r="112" spans="1:16">
      <c r="A112" s="3359">
        <v>79</v>
      </c>
      <c r="B112" s="3359">
        <v>1</v>
      </c>
      <c r="C112" s="3359" t="s">
        <v>3153</v>
      </c>
      <c r="D112" s="3359">
        <v>1997</v>
      </c>
      <c r="E112" s="3358">
        <v>141.13</v>
      </c>
      <c r="I112" s="3387">
        <v>72</v>
      </c>
      <c r="J112" s="3387">
        <v>1</v>
      </c>
      <c r="K112" s="3387" t="s">
        <v>3208</v>
      </c>
      <c r="L112" s="3387">
        <v>1997</v>
      </c>
      <c r="M112" s="3387">
        <v>24.64</v>
      </c>
      <c r="N112" s="3387">
        <v>1200</v>
      </c>
      <c r="O112" s="3387"/>
      <c r="P112">
        <f t="shared" si="2"/>
        <v>29568</v>
      </c>
    </row>
    <row r="113" spans="1:16">
      <c r="A113" s="3359">
        <v>80</v>
      </c>
      <c r="B113" s="3359">
        <v>1</v>
      </c>
      <c r="C113" s="3359" t="s">
        <v>3153</v>
      </c>
      <c r="D113" s="3359">
        <v>1997</v>
      </c>
      <c r="E113" s="3358">
        <v>118</v>
      </c>
      <c r="I113" s="3387">
        <v>73</v>
      </c>
      <c r="J113" s="3387">
        <v>1</v>
      </c>
      <c r="K113" s="3387" t="s">
        <v>3208</v>
      </c>
      <c r="L113" s="3387">
        <v>1997</v>
      </c>
      <c r="M113" s="3387">
        <v>60.68</v>
      </c>
      <c r="N113" s="3387">
        <v>1200</v>
      </c>
      <c r="O113" s="3387"/>
      <c r="P113">
        <f t="shared" si="2"/>
        <v>72816</v>
      </c>
    </row>
    <row r="114" spans="1:16">
      <c r="A114" s="3359">
        <v>81</v>
      </c>
      <c r="B114" s="3359">
        <v>1</v>
      </c>
      <c r="C114" s="3359" t="s">
        <v>3153</v>
      </c>
      <c r="D114" s="3359">
        <v>1997</v>
      </c>
      <c r="E114" s="3358">
        <v>52.55</v>
      </c>
      <c r="I114" s="3387">
        <v>74</v>
      </c>
      <c r="J114" s="3387">
        <v>1</v>
      </c>
      <c r="K114" s="3387" t="s">
        <v>3208</v>
      </c>
      <c r="L114" s="3387">
        <v>1997</v>
      </c>
      <c r="M114" s="3387">
        <v>32.44</v>
      </c>
      <c r="N114" s="3387">
        <v>1200</v>
      </c>
      <c r="O114" s="3387"/>
      <c r="P114">
        <f t="shared" si="2"/>
        <v>38928</v>
      </c>
    </row>
    <row r="115" spans="1:16">
      <c r="A115" s="3359">
        <v>82</v>
      </c>
      <c r="B115" s="3359">
        <v>1</v>
      </c>
      <c r="C115" s="3359" t="s">
        <v>3153</v>
      </c>
      <c r="D115" s="3359">
        <v>1997</v>
      </c>
      <c r="E115" s="3358">
        <v>12.61</v>
      </c>
      <c r="I115" s="3387">
        <v>75</v>
      </c>
      <c r="J115" s="3387">
        <v>1</v>
      </c>
      <c r="K115" s="3387" t="s">
        <v>3208</v>
      </c>
      <c r="L115" s="3387">
        <v>1997</v>
      </c>
      <c r="M115" s="3387">
        <v>162.61000000000001</v>
      </c>
      <c r="N115" s="3387">
        <v>1200</v>
      </c>
      <c r="O115" s="3387"/>
      <c r="P115">
        <f t="shared" si="2"/>
        <v>195132</v>
      </c>
    </row>
    <row r="116" spans="1:16">
      <c r="A116" s="3359">
        <v>83</v>
      </c>
      <c r="B116" s="3359">
        <v>1</v>
      </c>
      <c r="C116" s="3359" t="s">
        <v>3153</v>
      </c>
      <c r="D116" s="3359">
        <v>1997</v>
      </c>
      <c r="E116" s="3358">
        <v>27.98</v>
      </c>
      <c r="I116" s="3387">
        <v>76</v>
      </c>
      <c r="J116" s="3387">
        <v>1</v>
      </c>
      <c r="K116" s="3387" t="s">
        <v>3208</v>
      </c>
      <c r="L116" s="3387">
        <v>1997</v>
      </c>
      <c r="M116" s="3387">
        <v>82.51</v>
      </c>
      <c r="N116" s="3387">
        <v>1200</v>
      </c>
      <c r="O116" s="3387"/>
      <c r="P116">
        <f t="shared" si="2"/>
        <v>99012</v>
      </c>
    </row>
    <row r="117" spans="1:16">
      <c r="A117" s="3359">
        <v>84</v>
      </c>
      <c r="B117" s="3359">
        <v>2</v>
      </c>
      <c r="C117" s="3359" t="s">
        <v>3153</v>
      </c>
      <c r="D117" s="3359">
        <v>1997</v>
      </c>
      <c r="E117" s="3358">
        <v>298.95</v>
      </c>
      <c r="I117" s="3387">
        <v>77</v>
      </c>
      <c r="J117" s="3387">
        <v>1</v>
      </c>
      <c r="K117" s="3387" t="s">
        <v>3208</v>
      </c>
      <c r="L117" s="3387">
        <v>1997</v>
      </c>
      <c r="M117" s="3387">
        <v>101.18</v>
      </c>
      <c r="N117" s="3387">
        <v>1200</v>
      </c>
      <c r="O117" s="3387"/>
      <c r="P117">
        <f t="shared" si="2"/>
        <v>121416</v>
      </c>
    </row>
    <row r="118" spans="1:16">
      <c r="A118" s="3359">
        <v>85</v>
      </c>
      <c r="B118" s="3359">
        <v>1</v>
      </c>
      <c r="C118" s="3359" t="s">
        <v>3153</v>
      </c>
      <c r="D118" s="3359">
        <v>1997</v>
      </c>
      <c r="E118" s="3358">
        <v>93.22</v>
      </c>
      <c r="I118" s="3387">
        <v>78</v>
      </c>
      <c r="J118" s="3387">
        <v>1</v>
      </c>
      <c r="K118" s="3387" t="s">
        <v>3208</v>
      </c>
      <c r="L118" s="3387">
        <v>1997</v>
      </c>
      <c r="M118" s="3387">
        <v>11.68</v>
      </c>
      <c r="N118" s="3387">
        <v>1200</v>
      </c>
      <c r="O118" s="3387"/>
      <c r="P118">
        <f t="shared" si="2"/>
        <v>14016</v>
      </c>
    </row>
    <row r="119" spans="1:16">
      <c r="A119" s="3359">
        <v>86</v>
      </c>
      <c r="B119" s="3359">
        <v>1</v>
      </c>
      <c r="C119" s="3359" t="s">
        <v>3153</v>
      </c>
      <c r="D119" s="3359">
        <v>1997</v>
      </c>
      <c r="E119" s="3358">
        <v>101.32</v>
      </c>
      <c r="I119" s="3387">
        <v>79</v>
      </c>
      <c r="J119" s="3387">
        <v>1</v>
      </c>
      <c r="K119" s="3387" t="s">
        <v>3208</v>
      </c>
      <c r="L119" s="3387">
        <v>1997</v>
      </c>
      <c r="M119" s="3387">
        <v>141.13</v>
      </c>
      <c r="N119" s="3387">
        <v>1200</v>
      </c>
      <c r="O119" s="3387"/>
      <c r="P119">
        <f t="shared" si="2"/>
        <v>169356</v>
      </c>
    </row>
    <row r="120" spans="1:16">
      <c r="A120" s="3359">
        <v>87</v>
      </c>
      <c r="B120" s="3359">
        <v>1</v>
      </c>
      <c r="C120" s="3359" t="s">
        <v>3153</v>
      </c>
      <c r="D120" s="3359">
        <v>1997</v>
      </c>
      <c r="E120" s="3358">
        <v>83.03</v>
      </c>
      <c r="I120" s="3387">
        <v>80</v>
      </c>
      <c r="J120" s="3387">
        <v>1</v>
      </c>
      <c r="K120" s="3387" t="s">
        <v>3208</v>
      </c>
      <c r="L120" s="3387">
        <v>1997</v>
      </c>
      <c r="M120" s="3387">
        <v>118</v>
      </c>
      <c r="N120" s="3387">
        <v>1200</v>
      </c>
      <c r="O120" s="3387"/>
      <c r="P120">
        <f t="shared" si="2"/>
        <v>141600</v>
      </c>
    </row>
    <row r="121" spans="1:16">
      <c r="A121" s="3359">
        <v>88</v>
      </c>
      <c r="B121" s="3359">
        <v>1</v>
      </c>
      <c r="C121" s="3359" t="s">
        <v>3153</v>
      </c>
      <c r="D121" s="3359">
        <v>1997</v>
      </c>
      <c r="E121" s="3358">
        <v>82.51</v>
      </c>
      <c r="I121" s="3387">
        <v>81</v>
      </c>
      <c r="J121" s="3387">
        <v>1</v>
      </c>
      <c r="K121" s="3387" t="s">
        <v>3208</v>
      </c>
      <c r="L121" s="3387">
        <v>1997</v>
      </c>
      <c r="M121" s="3387">
        <v>52.55</v>
      </c>
      <c r="N121" s="3387">
        <v>1200</v>
      </c>
      <c r="O121" s="3387"/>
      <c r="P121">
        <f t="shared" si="2"/>
        <v>63060</v>
      </c>
    </row>
    <row r="122" spans="1:16">
      <c r="A122" s="3359">
        <v>89</v>
      </c>
      <c r="B122" s="3359">
        <v>1</v>
      </c>
      <c r="C122" s="3359" t="s">
        <v>3153</v>
      </c>
      <c r="D122" s="3359">
        <v>1997</v>
      </c>
      <c r="E122" s="3358">
        <v>9.82</v>
      </c>
      <c r="I122" s="3387">
        <v>82</v>
      </c>
      <c r="J122" s="3387">
        <v>1</v>
      </c>
      <c r="K122" s="3387" t="s">
        <v>3208</v>
      </c>
      <c r="L122" s="3387">
        <v>1997</v>
      </c>
      <c r="M122" s="3387">
        <v>12.61</v>
      </c>
      <c r="N122" s="3387">
        <v>1200</v>
      </c>
      <c r="O122" s="3387"/>
      <c r="P122">
        <f t="shared" si="2"/>
        <v>15132</v>
      </c>
    </row>
    <row r="123" spans="1:16">
      <c r="A123" s="3359">
        <v>90</v>
      </c>
      <c r="B123" s="3359">
        <v>1</v>
      </c>
      <c r="C123" s="3359" t="s">
        <v>3153</v>
      </c>
      <c r="D123" s="3359">
        <v>1997</v>
      </c>
      <c r="E123" s="3358">
        <v>9.82</v>
      </c>
      <c r="I123" s="3387">
        <v>83</v>
      </c>
      <c r="J123" s="3387">
        <v>1</v>
      </c>
      <c r="K123" s="3387" t="s">
        <v>3208</v>
      </c>
      <c r="L123" s="3387">
        <v>1997</v>
      </c>
      <c r="M123" s="3387">
        <v>27.98</v>
      </c>
      <c r="N123" s="3387">
        <v>1200</v>
      </c>
      <c r="O123" s="3387"/>
      <c r="P123">
        <f t="shared" si="2"/>
        <v>33576</v>
      </c>
    </row>
    <row r="124" spans="1:16">
      <c r="A124" s="3359">
        <v>91</v>
      </c>
      <c r="B124" s="3359">
        <v>1</v>
      </c>
      <c r="C124" s="3359" t="s">
        <v>3153</v>
      </c>
      <c r="D124" s="3359">
        <v>1997</v>
      </c>
      <c r="E124" s="3358">
        <v>244.11</v>
      </c>
      <c r="I124" s="3387">
        <v>84</v>
      </c>
      <c r="J124" s="3387">
        <v>2</v>
      </c>
      <c r="K124" s="3387" t="s">
        <v>3208</v>
      </c>
      <c r="L124" s="3387">
        <v>1997</v>
      </c>
      <c r="M124" s="3387">
        <v>298.95</v>
      </c>
      <c r="N124" s="3387">
        <v>1200</v>
      </c>
      <c r="O124" s="3387"/>
      <c r="P124">
        <f t="shared" si="2"/>
        <v>358740</v>
      </c>
    </row>
    <row r="125" spans="1:16">
      <c r="A125" s="3359">
        <v>92</v>
      </c>
      <c r="B125" s="3359">
        <v>1</v>
      </c>
      <c r="C125" s="3359" t="s">
        <v>3153</v>
      </c>
      <c r="D125" s="3359">
        <v>1997</v>
      </c>
      <c r="E125" s="3358">
        <v>16.84</v>
      </c>
      <c r="I125" s="3387">
        <v>85</v>
      </c>
      <c r="J125" s="3387">
        <v>1</v>
      </c>
      <c r="K125" s="3387" t="s">
        <v>3208</v>
      </c>
      <c r="L125" s="3387">
        <v>1997</v>
      </c>
      <c r="M125" s="3387">
        <v>93.22</v>
      </c>
      <c r="N125" s="3387">
        <v>1200</v>
      </c>
      <c r="O125" s="3387"/>
      <c r="P125">
        <f t="shared" si="2"/>
        <v>111864</v>
      </c>
    </row>
    <row r="126" spans="1:16">
      <c r="A126" s="3359">
        <v>93</v>
      </c>
      <c r="B126" s="3359">
        <v>2</v>
      </c>
      <c r="C126" s="3359" t="s">
        <v>3153</v>
      </c>
      <c r="D126" s="3359">
        <v>1997</v>
      </c>
      <c r="E126" s="3358">
        <v>70.52</v>
      </c>
      <c r="I126" s="3390">
        <v>86</v>
      </c>
      <c r="J126" s="3390">
        <v>1</v>
      </c>
      <c r="K126" s="3390" t="s">
        <v>3208</v>
      </c>
      <c r="L126" s="3390">
        <v>1997</v>
      </c>
      <c r="M126" s="3390">
        <v>101.32</v>
      </c>
      <c r="N126" s="3387">
        <v>1200</v>
      </c>
      <c r="O126" s="3387"/>
      <c r="P126">
        <f t="shared" si="2"/>
        <v>121584</v>
      </c>
    </row>
    <row r="127" spans="1:16">
      <c r="A127" s="3359">
        <v>94</v>
      </c>
      <c r="B127" s="3359">
        <v>2</v>
      </c>
      <c r="C127" s="3359" t="s">
        <v>3153</v>
      </c>
      <c r="D127" s="3359">
        <v>1997</v>
      </c>
      <c r="E127" s="3358">
        <v>37.64</v>
      </c>
      <c r="I127" s="3387">
        <v>87</v>
      </c>
      <c r="J127" s="3387">
        <v>1</v>
      </c>
      <c r="K127" s="3387" t="s">
        <v>3208</v>
      </c>
      <c r="L127" s="3387">
        <v>1997</v>
      </c>
      <c r="M127" s="3387">
        <v>83.03</v>
      </c>
      <c r="N127" s="3387">
        <v>1200</v>
      </c>
      <c r="O127" s="3387"/>
      <c r="P127">
        <f t="shared" si="2"/>
        <v>99636</v>
      </c>
    </row>
    <row r="128" spans="1:16">
      <c r="A128" s="3359">
        <v>95</v>
      </c>
      <c r="B128" s="3359">
        <v>2</v>
      </c>
      <c r="C128" s="3359" t="s">
        <v>3153</v>
      </c>
      <c r="D128" s="3359">
        <v>1997</v>
      </c>
      <c r="E128" s="3358">
        <v>178.44</v>
      </c>
      <c r="I128" s="3387">
        <v>88</v>
      </c>
      <c r="J128" s="3387">
        <v>1</v>
      </c>
      <c r="K128" s="3387" t="s">
        <v>3208</v>
      </c>
      <c r="L128" s="3387">
        <v>1997</v>
      </c>
      <c r="M128" s="3387">
        <v>82.51</v>
      </c>
      <c r="N128" s="3387">
        <v>1200</v>
      </c>
      <c r="O128" s="3387"/>
      <c r="P128">
        <f t="shared" si="2"/>
        <v>99012</v>
      </c>
    </row>
    <row r="129" spans="1:16">
      <c r="A129" s="3359">
        <v>96</v>
      </c>
      <c r="B129" s="3359">
        <v>1</v>
      </c>
      <c r="C129" s="3359" t="s">
        <v>3153</v>
      </c>
      <c r="D129" s="3359">
        <v>1997</v>
      </c>
      <c r="E129" s="3358">
        <v>61.02</v>
      </c>
      <c r="I129" s="3387">
        <v>89</v>
      </c>
      <c r="J129" s="3387">
        <v>1</v>
      </c>
      <c r="K129" s="3387" t="s">
        <v>3208</v>
      </c>
      <c r="L129" s="3387">
        <v>1997</v>
      </c>
      <c r="M129" s="3387">
        <v>9.82</v>
      </c>
      <c r="N129" s="3387">
        <v>1200</v>
      </c>
      <c r="O129" s="3387"/>
      <c r="P129">
        <f t="shared" si="2"/>
        <v>11784</v>
      </c>
    </row>
    <row r="130" spans="1:16">
      <c r="A130" s="3359">
        <v>97</v>
      </c>
      <c r="B130" s="3359">
        <v>1</v>
      </c>
      <c r="C130" s="3359" t="s">
        <v>3153</v>
      </c>
      <c r="D130" s="3359">
        <v>1997</v>
      </c>
      <c r="E130" s="3358">
        <v>39.94</v>
      </c>
      <c r="I130" s="3387">
        <v>90</v>
      </c>
      <c r="J130" s="3387">
        <v>1</v>
      </c>
      <c r="K130" s="3387" t="s">
        <v>3208</v>
      </c>
      <c r="L130" s="3387">
        <v>1997</v>
      </c>
      <c r="M130" s="3387">
        <v>9.82</v>
      </c>
      <c r="N130" s="3387">
        <v>1200</v>
      </c>
      <c r="O130" s="3387"/>
      <c r="P130">
        <f t="shared" si="2"/>
        <v>11784</v>
      </c>
    </row>
    <row r="131" spans="1:16">
      <c r="A131" s="3359">
        <v>98</v>
      </c>
      <c r="B131" s="3359">
        <v>1</v>
      </c>
      <c r="C131" s="3359" t="s">
        <v>3153</v>
      </c>
      <c r="D131" s="3359">
        <v>1997</v>
      </c>
      <c r="E131" s="3358">
        <v>45.06</v>
      </c>
      <c r="I131" s="3387">
        <v>91</v>
      </c>
      <c r="J131" s="3387">
        <v>1</v>
      </c>
      <c r="K131" s="3387" t="s">
        <v>3208</v>
      </c>
      <c r="L131" s="3387">
        <v>1997</v>
      </c>
      <c r="M131" s="3387">
        <v>244.11</v>
      </c>
      <c r="N131" s="3387">
        <v>1200</v>
      </c>
      <c r="O131" s="3387"/>
      <c r="P131">
        <f t="shared" si="2"/>
        <v>292932</v>
      </c>
    </row>
    <row r="132" spans="1:16">
      <c r="A132" s="3359">
        <v>99</v>
      </c>
      <c r="B132" s="3359">
        <v>11</v>
      </c>
      <c r="C132" s="3359" t="s">
        <v>3153</v>
      </c>
      <c r="D132" s="3359">
        <v>1997</v>
      </c>
      <c r="E132" s="3358">
        <v>12.26</v>
      </c>
      <c r="I132" s="3387">
        <v>92</v>
      </c>
      <c r="J132" s="3387">
        <v>1</v>
      </c>
      <c r="K132" s="3387" t="s">
        <v>3208</v>
      </c>
      <c r="L132" s="3387">
        <v>1997</v>
      </c>
      <c r="M132" s="3387">
        <v>16.84</v>
      </c>
      <c r="N132" s="3387">
        <v>1200</v>
      </c>
      <c r="O132" s="3387"/>
      <c r="P132">
        <f t="shared" si="2"/>
        <v>20208</v>
      </c>
    </row>
    <row r="133" spans="1:16">
      <c r="A133" s="3359">
        <v>100</v>
      </c>
      <c r="B133" s="3359">
        <v>1</v>
      </c>
      <c r="C133" s="3359" t="s">
        <v>3153</v>
      </c>
      <c r="D133" s="3359">
        <v>1997</v>
      </c>
      <c r="E133" s="3358">
        <v>111.3</v>
      </c>
      <c r="I133" s="3387">
        <v>93</v>
      </c>
      <c r="J133" s="3387">
        <v>2</v>
      </c>
      <c r="K133" s="3387" t="s">
        <v>3208</v>
      </c>
      <c r="L133" s="3387">
        <v>1997</v>
      </c>
      <c r="M133" s="3387">
        <v>70.52</v>
      </c>
      <c r="N133" s="3387">
        <v>1200</v>
      </c>
      <c r="O133" s="3387"/>
      <c r="P133">
        <f t="shared" si="2"/>
        <v>84624</v>
      </c>
    </row>
    <row r="134" spans="1:16">
      <c r="A134" s="3359">
        <v>101</v>
      </c>
      <c r="B134" s="3359">
        <v>1</v>
      </c>
      <c r="C134" s="3359" t="s">
        <v>3153</v>
      </c>
      <c r="D134" s="3359">
        <v>1997</v>
      </c>
      <c r="E134" s="3358">
        <v>16.239999999999998</v>
      </c>
      <c r="I134" s="3387">
        <v>94</v>
      </c>
      <c r="J134" s="3387">
        <v>2</v>
      </c>
      <c r="K134" s="3387" t="s">
        <v>3208</v>
      </c>
      <c r="L134" s="3387">
        <v>1997</v>
      </c>
      <c r="M134" s="3387">
        <v>37.64</v>
      </c>
      <c r="N134" s="3387">
        <v>1200</v>
      </c>
      <c r="O134" s="3387"/>
      <c r="P134">
        <f t="shared" si="2"/>
        <v>45168</v>
      </c>
    </row>
    <row r="135" spans="1:16">
      <c r="A135" s="3359">
        <v>102</v>
      </c>
      <c r="B135" s="3359">
        <v>2</v>
      </c>
      <c r="C135" s="3359" t="s">
        <v>3153</v>
      </c>
      <c r="D135" s="3359">
        <v>1997</v>
      </c>
      <c r="E135" s="3358">
        <v>1246.02</v>
      </c>
      <c r="I135" s="3387">
        <v>95</v>
      </c>
      <c r="J135" s="3387">
        <v>2</v>
      </c>
      <c r="K135" s="3387" t="s">
        <v>3208</v>
      </c>
      <c r="L135" s="3387">
        <v>1997</v>
      </c>
      <c r="M135" s="3387">
        <v>178.44</v>
      </c>
      <c r="N135" s="3387">
        <v>1200</v>
      </c>
      <c r="O135" s="3387"/>
      <c r="P135">
        <f t="shared" si="2"/>
        <v>214128</v>
      </c>
    </row>
    <row r="136" spans="1:16">
      <c r="A136" s="3359">
        <v>103</v>
      </c>
      <c r="B136" s="3359">
        <v>1</v>
      </c>
      <c r="C136" s="3359" t="s">
        <v>3153</v>
      </c>
      <c r="D136" s="3359">
        <v>1997</v>
      </c>
      <c r="E136" s="3358">
        <v>22.31</v>
      </c>
      <c r="I136" s="3387">
        <v>96</v>
      </c>
      <c r="J136" s="3387">
        <v>1</v>
      </c>
      <c r="K136" s="3387" t="s">
        <v>3208</v>
      </c>
      <c r="L136" s="3387">
        <v>1997</v>
      </c>
      <c r="M136" s="3387">
        <v>61.02</v>
      </c>
      <c r="N136" s="3387">
        <v>1200</v>
      </c>
      <c r="O136" s="3387"/>
      <c r="P136">
        <f t="shared" si="2"/>
        <v>73224</v>
      </c>
    </row>
    <row r="137" spans="1:16">
      <c r="A137" s="3359">
        <v>104</v>
      </c>
      <c r="B137" s="3359">
        <v>2</v>
      </c>
      <c r="C137" s="3359" t="s">
        <v>3153</v>
      </c>
      <c r="D137" s="3359">
        <v>1997</v>
      </c>
      <c r="E137" s="3358">
        <v>96.7</v>
      </c>
      <c r="I137" s="3387">
        <v>97</v>
      </c>
      <c r="J137" s="3387">
        <v>1</v>
      </c>
      <c r="K137" s="3387" t="s">
        <v>3208</v>
      </c>
      <c r="L137" s="3387">
        <v>1997</v>
      </c>
      <c r="M137" s="3387">
        <v>39.94</v>
      </c>
      <c r="N137" s="3387">
        <v>1200</v>
      </c>
      <c r="O137" s="3387"/>
      <c r="P137">
        <f t="shared" si="2"/>
        <v>47928</v>
      </c>
    </row>
    <row r="138" spans="1:16">
      <c r="A138" s="3359">
        <v>105</v>
      </c>
      <c r="B138" s="3359">
        <v>2</v>
      </c>
      <c r="C138" s="3359" t="s">
        <v>3153</v>
      </c>
      <c r="D138" s="3359">
        <v>1997</v>
      </c>
      <c r="E138" s="3358">
        <v>236.2</v>
      </c>
      <c r="I138" s="3387">
        <v>98</v>
      </c>
      <c r="J138" s="3387">
        <v>1</v>
      </c>
      <c r="K138" s="3387" t="s">
        <v>3208</v>
      </c>
      <c r="L138" s="3387">
        <v>1997</v>
      </c>
      <c r="M138" s="3387">
        <v>45.06</v>
      </c>
      <c r="N138" s="3387">
        <v>1200</v>
      </c>
      <c r="O138" s="3387"/>
      <c r="P138">
        <f t="shared" si="2"/>
        <v>54072</v>
      </c>
    </row>
    <row r="139" spans="1:16">
      <c r="A139" s="3359">
        <v>106</v>
      </c>
      <c r="B139" s="3359">
        <v>1</v>
      </c>
      <c r="C139" s="3359" t="s">
        <v>3153</v>
      </c>
      <c r="D139" s="3359">
        <v>1997</v>
      </c>
      <c r="E139" s="3358">
        <v>58.62</v>
      </c>
      <c r="I139" s="3387">
        <v>99</v>
      </c>
      <c r="J139" s="3387">
        <v>11</v>
      </c>
      <c r="K139" s="3387" t="s">
        <v>3208</v>
      </c>
      <c r="L139" s="3387">
        <v>1997</v>
      </c>
      <c r="M139" s="3387">
        <v>12.26</v>
      </c>
      <c r="N139" s="3387">
        <v>1200</v>
      </c>
      <c r="O139" s="3387"/>
      <c r="P139">
        <f t="shared" si="2"/>
        <v>14712</v>
      </c>
    </row>
    <row r="140" spans="1:16">
      <c r="A140" s="3359">
        <v>107</v>
      </c>
      <c r="B140" s="3359">
        <v>1</v>
      </c>
      <c r="C140" s="3359" t="s">
        <v>3153</v>
      </c>
      <c r="D140" s="3359">
        <v>1997</v>
      </c>
      <c r="E140" s="3358">
        <v>45.59</v>
      </c>
      <c r="I140" s="3387">
        <v>100</v>
      </c>
      <c r="J140" s="3387">
        <v>1</v>
      </c>
      <c r="K140" s="3387" t="s">
        <v>3208</v>
      </c>
      <c r="L140" s="3387">
        <v>1997</v>
      </c>
      <c r="M140" s="3387">
        <v>111.3</v>
      </c>
      <c r="N140" s="3387">
        <v>1200</v>
      </c>
      <c r="O140" s="3387"/>
      <c r="P140">
        <f t="shared" si="2"/>
        <v>133560</v>
      </c>
    </row>
    <row r="141" spans="1:16">
      <c r="A141" s="3359">
        <v>108</v>
      </c>
      <c r="B141" s="3359">
        <v>2</v>
      </c>
      <c r="C141" s="3359" t="s">
        <v>3153</v>
      </c>
      <c r="D141" s="3359">
        <v>1997</v>
      </c>
      <c r="E141" s="3358">
        <v>121.86</v>
      </c>
      <c r="I141" s="3390">
        <v>101</v>
      </c>
      <c r="J141" s="3390">
        <v>1</v>
      </c>
      <c r="K141" s="3390" t="s">
        <v>3208</v>
      </c>
      <c r="L141" s="3390">
        <v>1997</v>
      </c>
      <c r="M141" s="3390">
        <v>16.239999999999998</v>
      </c>
      <c r="N141" s="3387">
        <v>1200</v>
      </c>
      <c r="O141" s="3387"/>
      <c r="P141">
        <f t="shared" si="2"/>
        <v>19488</v>
      </c>
    </row>
    <row r="142" spans="1:16">
      <c r="A142" s="3359">
        <v>109</v>
      </c>
      <c r="B142" s="3359">
        <v>2</v>
      </c>
      <c r="C142" s="3359" t="s">
        <v>3153</v>
      </c>
      <c r="D142" s="3359">
        <v>1997</v>
      </c>
      <c r="E142" s="3358">
        <v>299.18</v>
      </c>
      <c r="I142" s="3387">
        <v>102</v>
      </c>
      <c r="J142" s="3387">
        <v>2</v>
      </c>
      <c r="K142" s="3387" t="s">
        <v>3208</v>
      </c>
      <c r="L142" s="3387">
        <v>1997</v>
      </c>
      <c r="M142" s="3387">
        <v>1246.02</v>
      </c>
      <c r="N142" s="3387">
        <v>1200</v>
      </c>
      <c r="O142" s="3387"/>
      <c r="P142">
        <f t="shared" si="2"/>
        <v>1495224</v>
      </c>
    </row>
    <row r="143" spans="1:16">
      <c r="A143" s="3359">
        <v>110</v>
      </c>
      <c r="B143" s="3359">
        <v>1</v>
      </c>
      <c r="C143" s="3359" t="s">
        <v>3153</v>
      </c>
      <c r="D143" s="3359">
        <v>1997</v>
      </c>
      <c r="E143" s="3358">
        <v>94.42</v>
      </c>
      <c r="I143" s="3387">
        <v>103</v>
      </c>
      <c r="J143" s="3387">
        <v>1</v>
      </c>
      <c r="K143" s="3387" t="s">
        <v>3208</v>
      </c>
      <c r="L143" s="3387">
        <v>1997</v>
      </c>
      <c r="M143" s="3387">
        <v>22.31</v>
      </c>
      <c r="N143" s="3387">
        <v>1200</v>
      </c>
      <c r="O143" s="3387"/>
      <c r="P143">
        <f t="shared" si="2"/>
        <v>26772</v>
      </c>
    </row>
    <row r="144" spans="1:16">
      <c r="A144" s="3359">
        <v>111</v>
      </c>
      <c r="B144" s="3359">
        <v>1</v>
      </c>
      <c r="C144" s="3359" t="s">
        <v>3153</v>
      </c>
      <c r="D144" s="3359">
        <v>1997</v>
      </c>
      <c r="E144" s="3358">
        <v>33.76</v>
      </c>
      <c r="I144" s="3387">
        <v>104</v>
      </c>
      <c r="J144" s="3387">
        <v>2</v>
      </c>
      <c r="K144" s="3387" t="s">
        <v>3208</v>
      </c>
      <c r="L144" s="3387">
        <v>1997</v>
      </c>
      <c r="M144" s="3387">
        <v>96.7</v>
      </c>
      <c r="N144" s="3387">
        <v>1200</v>
      </c>
      <c r="O144" s="3387"/>
      <c r="P144">
        <f t="shared" si="2"/>
        <v>116040</v>
      </c>
    </row>
    <row r="145" spans="1:16">
      <c r="A145" s="3359">
        <v>112</v>
      </c>
      <c r="B145" s="3359">
        <v>1</v>
      </c>
      <c r="C145" s="3359" t="s">
        <v>3153</v>
      </c>
      <c r="D145" s="3359">
        <v>1997</v>
      </c>
      <c r="E145" s="3358">
        <v>265.08999999999997</v>
      </c>
      <c r="I145" s="3387">
        <v>105</v>
      </c>
      <c r="J145" s="3387">
        <v>2</v>
      </c>
      <c r="K145" s="3387" t="s">
        <v>3208</v>
      </c>
      <c r="L145" s="3387">
        <v>1997</v>
      </c>
      <c r="M145" s="3387">
        <v>236.2</v>
      </c>
      <c r="N145" s="3387">
        <v>1200</v>
      </c>
      <c r="O145" s="3387"/>
      <c r="P145">
        <f t="shared" si="2"/>
        <v>283440</v>
      </c>
    </row>
    <row r="146" spans="1:16">
      <c r="A146" s="3359">
        <v>113</v>
      </c>
      <c r="B146" s="3359">
        <v>2</v>
      </c>
      <c r="C146" s="3359" t="s">
        <v>3153</v>
      </c>
      <c r="D146" s="3359">
        <v>1997</v>
      </c>
      <c r="E146" s="3358">
        <v>124.94</v>
      </c>
      <c r="I146" s="3387">
        <v>106</v>
      </c>
      <c r="J146" s="3387">
        <v>1</v>
      </c>
      <c r="K146" s="3387" t="s">
        <v>3208</v>
      </c>
      <c r="L146" s="3387">
        <v>1997</v>
      </c>
      <c r="M146" s="3387">
        <v>58.62</v>
      </c>
      <c r="N146" s="3387">
        <v>1200</v>
      </c>
      <c r="O146" s="3387"/>
      <c r="P146">
        <f t="shared" si="2"/>
        <v>70344</v>
      </c>
    </row>
    <row r="147" spans="1:16">
      <c r="A147" s="3359">
        <v>114</v>
      </c>
      <c r="B147" s="3359">
        <v>2</v>
      </c>
      <c r="C147" s="3359" t="s">
        <v>3153</v>
      </c>
      <c r="D147" s="3359">
        <v>1997</v>
      </c>
      <c r="E147" s="3358">
        <v>250.39</v>
      </c>
      <c r="I147" s="3387">
        <v>107</v>
      </c>
      <c r="J147" s="3387">
        <v>1</v>
      </c>
      <c r="K147" s="3387" t="s">
        <v>3208</v>
      </c>
      <c r="L147" s="3387">
        <v>1997</v>
      </c>
      <c r="M147" s="3387">
        <v>45.59</v>
      </c>
      <c r="N147" s="3387">
        <v>1200</v>
      </c>
      <c r="O147" s="3387"/>
      <c r="P147">
        <f t="shared" si="2"/>
        <v>54708</v>
      </c>
    </row>
    <row r="148" spans="1:16">
      <c r="A148" s="3359">
        <v>115</v>
      </c>
      <c r="B148" s="3359">
        <v>1</v>
      </c>
      <c r="C148" s="3359" t="s">
        <v>3153</v>
      </c>
      <c r="D148" s="3359">
        <v>1997</v>
      </c>
      <c r="E148" s="3358">
        <v>48.95</v>
      </c>
      <c r="I148" s="3387">
        <v>108</v>
      </c>
      <c r="J148" s="3387">
        <v>2</v>
      </c>
      <c r="K148" s="3387" t="s">
        <v>3208</v>
      </c>
      <c r="L148" s="3387">
        <v>1997</v>
      </c>
      <c r="M148" s="3387">
        <v>121.86</v>
      </c>
      <c r="N148" s="3387">
        <v>1200</v>
      </c>
      <c r="O148" s="3387"/>
      <c r="P148">
        <f t="shared" si="2"/>
        <v>146232</v>
      </c>
    </row>
    <row r="149" spans="1:16">
      <c r="A149" s="3359">
        <v>116</v>
      </c>
      <c r="B149" s="3359">
        <v>1</v>
      </c>
      <c r="C149" s="3359" t="s">
        <v>3153</v>
      </c>
      <c r="D149" s="3359">
        <v>1997</v>
      </c>
      <c r="E149" s="3358">
        <v>108.85</v>
      </c>
      <c r="I149" s="3387">
        <v>109</v>
      </c>
      <c r="J149" s="3387">
        <v>2</v>
      </c>
      <c r="K149" s="3387" t="s">
        <v>3208</v>
      </c>
      <c r="L149" s="3387">
        <v>1997</v>
      </c>
      <c r="M149" s="3387">
        <v>299.18</v>
      </c>
      <c r="N149" s="3387">
        <v>1200</v>
      </c>
      <c r="O149" s="3387"/>
      <c r="P149">
        <f t="shared" si="2"/>
        <v>359016</v>
      </c>
    </row>
    <row r="150" spans="1:16">
      <c r="A150" s="3359">
        <v>117</v>
      </c>
      <c r="B150" s="3359">
        <v>1</v>
      </c>
      <c r="C150" s="3359" t="s">
        <v>3153</v>
      </c>
      <c r="D150" s="3359">
        <v>1997</v>
      </c>
      <c r="E150" s="3358">
        <v>48.95</v>
      </c>
      <c r="I150" s="3387">
        <v>110</v>
      </c>
      <c r="J150" s="3387">
        <v>1</v>
      </c>
      <c r="K150" s="3387" t="s">
        <v>3208</v>
      </c>
      <c r="L150" s="3387">
        <v>1997</v>
      </c>
      <c r="M150" s="3387">
        <v>94.42</v>
      </c>
      <c r="N150" s="3387">
        <v>1200</v>
      </c>
      <c r="O150" s="3387"/>
      <c r="P150">
        <f t="shared" si="2"/>
        <v>113304</v>
      </c>
    </row>
    <row r="151" spans="1:16">
      <c r="A151" s="3359">
        <v>118</v>
      </c>
      <c r="B151" s="3359">
        <v>1</v>
      </c>
      <c r="C151" s="3359" t="s">
        <v>3153</v>
      </c>
      <c r="D151" s="3359">
        <v>1997</v>
      </c>
      <c r="E151" s="3358">
        <v>59.28</v>
      </c>
      <c r="I151" s="3387">
        <v>111</v>
      </c>
      <c r="J151" s="3387">
        <v>1</v>
      </c>
      <c r="K151" s="3387" t="s">
        <v>3208</v>
      </c>
      <c r="L151" s="3387">
        <v>1997</v>
      </c>
      <c r="M151" s="3387">
        <v>33.76</v>
      </c>
      <c r="N151" s="3387">
        <v>1200</v>
      </c>
      <c r="O151" s="3387"/>
      <c r="P151">
        <f t="shared" si="2"/>
        <v>40512</v>
      </c>
    </row>
    <row r="152" spans="1:16">
      <c r="A152" s="3359">
        <v>119</v>
      </c>
      <c r="B152" s="3359">
        <v>1</v>
      </c>
      <c r="C152" s="3359" t="s">
        <v>3153</v>
      </c>
      <c r="D152" s="3359">
        <v>1997</v>
      </c>
      <c r="E152" s="3358">
        <v>67.86</v>
      </c>
      <c r="I152" s="3387">
        <v>112</v>
      </c>
      <c r="J152" s="3387">
        <v>1</v>
      </c>
      <c r="K152" s="3387" t="s">
        <v>3208</v>
      </c>
      <c r="L152" s="3387">
        <v>1997</v>
      </c>
      <c r="M152" s="3387">
        <v>265.08999999999997</v>
      </c>
      <c r="N152" s="3387">
        <v>1200</v>
      </c>
      <c r="O152" s="3387"/>
      <c r="P152">
        <f t="shared" si="2"/>
        <v>318108</v>
      </c>
    </row>
    <row r="153" spans="1:16">
      <c r="A153" s="3359">
        <v>120</v>
      </c>
      <c r="B153" s="3359">
        <v>1</v>
      </c>
      <c r="C153" s="3359" t="s">
        <v>3153</v>
      </c>
      <c r="D153" s="3359">
        <v>1997</v>
      </c>
      <c r="E153" s="3358">
        <v>40.869999999999997</v>
      </c>
      <c r="I153" s="3387">
        <v>113</v>
      </c>
      <c r="J153" s="3387">
        <v>2</v>
      </c>
      <c r="K153" s="3387" t="s">
        <v>3208</v>
      </c>
      <c r="L153" s="3387">
        <v>1997</v>
      </c>
      <c r="M153" s="3387">
        <v>124.94</v>
      </c>
      <c r="N153" s="3387">
        <v>1200</v>
      </c>
      <c r="O153" s="3387"/>
      <c r="P153">
        <f t="shared" si="2"/>
        <v>149928</v>
      </c>
    </row>
    <row r="154" spans="1:16">
      <c r="A154" s="3359">
        <v>121</v>
      </c>
      <c r="B154" s="3359">
        <v>1</v>
      </c>
      <c r="C154" s="3359" t="s">
        <v>3153</v>
      </c>
      <c r="D154" s="3359">
        <v>1997</v>
      </c>
      <c r="E154" s="3358">
        <v>11.14</v>
      </c>
      <c r="I154" s="3387">
        <v>114</v>
      </c>
      <c r="J154" s="3387">
        <v>2</v>
      </c>
      <c r="K154" s="3387" t="s">
        <v>3208</v>
      </c>
      <c r="L154" s="3387">
        <v>1997</v>
      </c>
      <c r="M154" s="3387">
        <v>250.39</v>
      </c>
      <c r="N154" s="3387">
        <v>1200</v>
      </c>
      <c r="O154" s="3387"/>
      <c r="P154">
        <f t="shared" si="2"/>
        <v>300468</v>
      </c>
    </row>
    <row r="155" spans="1:16">
      <c r="A155" s="3359">
        <v>122</v>
      </c>
      <c r="B155" s="3359">
        <v>2</v>
      </c>
      <c r="C155" s="3359" t="s">
        <v>3153</v>
      </c>
      <c r="D155" s="3359">
        <v>1997</v>
      </c>
      <c r="E155" s="3358">
        <v>355.77</v>
      </c>
      <c r="I155" s="3387">
        <v>115</v>
      </c>
      <c r="J155" s="3387">
        <v>1</v>
      </c>
      <c r="K155" s="3387" t="s">
        <v>3208</v>
      </c>
      <c r="L155" s="3387">
        <v>1997</v>
      </c>
      <c r="M155" s="3387">
        <v>48.95</v>
      </c>
      <c r="N155" s="3387">
        <v>1200</v>
      </c>
      <c r="O155" s="3387"/>
      <c r="P155">
        <f t="shared" si="2"/>
        <v>58740</v>
      </c>
    </row>
    <row r="156" spans="1:16">
      <c r="A156" s="3359">
        <v>123</v>
      </c>
      <c r="B156" s="3359">
        <v>1</v>
      </c>
      <c r="C156" s="3359" t="s">
        <v>3153</v>
      </c>
      <c r="D156" s="3359">
        <v>1997</v>
      </c>
      <c r="E156" s="3358">
        <v>32.340000000000003</v>
      </c>
      <c r="I156" s="3390">
        <v>116</v>
      </c>
      <c r="J156" s="3390">
        <v>1</v>
      </c>
      <c r="K156" s="3390" t="s">
        <v>3208</v>
      </c>
      <c r="L156" s="3390">
        <v>1997</v>
      </c>
      <c r="M156" s="3390">
        <v>108.85</v>
      </c>
      <c r="N156" s="3387">
        <v>1200</v>
      </c>
      <c r="O156" s="3387"/>
      <c r="P156">
        <f t="shared" si="2"/>
        <v>130620</v>
      </c>
    </row>
    <row r="157" spans="1:16">
      <c r="A157" s="3359">
        <v>124</v>
      </c>
      <c r="B157" s="3359">
        <v>2</v>
      </c>
      <c r="C157" s="3359" t="s">
        <v>3153</v>
      </c>
      <c r="D157" s="3359">
        <v>1997</v>
      </c>
      <c r="E157" s="3358">
        <v>732.62</v>
      </c>
      <c r="I157" s="3387">
        <v>117</v>
      </c>
      <c r="J157" s="3387">
        <v>1</v>
      </c>
      <c r="K157" s="3387" t="s">
        <v>3208</v>
      </c>
      <c r="L157" s="3387">
        <v>1997</v>
      </c>
      <c r="M157" s="3387">
        <v>48.95</v>
      </c>
      <c r="N157" s="3387">
        <v>1200</v>
      </c>
      <c r="O157" s="3387"/>
      <c r="P157">
        <f t="shared" si="2"/>
        <v>58740</v>
      </c>
    </row>
    <row r="158" spans="1:16">
      <c r="A158" s="3359">
        <v>125</v>
      </c>
      <c r="B158" s="3359">
        <v>2</v>
      </c>
      <c r="C158" s="3359" t="s">
        <v>3153</v>
      </c>
      <c r="D158" s="3359">
        <v>1997</v>
      </c>
      <c r="E158" s="3358">
        <v>124.37</v>
      </c>
      <c r="I158" s="3387">
        <v>118</v>
      </c>
      <c r="J158" s="3387">
        <v>1</v>
      </c>
      <c r="K158" s="3387" t="s">
        <v>3208</v>
      </c>
      <c r="L158" s="3387">
        <v>1997</v>
      </c>
      <c r="M158" s="3387">
        <v>59.28</v>
      </c>
      <c r="N158" s="3387">
        <v>1200</v>
      </c>
      <c r="O158" s="3387"/>
      <c r="P158">
        <f t="shared" si="2"/>
        <v>71136</v>
      </c>
    </row>
    <row r="159" spans="1:16">
      <c r="A159" s="3359">
        <v>126</v>
      </c>
      <c r="B159" s="3359">
        <v>2</v>
      </c>
      <c r="C159" s="3359" t="s">
        <v>3153</v>
      </c>
      <c r="D159" s="3359">
        <v>1997</v>
      </c>
      <c r="E159" s="3358">
        <v>130.19999999999999</v>
      </c>
      <c r="I159" s="3387">
        <v>119</v>
      </c>
      <c r="J159" s="3387">
        <v>1</v>
      </c>
      <c r="K159" s="3387" t="s">
        <v>3208</v>
      </c>
      <c r="L159" s="3387">
        <v>1997</v>
      </c>
      <c r="M159" s="3387">
        <v>67.86</v>
      </c>
      <c r="N159" s="3387">
        <v>1200</v>
      </c>
      <c r="O159" s="3387"/>
      <c r="P159">
        <f t="shared" si="2"/>
        <v>81432</v>
      </c>
    </row>
    <row r="160" spans="1:16">
      <c r="A160" s="3359">
        <v>127</v>
      </c>
      <c r="B160" s="3359">
        <v>2</v>
      </c>
      <c r="C160" s="3359" t="s">
        <v>3153</v>
      </c>
      <c r="D160" s="3359">
        <v>1997</v>
      </c>
      <c r="E160" s="3358">
        <v>253.49</v>
      </c>
      <c r="I160" s="3387">
        <v>120</v>
      </c>
      <c r="J160" s="3387">
        <v>1</v>
      </c>
      <c r="K160" s="3387" t="s">
        <v>3208</v>
      </c>
      <c r="L160" s="3387">
        <v>1997</v>
      </c>
      <c r="M160" s="3387">
        <v>40.869999999999997</v>
      </c>
      <c r="N160" s="3387">
        <v>1200</v>
      </c>
      <c r="O160" s="3387"/>
      <c r="P160">
        <f t="shared" si="2"/>
        <v>49044</v>
      </c>
    </row>
    <row r="161" spans="1:16">
      <c r="A161" s="3810" t="s">
        <v>3154</v>
      </c>
      <c r="B161" s="3810"/>
      <c r="C161" s="3810"/>
      <c r="D161" s="3810"/>
      <c r="E161" s="3358">
        <f>SUM(E40:E160)</f>
        <v>12736.12000000001</v>
      </c>
      <c r="I161" s="3387">
        <v>121</v>
      </c>
      <c r="J161" s="3387">
        <v>1</v>
      </c>
      <c r="K161" s="3387" t="s">
        <v>3208</v>
      </c>
      <c r="L161" s="3387">
        <v>1997</v>
      </c>
      <c r="M161" s="3387">
        <v>11.14</v>
      </c>
      <c r="N161" s="3387">
        <v>1200</v>
      </c>
      <c r="O161" s="3387"/>
      <c r="P161">
        <f t="shared" si="2"/>
        <v>13368</v>
      </c>
    </row>
    <row r="162" spans="1:16">
      <c r="I162" s="3387">
        <v>122</v>
      </c>
      <c r="J162" s="3387">
        <v>2</v>
      </c>
      <c r="K162" s="3387" t="s">
        <v>3208</v>
      </c>
      <c r="L162" s="3387">
        <v>1997</v>
      </c>
      <c r="M162" s="3387">
        <v>355.77</v>
      </c>
      <c r="N162" s="3387">
        <v>1200</v>
      </c>
      <c r="O162" s="3387"/>
      <c r="P162">
        <f t="shared" si="2"/>
        <v>426924</v>
      </c>
    </row>
    <row r="163" spans="1:16">
      <c r="I163" s="3387">
        <v>123</v>
      </c>
      <c r="J163" s="3387">
        <v>1</v>
      </c>
      <c r="K163" s="3387" t="s">
        <v>3208</v>
      </c>
      <c r="L163" s="3387">
        <v>1997</v>
      </c>
      <c r="M163" s="3387">
        <v>32.340000000000003</v>
      </c>
      <c r="N163" s="3387">
        <v>1200</v>
      </c>
      <c r="O163" s="3387"/>
      <c r="P163">
        <f t="shared" si="2"/>
        <v>38808</v>
      </c>
    </row>
    <row r="164" spans="1:16">
      <c r="A164" s="3360" t="s">
        <v>3157</v>
      </c>
      <c r="I164" s="3387">
        <v>124</v>
      </c>
      <c r="J164" s="3387">
        <v>2</v>
      </c>
      <c r="K164" s="3387" t="s">
        <v>3208</v>
      </c>
      <c r="L164" s="3387">
        <v>1997</v>
      </c>
      <c r="M164" s="3387">
        <v>732.62</v>
      </c>
      <c r="N164" s="3387">
        <v>1200</v>
      </c>
      <c r="O164" s="3387"/>
      <c r="P164">
        <f t="shared" si="2"/>
        <v>879144</v>
      </c>
    </row>
    <row r="165" spans="1:16">
      <c r="A165" s="3361">
        <f>E11+E161</f>
        <v>35094.070000000014</v>
      </c>
      <c r="I165" s="3387">
        <v>125</v>
      </c>
      <c r="J165" s="3387">
        <v>2</v>
      </c>
      <c r="K165" s="3387" t="s">
        <v>3208</v>
      </c>
      <c r="L165" s="3387">
        <v>1997</v>
      </c>
      <c r="M165" s="3387">
        <v>124.37</v>
      </c>
      <c r="N165" s="3387">
        <v>1200</v>
      </c>
      <c r="O165" s="3387"/>
      <c r="P165">
        <f t="shared" si="2"/>
        <v>149244</v>
      </c>
    </row>
    <row r="166" spans="1:16">
      <c r="A166" s="3360" t="s">
        <v>3158</v>
      </c>
      <c r="I166" s="3387">
        <v>126</v>
      </c>
      <c r="J166" s="3387">
        <v>2</v>
      </c>
      <c r="K166" s="3387" t="s">
        <v>3208</v>
      </c>
      <c r="L166" s="3387">
        <v>1997</v>
      </c>
      <c r="M166" s="3387">
        <v>130.19999999999999</v>
      </c>
      <c r="N166" s="3387">
        <v>1200</v>
      </c>
      <c r="O166" s="3387"/>
      <c r="P166">
        <f t="shared" si="2"/>
        <v>156240</v>
      </c>
    </row>
    <row r="167" spans="1:16">
      <c r="A167">
        <f>34270116.86/10000</f>
        <v>3427.0116859999998</v>
      </c>
      <c r="B167" s="3361"/>
      <c r="C167" s="3411">
        <f>A167*10000/A165/365</f>
        <v>2.6754016027006169</v>
      </c>
      <c r="I167" s="3390">
        <v>127</v>
      </c>
      <c r="J167" s="3390">
        <v>2</v>
      </c>
      <c r="K167" s="3390" t="s">
        <v>3208</v>
      </c>
      <c r="L167" s="3390">
        <v>1997</v>
      </c>
      <c r="M167" s="3390">
        <v>253.49</v>
      </c>
      <c r="N167" s="3387">
        <v>1200</v>
      </c>
      <c r="O167" s="3387"/>
      <c r="P167">
        <f t="shared" si="2"/>
        <v>304188</v>
      </c>
    </row>
    <row r="168" spans="1:16" ht="25.5">
      <c r="I168" s="3387"/>
      <c r="J168" s="3387"/>
      <c r="K168" s="3387"/>
      <c r="L168" s="3387"/>
      <c r="M168" s="3391">
        <f>SUM(M41:M167)</f>
        <v>13088.64000000001</v>
      </c>
      <c r="N168" s="3392">
        <f>M168-M41-M42-M43-M51-M66-M67</f>
        <v>12455.770000000011</v>
      </c>
      <c r="O168" s="3393" t="s">
        <v>3209</v>
      </c>
      <c r="P168" s="3394">
        <f>SUM(P41:P167)</f>
        <v>14946924</v>
      </c>
    </row>
    <row r="169" spans="1:16" ht="16.5" customHeight="1">
      <c r="A169" s="3360" t="s">
        <v>3225</v>
      </c>
      <c r="B169">
        <f>SUM(M52:M56)+M87</f>
        <v>352.52</v>
      </c>
      <c r="I169" s="3810" t="s">
        <v>3210</v>
      </c>
      <c r="J169" s="3810"/>
      <c r="K169" s="3810"/>
      <c r="L169" s="3810"/>
      <c r="M169" s="3810"/>
      <c r="N169" s="3395" t="s">
        <v>3203</v>
      </c>
      <c r="O169" s="3387" t="s">
        <v>3211</v>
      </c>
      <c r="P169" s="3396" t="s">
        <v>3205</v>
      </c>
    </row>
    <row r="170" spans="1:16">
      <c r="A170" s="3360" t="s">
        <v>3226</v>
      </c>
      <c r="B170" s="3361">
        <f>M168-E161</f>
        <v>352.52000000000044</v>
      </c>
      <c r="I170" s="3387">
        <v>1</v>
      </c>
      <c r="J170" s="3387">
        <v>2</v>
      </c>
      <c r="K170" s="3387" t="s">
        <v>3212</v>
      </c>
      <c r="L170" s="3387">
        <v>2009</v>
      </c>
      <c r="M170" s="3387">
        <v>1650</v>
      </c>
      <c r="N170" s="3397">
        <v>2800</v>
      </c>
      <c r="O170" s="3387" t="s">
        <v>3213</v>
      </c>
      <c r="P170">
        <f t="shared" ref="P170:P178" si="3">ROUND(N170*M170,0)</f>
        <v>4620000</v>
      </c>
    </row>
    <row r="171" spans="1:16">
      <c r="I171" s="3387">
        <v>2</v>
      </c>
      <c r="J171" s="3387">
        <v>1</v>
      </c>
      <c r="K171" s="3387" t="s">
        <v>3212</v>
      </c>
      <c r="L171" s="3387">
        <v>2009</v>
      </c>
      <c r="M171" s="3387">
        <v>209.4</v>
      </c>
      <c r="N171" s="3397">
        <v>1800</v>
      </c>
      <c r="O171" s="3387" t="s">
        <v>3214</v>
      </c>
      <c r="P171">
        <f t="shared" si="3"/>
        <v>376920</v>
      </c>
    </row>
    <row r="172" spans="1:16">
      <c r="I172" s="3387">
        <v>3</v>
      </c>
      <c r="J172" s="3387">
        <v>1</v>
      </c>
      <c r="K172" s="3387" t="s">
        <v>3212</v>
      </c>
      <c r="L172" s="3387">
        <v>2009</v>
      </c>
      <c r="M172" s="3387">
        <v>58</v>
      </c>
      <c r="N172" s="3397">
        <v>1800</v>
      </c>
      <c r="O172" s="3387" t="s">
        <v>3215</v>
      </c>
      <c r="P172">
        <f t="shared" si="3"/>
        <v>104400</v>
      </c>
    </row>
    <row r="173" spans="1:16">
      <c r="I173" s="3387">
        <v>4</v>
      </c>
      <c r="J173" s="3387">
        <v>1</v>
      </c>
      <c r="K173" s="3387" t="s">
        <v>3212</v>
      </c>
      <c r="L173" s="3387">
        <v>2009</v>
      </c>
      <c r="M173" s="3387">
        <v>342.7</v>
      </c>
      <c r="N173" s="3397">
        <v>2500</v>
      </c>
      <c r="O173" s="3387" t="s">
        <v>3216</v>
      </c>
      <c r="P173">
        <f t="shared" si="3"/>
        <v>856750</v>
      </c>
    </row>
    <row r="174" spans="1:16">
      <c r="I174" s="3387">
        <v>5</v>
      </c>
      <c r="J174" s="3387">
        <v>1</v>
      </c>
      <c r="K174" s="3387" t="s">
        <v>3212</v>
      </c>
      <c r="L174" s="3387">
        <v>2009</v>
      </c>
      <c r="M174" s="3387">
        <v>152</v>
      </c>
      <c r="N174" s="3397">
        <v>1800</v>
      </c>
      <c r="O174" s="3387" t="s">
        <v>3217</v>
      </c>
      <c r="P174">
        <f t="shared" si="3"/>
        <v>273600</v>
      </c>
    </row>
    <row r="175" spans="1:16">
      <c r="I175" s="3387">
        <v>6</v>
      </c>
      <c r="J175" s="3387">
        <v>1</v>
      </c>
      <c r="K175" s="3387" t="s">
        <v>3212</v>
      </c>
      <c r="L175" s="3387">
        <v>2009</v>
      </c>
      <c r="M175" s="3387">
        <v>540</v>
      </c>
      <c r="N175" s="3397">
        <f>N173</f>
        <v>2500</v>
      </c>
      <c r="O175" s="3387" t="s">
        <v>3218</v>
      </c>
      <c r="P175">
        <f t="shared" si="3"/>
        <v>1350000</v>
      </c>
    </row>
    <row r="176" spans="1:16">
      <c r="I176" s="3387">
        <v>7</v>
      </c>
      <c r="J176" s="3387">
        <v>1</v>
      </c>
      <c r="K176" s="3387" t="s">
        <v>3212</v>
      </c>
      <c r="L176" s="3387">
        <v>2009</v>
      </c>
      <c r="M176" s="3387">
        <v>42</v>
      </c>
      <c r="N176" s="3397">
        <v>2000</v>
      </c>
      <c r="O176" s="3387" t="s">
        <v>3219</v>
      </c>
      <c r="P176">
        <f t="shared" si="3"/>
        <v>84000</v>
      </c>
    </row>
    <row r="177" spans="9:16">
      <c r="I177" s="3387">
        <v>8</v>
      </c>
      <c r="J177" s="3387">
        <v>1</v>
      </c>
      <c r="K177" s="3387" t="s">
        <v>3212</v>
      </c>
      <c r="L177" s="3387">
        <v>2009</v>
      </c>
      <c r="M177" s="3387">
        <v>56</v>
      </c>
      <c r="N177" s="3397">
        <v>2000</v>
      </c>
      <c r="O177" s="3387" t="s">
        <v>3220</v>
      </c>
      <c r="P177">
        <f t="shared" si="3"/>
        <v>112000</v>
      </c>
    </row>
    <row r="178" spans="9:16">
      <c r="I178" s="3387">
        <v>9</v>
      </c>
      <c r="J178" s="3387">
        <v>2</v>
      </c>
      <c r="K178" s="3387" t="s">
        <v>3212</v>
      </c>
      <c r="L178" s="3387">
        <v>2009</v>
      </c>
      <c r="M178" s="3387">
        <v>215</v>
      </c>
      <c r="N178" s="3397">
        <v>1800</v>
      </c>
      <c r="O178" s="3387" t="s">
        <v>3221</v>
      </c>
      <c r="P178">
        <f t="shared" si="3"/>
        <v>387000</v>
      </c>
    </row>
    <row r="179" spans="9:16">
      <c r="I179" s="3387"/>
      <c r="J179" s="3387"/>
      <c r="K179" s="3387"/>
      <c r="L179" s="3387"/>
      <c r="M179" s="3387">
        <f>SUM(M170:M178)</f>
        <v>3265.1</v>
      </c>
      <c r="N179" s="3387"/>
      <c r="O179" s="3393" t="s">
        <v>3222</v>
      </c>
      <c r="P179" s="3394">
        <f>SUM(P170:P178)</f>
        <v>8164670</v>
      </c>
    </row>
    <row r="180" spans="9:16">
      <c r="O180" s="3396" t="s">
        <v>3223</v>
      </c>
      <c r="P180" s="3398">
        <f>P179+P168</f>
        <v>23111594</v>
      </c>
    </row>
  </sheetData>
  <mergeCells count="102">
    <mergeCell ref="I38:M38"/>
    <mergeCell ref="I169:M169"/>
    <mergeCell ref="A29:A30"/>
    <mergeCell ref="B29:B30"/>
    <mergeCell ref="C29:C30"/>
    <mergeCell ref="E29:E30"/>
    <mergeCell ref="F29:F30"/>
    <mergeCell ref="G29:G30"/>
    <mergeCell ref="H25:H26"/>
    <mergeCell ref="I25:I26"/>
    <mergeCell ref="J25:J26"/>
    <mergeCell ref="K25:K26"/>
    <mergeCell ref="G27:G28"/>
    <mergeCell ref="H29:H30"/>
    <mergeCell ref="I29:I30"/>
    <mergeCell ref="J29:J30"/>
    <mergeCell ref="K29:K30"/>
    <mergeCell ref="H27:H28"/>
    <mergeCell ref="I27:I28"/>
    <mergeCell ref="J27:J28"/>
    <mergeCell ref="K27:K28"/>
    <mergeCell ref="G25:G26"/>
    <mergeCell ref="A27:A28"/>
    <mergeCell ref="B27:B28"/>
    <mergeCell ref="C27:C28"/>
    <mergeCell ref="E27:E28"/>
    <mergeCell ref="F27:F28"/>
    <mergeCell ref="A25:A26"/>
    <mergeCell ref="B25:B26"/>
    <mergeCell ref="C25:C26"/>
    <mergeCell ref="E25:E26"/>
    <mergeCell ref="F25:F26"/>
    <mergeCell ref="G23:G24"/>
    <mergeCell ref="K21:K22"/>
    <mergeCell ref="H23:H24"/>
    <mergeCell ref="I23:I24"/>
    <mergeCell ref="J23:J24"/>
    <mergeCell ref="K23:K24"/>
    <mergeCell ref="A23:A24"/>
    <mergeCell ref="B23:B24"/>
    <mergeCell ref="C23:C24"/>
    <mergeCell ref="E23:E24"/>
    <mergeCell ref="F23:F24"/>
    <mergeCell ref="A21:A22"/>
    <mergeCell ref="B21:B22"/>
    <mergeCell ref="C21:C22"/>
    <mergeCell ref="E21:E22"/>
    <mergeCell ref="F21:F22"/>
    <mergeCell ref="G21:G22"/>
    <mergeCell ref="H21:H22"/>
    <mergeCell ref="I21:I22"/>
    <mergeCell ref="J21:J22"/>
    <mergeCell ref="K17:K18"/>
    <mergeCell ref="A19:A20"/>
    <mergeCell ref="B19:B20"/>
    <mergeCell ref="C19:C20"/>
    <mergeCell ref="E19:E20"/>
    <mergeCell ref="F19:F20"/>
    <mergeCell ref="G19:G20"/>
    <mergeCell ref="A17:A18"/>
    <mergeCell ref="B17:B18"/>
    <mergeCell ref="C17:C18"/>
    <mergeCell ref="E17:E18"/>
    <mergeCell ref="F17:F18"/>
    <mergeCell ref="G17:G18"/>
    <mergeCell ref="H19:H20"/>
    <mergeCell ref="I19:I20"/>
    <mergeCell ref="J19:J20"/>
    <mergeCell ref="K19:K20"/>
    <mergeCell ref="A2:E2"/>
    <mergeCell ref="A11:D11"/>
    <mergeCell ref="A14:K14"/>
    <mergeCell ref="A15:A16"/>
    <mergeCell ref="D15:D16"/>
    <mergeCell ref="G15:G16"/>
    <mergeCell ref="H15:H16"/>
    <mergeCell ref="J15:J16"/>
    <mergeCell ref="K15:K16"/>
    <mergeCell ref="L14:L16"/>
    <mergeCell ref="L17:L18"/>
    <mergeCell ref="L19:L20"/>
    <mergeCell ref="L21:L22"/>
    <mergeCell ref="L23:L24"/>
    <mergeCell ref="A38:E38"/>
    <mergeCell ref="A161:D161"/>
    <mergeCell ref="L25:L26"/>
    <mergeCell ref="L27:L28"/>
    <mergeCell ref="L29:L30"/>
    <mergeCell ref="A33:A34"/>
    <mergeCell ref="B33:B34"/>
    <mergeCell ref="C33:C34"/>
    <mergeCell ref="E33:E34"/>
    <mergeCell ref="F33:F34"/>
    <mergeCell ref="G33:G34"/>
    <mergeCell ref="H33:H34"/>
    <mergeCell ref="I33:I34"/>
    <mergeCell ref="J33:J34"/>
    <mergeCell ref="K33:K34"/>
    <mergeCell ref="L33:L34"/>
    <mergeCell ref="H17:H18"/>
    <mergeCell ref="I17:I18"/>
    <mergeCell ref="J17:J18"/>
  </mergeCells>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N15"/>
  <sheetViews>
    <sheetView workbookViewId="0">
      <selection activeCell="A14" sqref="A14:XFD14"/>
    </sheetView>
  </sheetViews>
  <sheetFormatPr defaultRowHeight="13.5"/>
  <cols>
    <col min="1" max="1" width="38.5" customWidth="1"/>
    <col min="8" max="8" width="11.375" customWidth="1"/>
  </cols>
  <sheetData>
    <row r="1" spans="1:14" s="3136" customFormat="1">
      <c r="A1" s="3136" t="s">
        <v>3227</v>
      </c>
      <c r="B1" s="3136" t="s">
        <v>3228</v>
      </c>
      <c r="C1" s="3136" t="s">
        <v>3229</v>
      </c>
      <c r="D1" s="3136" t="s">
        <v>3230</v>
      </c>
      <c r="E1" s="3136" t="s">
        <v>3231</v>
      </c>
      <c r="F1" s="3136" t="s">
        <v>3232</v>
      </c>
      <c r="G1" s="3136" t="s">
        <v>3233</v>
      </c>
      <c r="H1" s="3136" t="s">
        <v>3234</v>
      </c>
      <c r="I1" s="3136" t="s">
        <v>3235</v>
      </c>
      <c r="J1" s="3136" t="s">
        <v>3236</v>
      </c>
      <c r="K1" s="3136" t="s">
        <v>3237</v>
      </c>
      <c r="L1" s="3401" t="s">
        <v>3238</v>
      </c>
      <c r="M1" s="3136" t="s">
        <v>3239</v>
      </c>
      <c r="N1" s="3136" t="s">
        <v>3240</v>
      </c>
    </row>
    <row r="2" spans="1:14" s="3136" customFormat="1">
      <c r="A2" s="3414" t="s">
        <v>3241</v>
      </c>
      <c r="B2" s="3136" t="s">
        <v>3068</v>
      </c>
      <c r="C2" s="3136" t="s">
        <v>3242</v>
      </c>
      <c r="D2" s="3136">
        <v>44700.95</v>
      </c>
      <c r="E2" s="3136">
        <v>80462</v>
      </c>
      <c r="F2" s="3136">
        <v>1.8</v>
      </c>
      <c r="G2" s="3136" t="s">
        <v>3243</v>
      </c>
      <c r="H2" s="3136" t="s">
        <v>3244</v>
      </c>
      <c r="I2" s="3136">
        <v>22400</v>
      </c>
      <c r="J2" s="3136">
        <v>22400</v>
      </c>
      <c r="K2" s="3136">
        <v>2783.92</v>
      </c>
      <c r="L2" s="3136">
        <f>ROUND(J2*10000/D2,0)</f>
        <v>5011</v>
      </c>
      <c r="M2" s="3136">
        <v>0</v>
      </c>
      <c r="N2" s="3136" t="s">
        <v>3245</v>
      </c>
    </row>
    <row r="3" spans="1:14" s="3402" customFormat="1" ht="29.25" customHeight="1">
      <c r="A3" s="3415" t="s">
        <v>3246</v>
      </c>
      <c r="B3" s="3402" t="s">
        <v>3068</v>
      </c>
      <c r="C3" s="3402" t="s">
        <v>3242</v>
      </c>
      <c r="D3" s="3402">
        <v>12853.55</v>
      </c>
      <c r="E3" s="3402">
        <v>77121</v>
      </c>
      <c r="F3" s="3402">
        <v>6</v>
      </c>
      <c r="G3" s="3402" t="s">
        <v>3243</v>
      </c>
      <c r="H3" s="3402" t="s">
        <v>3247</v>
      </c>
      <c r="I3" s="3402">
        <v>43000</v>
      </c>
      <c r="J3" s="3402">
        <v>52200</v>
      </c>
      <c r="K3" s="3402">
        <v>6768.57</v>
      </c>
      <c r="L3" s="3402">
        <f t="shared" ref="L3:L15" si="0">ROUND(J3*10000/D3,0)</f>
        <v>40611</v>
      </c>
      <c r="M3" s="3402">
        <v>21.4</v>
      </c>
      <c r="N3" s="3402" t="s">
        <v>3248</v>
      </c>
    </row>
    <row r="4" spans="1:14" s="3421" customFormat="1" ht="37.5" customHeight="1">
      <c r="A4" s="3420" t="s">
        <v>3249</v>
      </c>
      <c r="B4" s="3421" t="s">
        <v>3068</v>
      </c>
      <c r="C4" s="3421" t="s">
        <v>3242</v>
      </c>
      <c r="D4" s="3421">
        <v>1080820</v>
      </c>
      <c r="E4" s="3421">
        <v>421534</v>
      </c>
      <c r="F4" s="3421">
        <v>0.39</v>
      </c>
      <c r="G4" s="3421" t="s">
        <v>3243</v>
      </c>
      <c r="H4" s="3421" t="s">
        <v>3250</v>
      </c>
      <c r="I4" s="3421">
        <v>568000</v>
      </c>
      <c r="J4" s="3421">
        <v>568000</v>
      </c>
      <c r="K4" s="3421">
        <v>13474.6</v>
      </c>
      <c r="L4" s="3421">
        <f t="shared" si="0"/>
        <v>5255</v>
      </c>
      <c r="M4" s="3421">
        <v>0</v>
      </c>
      <c r="N4" s="3421" t="s">
        <v>3251</v>
      </c>
    </row>
    <row r="5" spans="1:14" s="3136" customFormat="1">
      <c r="A5" s="3416" t="s">
        <v>3252</v>
      </c>
      <c r="B5" s="3403" t="s">
        <v>3068</v>
      </c>
      <c r="C5" s="3403" t="s">
        <v>3242</v>
      </c>
      <c r="D5" s="3403">
        <v>23105.759999999998</v>
      </c>
      <c r="E5" s="3403">
        <v>27727</v>
      </c>
      <c r="F5" s="3403">
        <v>1.2</v>
      </c>
      <c r="G5" s="3403" t="s">
        <v>3243</v>
      </c>
      <c r="H5" s="3403" t="s">
        <v>3253</v>
      </c>
      <c r="I5" s="3403">
        <v>8000</v>
      </c>
      <c r="J5" s="3403">
        <v>8000</v>
      </c>
      <c r="K5" s="3403">
        <v>2885.26</v>
      </c>
      <c r="L5" s="3136">
        <f t="shared" si="0"/>
        <v>3462</v>
      </c>
      <c r="M5" s="3403">
        <v>0</v>
      </c>
      <c r="N5" s="3403" t="s">
        <v>3254</v>
      </c>
    </row>
    <row r="6" spans="1:14" s="3413" customFormat="1" ht="20.25" customHeight="1">
      <c r="A6" s="3417" t="s">
        <v>3255</v>
      </c>
      <c r="B6" s="3412" t="s">
        <v>3068</v>
      </c>
      <c r="C6" s="3412" t="s">
        <v>3242</v>
      </c>
      <c r="D6" s="3412">
        <v>36265</v>
      </c>
      <c r="E6" s="3412">
        <v>126928</v>
      </c>
      <c r="F6" s="3412">
        <v>3.5</v>
      </c>
      <c r="G6" s="3412" t="s">
        <v>3243</v>
      </c>
      <c r="H6" s="3412" t="s">
        <v>3256</v>
      </c>
      <c r="I6" s="3412">
        <v>37000</v>
      </c>
      <c r="J6" s="3412">
        <v>48600</v>
      </c>
      <c r="K6" s="3412">
        <v>3828.94</v>
      </c>
      <c r="L6" s="3413">
        <f t="shared" si="0"/>
        <v>13401</v>
      </c>
      <c r="M6" s="3412">
        <v>31.35</v>
      </c>
      <c r="N6" s="3412" t="s">
        <v>3257</v>
      </c>
    </row>
    <row r="7" spans="1:14" s="3413" customFormat="1">
      <c r="A7" s="3417" t="s">
        <v>3258</v>
      </c>
      <c r="B7" s="3412" t="s">
        <v>3068</v>
      </c>
      <c r="C7" s="3412" t="s">
        <v>3242</v>
      </c>
      <c r="D7" s="3412">
        <v>170200.2</v>
      </c>
      <c r="E7" s="3412">
        <v>255301</v>
      </c>
      <c r="F7" s="3412">
        <v>1.5</v>
      </c>
      <c r="G7" s="3412" t="s">
        <v>3243</v>
      </c>
      <c r="H7" s="3412" t="s">
        <v>3259</v>
      </c>
      <c r="I7" s="3412">
        <v>255000</v>
      </c>
      <c r="J7" s="3412">
        <v>259500</v>
      </c>
      <c r="K7" s="3412">
        <v>10164.459999999999</v>
      </c>
      <c r="L7" s="3413">
        <f t="shared" si="0"/>
        <v>15247</v>
      </c>
      <c r="M7" s="3412">
        <v>1.76</v>
      </c>
      <c r="N7" s="3412" t="s">
        <v>3260</v>
      </c>
    </row>
    <row r="8" spans="1:14" s="3410" customFormat="1">
      <c r="A8" s="3418" t="s">
        <v>3261</v>
      </c>
      <c r="B8" s="3409" t="s">
        <v>3068</v>
      </c>
      <c r="C8" s="3409" t="s">
        <v>3242</v>
      </c>
      <c r="D8" s="3409">
        <v>49477.2</v>
      </c>
      <c r="E8" s="3409">
        <v>123693</v>
      </c>
      <c r="F8" s="3409">
        <v>2.5</v>
      </c>
      <c r="G8" s="3409" t="s">
        <v>3243</v>
      </c>
      <c r="H8" s="3409" t="s">
        <v>3262</v>
      </c>
      <c r="I8" s="3409">
        <v>74300</v>
      </c>
      <c r="J8" s="3409">
        <v>187500</v>
      </c>
      <c r="K8" s="3409">
        <v>15158.5</v>
      </c>
      <c r="L8" s="3410">
        <f t="shared" si="0"/>
        <v>37896</v>
      </c>
      <c r="M8" s="3409">
        <v>152.36000000000001</v>
      </c>
      <c r="N8" s="3409" t="s">
        <v>3263</v>
      </c>
    </row>
    <row r="9" spans="1:14" s="3402" customFormat="1">
      <c r="A9" s="3419" t="s">
        <v>3264</v>
      </c>
      <c r="B9" s="3404" t="s">
        <v>3068</v>
      </c>
      <c r="C9" s="3404" t="s">
        <v>3242</v>
      </c>
      <c r="D9" s="3404">
        <v>17277.400000000001</v>
      </c>
      <c r="E9" s="3404">
        <v>34555</v>
      </c>
      <c r="F9" s="3404">
        <v>2</v>
      </c>
      <c r="G9" s="3404" t="s">
        <v>3243</v>
      </c>
      <c r="H9" s="3404" t="s">
        <v>3253</v>
      </c>
      <c r="I9" s="3404">
        <v>22000</v>
      </c>
      <c r="J9" s="3404">
        <v>22000</v>
      </c>
      <c r="K9" s="3404">
        <v>6366.65</v>
      </c>
      <c r="L9" s="3402">
        <f t="shared" si="0"/>
        <v>12733</v>
      </c>
      <c r="M9" s="3404">
        <v>0</v>
      </c>
      <c r="N9" s="3404" t="s">
        <v>3265</v>
      </c>
    </row>
    <row r="10" spans="1:14" s="3402" customFormat="1" ht="27">
      <c r="A10" s="3419" t="s">
        <v>3266</v>
      </c>
      <c r="B10" s="3404" t="s">
        <v>3068</v>
      </c>
      <c r="C10" s="3404" t="s">
        <v>3242</v>
      </c>
      <c r="D10" s="3404">
        <v>88702.37</v>
      </c>
      <c r="E10" s="3404">
        <v>206707</v>
      </c>
      <c r="F10" s="3404">
        <v>2.33</v>
      </c>
      <c r="G10" s="3404" t="s">
        <v>3243</v>
      </c>
      <c r="H10" s="3404" t="s">
        <v>3253</v>
      </c>
      <c r="I10" s="3404">
        <v>134500</v>
      </c>
      <c r="J10" s="3404">
        <v>138000</v>
      </c>
      <c r="K10" s="3404">
        <v>6676.11</v>
      </c>
      <c r="L10" s="3402">
        <f t="shared" si="0"/>
        <v>15558</v>
      </c>
      <c r="M10" s="3404">
        <v>2.6</v>
      </c>
      <c r="N10" s="3404" t="s">
        <v>3267</v>
      </c>
    </row>
    <row r="11" spans="1:14" s="3136" customFormat="1" ht="28.5" customHeight="1">
      <c r="A11" s="3416" t="s">
        <v>3268</v>
      </c>
      <c r="B11" s="3403" t="s">
        <v>3068</v>
      </c>
      <c r="C11" s="3403" t="s">
        <v>3242</v>
      </c>
      <c r="D11" s="3403">
        <v>40669.300000000003</v>
      </c>
      <c r="E11" s="3403">
        <v>109807</v>
      </c>
      <c r="F11" s="3403">
        <v>2.7</v>
      </c>
      <c r="G11" s="3403" t="s">
        <v>3243</v>
      </c>
      <c r="H11" s="3403" t="s">
        <v>3269</v>
      </c>
      <c r="I11" s="3403">
        <v>75000</v>
      </c>
      <c r="J11" s="3403">
        <v>75000</v>
      </c>
      <c r="K11" s="3403">
        <v>6830.17</v>
      </c>
      <c r="L11" s="3136">
        <f t="shared" si="0"/>
        <v>18441</v>
      </c>
      <c r="M11" s="3403">
        <v>0</v>
      </c>
      <c r="N11" s="3403" t="s">
        <v>3270</v>
      </c>
    </row>
    <row r="12" spans="1:14" s="3413" customFormat="1" ht="42.75" customHeight="1">
      <c r="A12" s="3417" t="s">
        <v>3271</v>
      </c>
      <c r="B12" s="3412" t="s">
        <v>3068</v>
      </c>
      <c r="C12" s="3412" t="s">
        <v>3242</v>
      </c>
      <c r="D12" s="3412">
        <v>45793.17</v>
      </c>
      <c r="E12" s="3412">
        <v>114483</v>
      </c>
      <c r="F12" s="3412">
        <v>2.5</v>
      </c>
      <c r="G12" s="3412" t="s">
        <v>3243</v>
      </c>
      <c r="H12" s="3412" t="s">
        <v>3272</v>
      </c>
      <c r="I12" s="3412">
        <v>65000</v>
      </c>
      <c r="J12" s="3412">
        <v>65000</v>
      </c>
      <c r="K12" s="3412">
        <v>5677.69</v>
      </c>
      <c r="L12" s="3413">
        <f t="shared" si="0"/>
        <v>14194</v>
      </c>
      <c r="M12" s="3412">
        <v>0</v>
      </c>
      <c r="N12" s="3412" t="s">
        <v>3273</v>
      </c>
    </row>
    <row r="13" spans="1:14" s="3413" customFormat="1">
      <c r="A13" s="3417" t="s">
        <v>3308</v>
      </c>
      <c r="B13" s="3412" t="s">
        <v>3068</v>
      </c>
      <c r="C13" s="3412" t="s">
        <v>3242</v>
      </c>
      <c r="D13" s="3412">
        <v>120885</v>
      </c>
      <c r="E13" s="3412">
        <v>256512</v>
      </c>
      <c r="F13" s="3412" t="s">
        <v>2934</v>
      </c>
      <c r="G13" s="3412" t="s">
        <v>3243</v>
      </c>
      <c r="H13" s="3412" t="s">
        <v>3259</v>
      </c>
      <c r="I13" s="3412">
        <v>250000</v>
      </c>
      <c r="J13" s="3412">
        <v>250000</v>
      </c>
      <c r="K13" s="3412">
        <v>9746.1200000000008</v>
      </c>
      <c r="L13" s="3413">
        <f t="shared" si="0"/>
        <v>20681</v>
      </c>
      <c r="M13" s="3412">
        <v>0</v>
      </c>
      <c r="N13" s="3412" t="s">
        <v>3309</v>
      </c>
    </row>
    <row r="14" spans="1:14" s="3410" customFormat="1" ht="31.5" customHeight="1">
      <c r="A14" s="3418" t="s">
        <v>3310</v>
      </c>
      <c r="B14" s="3409" t="s">
        <v>3068</v>
      </c>
      <c r="C14" s="3409" t="s">
        <v>3242</v>
      </c>
      <c r="D14" s="3409">
        <v>5237.16</v>
      </c>
      <c r="E14" s="3409">
        <v>10474</v>
      </c>
      <c r="F14" s="3409">
        <v>2</v>
      </c>
      <c r="G14" s="3409" t="s">
        <v>3243</v>
      </c>
      <c r="H14" s="3409" t="s">
        <v>3311</v>
      </c>
      <c r="I14" s="3409">
        <v>13000</v>
      </c>
      <c r="J14" s="3409">
        <v>13700</v>
      </c>
      <c r="K14" s="3409">
        <v>13080.01</v>
      </c>
      <c r="L14" s="3410">
        <f t="shared" si="0"/>
        <v>26159</v>
      </c>
      <c r="M14" s="3409">
        <v>5.38</v>
      </c>
      <c r="N14" s="3409" t="s">
        <v>3312</v>
      </c>
    </row>
    <row r="15" spans="1:14" s="3410" customFormat="1" ht="36.75" customHeight="1">
      <c r="A15" s="3418" t="s">
        <v>3313</v>
      </c>
      <c r="B15" s="3409" t="s">
        <v>3068</v>
      </c>
      <c r="C15" s="3409" t="s">
        <v>3242</v>
      </c>
      <c r="D15" s="3409">
        <v>27641.17</v>
      </c>
      <c r="E15" s="3409">
        <v>96744</v>
      </c>
      <c r="F15" s="3409">
        <v>3.5</v>
      </c>
      <c r="G15" s="3409" t="s">
        <v>3243</v>
      </c>
      <c r="H15" s="3409" t="s">
        <v>3269</v>
      </c>
      <c r="I15" s="3409">
        <v>117000</v>
      </c>
      <c r="J15" s="3409">
        <v>117600</v>
      </c>
      <c r="K15" s="3409">
        <v>12155.79</v>
      </c>
      <c r="L15" s="3410">
        <f t="shared" si="0"/>
        <v>42545</v>
      </c>
      <c r="M15" s="3409">
        <v>0.51</v>
      </c>
      <c r="N15" s="3409" t="s">
        <v>3314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51" t="str">
        <f>IF(项目基本情况!B9="房地产市场价值","估价结果一览表","结果表-2")</f>
        <v>结果表-2</v>
      </c>
      <c r="B1" s="3451"/>
      <c r="C1" s="3451"/>
      <c r="D1" s="3451"/>
      <c r="E1" s="3451"/>
      <c r="F1" s="3451"/>
      <c r="G1" s="3451"/>
      <c r="H1" s="3451"/>
      <c r="I1" s="3451"/>
    </row>
    <row r="2" spans="1:9" ht="30" customHeight="1" thickTop="1">
      <c r="A2" s="3452" t="s">
        <v>2872</v>
      </c>
      <c r="B2" s="3452" t="s">
        <v>2036</v>
      </c>
      <c r="C2" s="3452" t="s">
        <v>2037</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4.25">
      <c r="A3" s="3446"/>
      <c r="B3" s="3446"/>
      <c r="C3" s="3446"/>
      <c r="D3" s="1912" t="s">
        <v>7</v>
      </c>
      <c r="E3" s="1912" t="s">
        <v>2038</v>
      </c>
      <c r="F3" s="1912" t="s">
        <v>7</v>
      </c>
      <c r="G3" s="1912" t="s">
        <v>8</v>
      </c>
      <c r="H3" s="1912" t="s">
        <v>7</v>
      </c>
      <c r="I3" s="1912" t="s">
        <v>8</v>
      </c>
    </row>
    <row r="4" spans="1:9" ht="28.5">
      <c r="A4" s="1982" t="str">
        <f>项目基本情况!S2</f>
        <v>北京市怀柔区杨宋镇凤翔二园1号1-7幢房地产</v>
      </c>
      <c r="B4" s="1976">
        <f>项目基本情况!C17</f>
        <v>28973.439999999999</v>
      </c>
      <c r="C4" s="1976">
        <f>项目基本情况!C18</f>
        <v>92783.56</v>
      </c>
      <c r="D4" s="1976">
        <f ca="1">结果表!D118</f>
        <v>63093</v>
      </c>
      <c r="E4" s="1976">
        <f ca="1">结果表!E118</f>
        <v>21776</v>
      </c>
      <c r="F4" s="1976">
        <f ca="1">结果表!F118</f>
        <v>8199</v>
      </c>
      <c r="G4" s="1976">
        <f ca="1">结果表!G118</f>
        <v>2830</v>
      </c>
      <c r="H4" s="1976">
        <f ca="1">结果表!H118</f>
        <v>71292</v>
      </c>
      <c r="I4" s="1976">
        <f ca="1">结果表!I118</f>
        <v>24606</v>
      </c>
    </row>
    <row r="5" spans="1:9" ht="30" customHeight="1">
      <c r="A5" s="3446" t="s">
        <v>9</v>
      </c>
      <c r="B5" s="3446"/>
      <c r="C5" s="3446"/>
      <c r="D5" s="3447" t="str">
        <f ca="1">结果表!D119</f>
        <v>陆亿叁仟零玖拾叁万元整</v>
      </c>
      <c r="E5" s="3447"/>
      <c r="F5" s="3447" t="str">
        <f ca="1">结果表!F119</f>
        <v>捌仟壹佰玖拾玖万元整</v>
      </c>
      <c r="G5" s="3447"/>
      <c r="H5" s="3447" t="str">
        <f ca="1">结果表!H119</f>
        <v>柒亿壹仟贰佰玖拾贰万元整</v>
      </c>
      <c r="I5" s="3447"/>
    </row>
    <row r="6" spans="1:9" ht="15.75">
      <c r="A6" s="3444" t="str">
        <f>结果表!A120</f>
        <v>估价师知悉的法定优先受偿款</v>
      </c>
      <c r="B6" s="3444"/>
      <c r="C6" s="3444"/>
      <c r="D6" s="3445">
        <f>结果表!D120</f>
        <v>0</v>
      </c>
      <c r="E6" s="3445"/>
      <c r="F6" s="3445"/>
      <c r="G6" s="3445"/>
      <c r="H6" s="3445"/>
      <c r="I6" s="3445"/>
    </row>
    <row r="7" spans="1:9" ht="14.25">
      <c r="A7" s="3446" t="s">
        <v>9</v>
      </c>
      <c r="B7" s="3446"/>
      <c r="C7" s="3446"/>
      <c r="D7" s="3448" t="str">
        <f>结果表!D121</f>
        <v>零元整</v>
      </c>
      <c r="E7" s="3449"/>
      <c r="F7" s="3449"/>
      <c r="G7" s="3449"/>
      <c r="H7" s="3449"/>
      <c r="I7" s="3450"/>
    </row>
    <row r="8" spans="1:9" ht="15.75">
      <c r="A8" s="3444" t="str">
        <f>结果表!A122</f>
        <v>房地产抵押价值</v>
      </c>
      <c r="B8" s="3444"/>
      <c r="C8" s="3444"/>
      <c r="D8" s="3445">
        <f ca="1">结果表!D122</f>
        <v>71292</v>
      </c>
      <c r="E8" s="3445"/>
      <c r="F8" s="3445"/>
      <c r="G8" s="3445"/>
      <c r="H8" s="3445"/>
      <c r="I8" s="3445"/>
    </row>
    <row r="9" spans="1:9" ht="14.25">
      <c r="A9" s="3446" t="s">
        <v>9</v>
      </c>
      <c r="B9" s="3446"/>
      <c r="C9" s="3446"/>
      <c r="D9" s="3447" t="str">
        <f ca="1">结果表!D123</f>
        <v>柒亿壹仟贰佰玖拾贰万元整</v>
      </c>
      <c r="E9" s="3447"/>
      <c r="F9" s="3447"/>
      <c r="G9" s="3447"/>
      <c r="H9" s="3447"/>
      <c r="I9" s="3447"/>
    </row>
    <row r="10" spans="1:9" ht="15.75">
      <c r="A10" s="3444" t="str">
        <f>结果表!A124</f>
        <v/>
      </c>
      <c r="B10" s="3444"/>
      <c r="C10" s="3444"/>
      <c r="D10" s="3445" t="str">
        <f>结果表!D124</f>
        <v>——</v>
      </c>
      <c r="E10" s="3445"/>
      <c r="F10" s="3445"/>
      <c r="G10" s="3445"/>
      <c r="H10" s="3445"/>
      <c r="I10" s="3445"/>
    </row>
    <row r="11" spans="1:9" ht="14.25">
      <c r="A11" s="3446" t="s">
        <v>9</v>
      </c>
      <c r="B11" s="3446"/>
      <c r="C11" s="3446"/>
      <c r="D11" s="3447" t="e">
        <f>结果表!D125</f>
        <v>#VALUE!</v>
      </c>
      <c r="E11" s="3447"/>
      <c r="F11" s="3447"/>
      <c r="G11" s="3447"/>
      <c r="H11" s="3447"/>
      <c r="I11" s="3447"/>
    </row>
    <row r="12" spans="1:9" ht="15.75">
      <c r="A12" s="3444" t="str">
        <f>结果表!A126</f>
        <v/>
      </c>
      <c r="B12" s="3444"/>
      <c r="C12" s="3444"/>
      <c r="D12" s="3445" t="str">
        <f>结果表!D126</f>
        <v>——</v>
      </c>
      <c r="E12" s="3445"/>
      <c r="F12" s="3445"/>
      <c r="G12" s="3445"/>
      <c r="H12" s="3445"/>
      <c r="I12" s="3445"/>
    </row>
    <row r="13" spans="1:9" ht="15" thickBot="1">
      <c r="A13" s="3441" t="s">
        <v>9</v>
      </c>
      <c r="B13" s="3441"/>
      <c r="C13" s="3441"/>
      <c r="D13" s="3442" t="e">
        <f>结果表!D127</f>
        <v>#VALUE!</v>
      </c>
      <c r="E13" s="3442"/>
      <c r="F13" s="3442"/>
      <c r="G13" s="3442"/>
      <c r="H13" s="3442"/>
      <c r="I13" s="3442"/>
    </row>
    <row r="14" spans="1:9" ht="14.25" thickTop="1">
      <c r="A14" s="3443" t="s">
        <v>2039</v>
      </c>
      <c r="B14" s="3443"/>
      <c r="C14" s="3443"/>
      <c r="D14" s="3443"/>
      <c r="E14" s="3443"/>
      <c r="F14" s="3443"/>
      <c r="G14" s="3443"/>
      <c r="H14" s="3443"/>
      <c r="I14" s="3443"/>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59" t="s">
        <v>2849</v>
      </c>
      <c r="B1" s="3459"/>
      <c r="C1" s="3459"/>
      <c r="D1" s="3459"/>
    </row>
    <row r="2" spans="1:4" ht="18.75">
      <c r="A2" s="3460" t="s">
        <v>2110</v>
      </c>
      <c r="B2" s="3460"/>
      <c r="C2" s="3460"/>
      <c r="D2" s="3460"/>
    </row>
    <row r="3" spans="1:4" ht="18.75">
      <c r="A3" s="2611" t="s">
        <v>2111</v>
      </c>
      <c r="B3" s="2611" t="s">
        <v>2112</v>
      </c>
      <c r="C3" s="2611" t="s">
        <v>2113</v>
      </c>
      <c r="D3" s="2611" t="s">
        <v>2114</v>
      </c>
    </row>
    <row r="4" spans="1:4" ht="56.25" customHeight="1">
      <c r="A4" s="2617" t="str">
        <f>项目基本情况!B4</f>
        <v>刘梅</v>
      </c>
      <c r="B4" s="2612">
        <f ca="1">项目基本情况!C4</f>
        <v>1120140022</v>
      </c>
      <c r="C4" s="2615"/>
      <c r="D4" s="2613" t="s">
        <v>2115</v>
      </c>
    </row>
    <row r="5" spans="1:4" ht="56.25" customHeight="1">
      <c r="A5" s="2617" t="str">
        <f>项目基本情况!D4</f>
        <v>吴薇</v>
      </c>
      <c r="B5" s="2612">
        <f ca="1">项目基本情况!E4</f>
        <v>1419970001</v>
      </c>
      <c r="C5" s="2616"/>
      <c r="D5" s="2613" t="s">
        <v>2115</v>
      </c>
    </row>
    <row r="6" spans="1:4" ht="18.75">
      <c r="A6" s="3460" t="s">
        <v>2611</v>
      </c>
      <c r="B6" s="3460"/>
      <c r="C6" s="3460"/>
      <c r="D6" s="3460"/>
    </row>
    <row r="7" spans="1:4" ht="18.75">
      <c r="A7" s="2611" t="s">
        <v>2111</v>
      </c>
      <c r="B7" s="2612" t="s">
        <v>2116</v>
      </c>
      <c r="C7" s="2611" t="s">
        <v>2113</v>
      </c>
      <c r="D7" s="2611" t="s">
        <v>2114</v>
      </c>
    </row>
    <row r="8" spans="1:4" ht="56.25" customHeight="1">
      <c r="A8" s="2614" t="s">
        <v>2117</v>
      </c>
      <c r="B8" s="2614" t="s">
        <v>23</v>
      </c>
      <c r="C8" s="2615"/>
      <c r="D8" s="2613" t="s">
        <v>2115</v>
      </c>
    </row>
    <row r="9" spans="1:4">
      <c r="A9" s="1495"/>
      <c r="B9" s="1495"/>
      <c r="C9" s="1495"/>
      <c r="D9" s="1495"/>
    </row>
    <row r="10" spans="1:4" ht="18.75">
      <c r="A10" s="2093" t="s">
        <v>2118</v>
      </c>
      <c r="B10" s="1495"/>
      <c r="C10" s="1495"/>
      <c r="D10" s="1495"/>
    </row>
    <row r="11" spans="1:4" ht="30" customHeight="1">
      <c r="A11" s="3461" t="s">
        <v>2704</v>
      </c>
      <c r="B11" s="3453"/>
      <c r="C11" s="3453"/>
      <c r="D11" s="3453"/>
    </row>
    <row r="12" spans="1:4" ht="14.2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3" t="str">
        <f>IF(项目基本情况!B8="抵押","4.本次评估估价师所知悉的法定优先受偿款情况说明如下：","——")</f>
        <v>4.本次评估估价师所知悉的法定优先受偿款情况说明如下：</v>
      </c>
      <c r="B14" s="3458"/>
      <c r="C14" s="3458"/>
      <c r="D14" s="3458"/>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5" t="s">
        <v>2122</v>
      </c>
      <c r="B16" s="3455"/>
      <c r="C16" s="3455"/>
      <c r="D16" s="3455"/>
    </row>
    <row r="17" spans="1:4" ht="144" customHeight="1">
      <c r="A17" s="3455" t="s">
        <v>2123</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3"/>
      <c r="C20" s="3453"/>
      <c r="D20" s="3453"/>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6"/>
      <c r="C21" s="3456"/>
      <c r="D21" s="3456"/>
    </row>
    <row r="22" spans="1:4" ht="18.75" customHeight="1">
      <c r="A22" s="3457" t="s">
        <v>2870</v>
      </c>
      <c r="B22" s="3457"/>
      <c r="C22" s="3457"/>
      <c r="D22" s="3457"/>
    </row>
    <row r="23" spans="1:4">
      <c r="A23" s="1983"/>
      <c r="B23" s="1992"/>
      <c r="C23" s="1992"/>
      <c r="D23" s="1992"/>
    </row>
    <row r="24" spans="1:4">
      <c r="A24" s="1983"/>
      <c r="B24" s="1992"/>
      <c r="C24" s="1992"/>
      <c r="D24" s="1992"/>
    </row>
    <row r="25" spans="1:4" ht="18.75">
      <c r="A25" s="1981" t="s">
        <v>2119</v>
      </c>
    </row>
    <row r="26" spans="1:4" ht="18.75">
      <c r="A26" s="1953"/>
    </row>
    <row r="27" spans="1:4" ht="18.75">
      <c r="A27" s="1953" t="s">
        <v>2120</v>
      </c>
    </row>
    <row r="30" spans="1:4" ht="18.75">
      <c r="D30" s="1981" t="s">
        <v>2121</v>
      </c>
    </row>
    <row r="31" spans="1:4" ht="13.5" customHeight="1">
      <c r="C31" s="3454">
        <v>42551</v>
      </c>
      <c r="D31" s="345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2126</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1134</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67" t="s">
        <v>556</v>
      </c>
      <c r="B15" s="3462" t="s">
        <v>1135</v>
      </c>
      <c r="C15" s="3463"/>
    </row>
    <row r="16" spans="1:7" ht="13.5">
      <c r="A16" s="3468"/>
      <c r="B16" s="3462" t="s">
        <v>529</v>
      </c>
      <c r="C16" s="3463"/>
    </row>
    <row r="17" spans="1:3" ht="13.5">
      <c r="A17" s="3468"/>
      <c r="B17" s="3465" t="s">
        <v>557</v>
      </c>
      <c r="C17" s="1148" t="s">
        <v>556</v>
      </c>
    </row>
    <row r="18" spans="1:3" ht="13.5">
      <c r="A18" s="3468"/>
      <c r="B18" s="3465"/>
      <c r="C18" s="1148" t="s">
        <v>558</v>
      </c>
    </row>
    <row r="19" spans="1:3" ht="13.5">
      <c r="A19" s="3468"/>
      <c r="B19" s="3465"/>
      <c r="C19" s="1148" t="s">
        <v>559</v>
      </c>
    </row>
    <row r="20" spans="1:3" ht="13.5">
      <c r="A20" s="3469"/>
      <c r="B20" s="3464" t="s">
        <v>560</v>
      </c>
      <c r="C20" s="3463"/>
    </row>
    <row r="21" spans="1:3" ht="13.5">
      <c r="A21" s="1149" t="s">
        <v>561</v>
      </c>
      <c r="B21" s="1150"/>
      <c r="C21" s="1151"/>
    </row>
    <row r="22" spans="1:3" ht="13.5">
      <c r="A22" s="3466" t="s">
        <v>562</v>
      </c>
      <c r="B22" s="3464" t="s">
        <v>563</v>
      </c>
      <c r="C22" s="3463"/>
    </row>
    <row r="23" spans="1:3" ht="13.5">
      <c r="A23" s="3466"/>
      <c r="B23" s="3464" t="s">
        <v>564</v>
      </c>
      <c r="C23" s="3463"/>
    </row>
    <row r="24" spans="1:3" ht="13.5">
      <c r="A24" s="3466"/>
      <c r="B24" s="3464" t="s">
        <v>565</v>
      </c>
      <c r="C24" s="3463"/>
    </row>
    <row r="25" spans="1:3" ht="13.5">
      <c r="A25" s="3466"/>
      <c r="B25" s="3465" t="s">
        <v>566</v>
      </c>
      <c r="C25" s="1148" t="s">
        <v>567</v>
      </c>
    </row>
    <row r="26" spans="1:3" ht="13.5">
      <c r="A26" s="3466"/>
      <c r="B26" s="3465"/>
      <c r="C26" s="1148" t="s">
        <v>568</v>
      </c>
    </row>
    <row r="27" spans="1:3" ht="13.5">
      <c r="A27" s="3466"/>
      <c r="B27" s="3465"/>
      <c r="C27" s="1148" t="s">
        <v>569</v>
      </c>
    </row>
    <row r="28" spans="1:3" ht="13.5">
      <c r="A28" s="3466"/>
      <c r="B28" s="3465"/>
      <c r="C28" s="1148" t="s">
        <v>570</v>
      </c>
    </row>
    <row r="29" spans="1:3" ht="13.5">
      <c r="A29" s="3466"/>
      <c r="B29" s="3465"/>
      <c r="C29" s="1148" t="s">
        <v>571</v>
      </c>
    </row>
    <row r="30" spans="1:3" ht="13.5">
      <c r="A30" s="3466"/>
      <c r="B30" s="3465"/>
      <c r="C30" s="1148" t="s">
        <v>572</v>
      </c>
    </row>
    <row r="31" spans="1:3" ht="13.5">
      <c r="A31" s="3466"/>
      <c r="B31" s="3465"/>
      <c r="C31" s="1148" t="s">
        <v>573</v>
      </c>
    </row>
    <row r="32" spans="1:3" ht="13.5">
      <c r="A32" s="3466"/>
      <c r="B32" s="3465"/>
      <c r="C32" s="1148" t="s">
        <v>574</v>
      </c>
    </row>
    <row r="33" spans="1:3" ht="13.5">
      <c r="A33" s="3466"/>
      <c r="B33" s="3465"/>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42993</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2702</v>
      </c>
      <c r="B15" s="1895">
        <v>1120070085</v>
      </c>
      <c r="C15" s="3204">
        <v>43814</v>
      </c>
      <c r="D15" s="3205" t="s">
        <v>2702</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2936</v>
      </c>
      <c r="B24" s="3205" t="s">
        <v>2936</v>
      </c>
      <c r="C24" s="3205" t="s">
        <v>2936</v>
      </c>
      <c r="D24" s="3205" t="s">
        <v>2936</v>
      </c>
      <c r="E24" s="3205" t="s">
        <v>2936</v>
      </c>
      <c r="F24" s="3205" t="s">
        <v>2936</v>
      </c>
    </row>
    <row r="25" spans="1:7" ht="24" customHeight="1">
      <c r="A25" s="3470" t="s">
        <v>1990</v>
      </c>
      <c r="B25" s="3470"/>
      <c r="C25" s="3470"/>
      <c r="D25" s="3470"/>
      <c r="E25" s="3470"/>
      <c r="F25" s="3470"/>
      <c r="G25" s="3470"/>
    </row>
    <row r="26" spans="1:7" s="1899" customFormat="1" ht="24" customHeight="1">
      <c r="A26" s="3471" t="s">
        <v>1991</v>
      </c>
      <c r="B26" s="3471"/>
      <c r="C26" s="3471"/>
      <c r="D26" s="1898"/>
      <c r="E26" s="3471" t="s">
        <v>1992</v>
      </c>
      <c r="F26" s="3471"/>
      <c r="G26" s="3471"/>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8" t="s">
        <v>3048</v>
      </c>
      <c r="G29" s="2439">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土地案例</vt:lpstr>
      <vt:lpstr>收益法!Print_Area</vt:lpstr>
      <vt:lpstr>'收益法 (元)'!Print_Area</vt:lpstr>
      <vt:lpstr>'数据-汇总表'!Print_Area</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2017-09-15T08:44:07Z</dcterms:modified>
</cp:coreProperties>
</file>