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8" activeTab="4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土地案例" sheetId="68" r:id="rId41"/>
    <sheet name="车库案例" sheetId="69" r:id="rId42"/>
    <sheet name="办公案例" sheetId="70" r:id="rId43"/>
    <sheet name="仓储租金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3" i="69" l="1"/>
  <c r="G23" i="6" l="1"/>
  <c r="G22" i="6"/>
  <c r="G21" i="6"/>
  <c r="AT18" i="3"/>
  <c r="C40" i="39" l="1"/>
  <c r="F19" i="6" l="1"/>
  <c r="C34" i="34" s="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0" i="67"/>
  <c r="F14" i="67"/>
  <c r="B9" i="67"/>
  <c r="E13" i="67"/>
  <c r="B8" i="67"/>
  <c r="E10" i="67"/>
  <c r="B10" i="67"/>
  <c r="E12" i="67"/>
  <c r="F9" i="67"/>
  <c r="E11" i="67"/>
  <c r="F12" i="67"/>
  <c r="E9" i="67"/>
  <c r="F8" i="67"/>
  <c r="B13" i="67"/>
  <c r="B11" i="67"/>
  <c r="E14" i="67"/>
  <c r="B14" i="67"/>
  <c r="B12" i="67"/>
  <c r="F11"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N4" i="65"/>
  <c r="N3" i="65"/>
  <c r="N6" i="65"/>
  <c r="I3" i="65"/>
  <c r="C4" i="65" l="1"/>
  <c r="B39" i="1" s="1"/>
  <c r="I7" i="65"/>
  <c r="J4" i="65"/>
  <c r="I5" i="65"/>
  <c r="J6" i="65"/>
  <c r="I4" i="65"/>
  <c r="I6" i="65"/>
  <c r="J5" i="65"/>
  <c r="J7" i="65"/>
  <c r="J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H47" i="46"/>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N10" i="46" l="1"/>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B65" i="63"/>
  <c r="A14" i="55"/>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5"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31" i="44"/>
  <c r="F15" i="44"/>
  <c r="F13" i="15"/>
  <c r="L49" i="44"/>
  <c r="F7" i="15"/>
  <c r="J36" i="15"/>
  <c r="F28" i="44"/>
  <c r="F16" i="15"/>
  <c r="F18" i="44"/>
  <c r="F11" i="44"/>
  <c r="F38" i="15"/>
  <c r="M8" i="15"/>
  <c r="F36" i="15"/>
  <c r="M26" i="15"/>
  <c r="M6" i="15"/>
  <c r="J17" i="44"/>
  <c r="F43" i="44"/>
  <c r="F10" i="44"/>
  <c r="F26" i="15"/>
  <c r="M28" i="44"/>
  <c r="M10" i="44"/>
  <c r="M28" i="15"/>
  <c r="F45" i="44"/>
  <c r="L48" i="44"/>
  <c r="F38" i="44"/>
  <c r="M25" i="44"/>
  <c r="F9" i="15"/>
  <c r="F9" i="44"/>
  <c r="F39" i="44"/>
  <c r="M24" i="44"/>
  <c r="M26" i="44"/>
  <c r="M11" i="44"/>
  <c r="M30" i="44"/>
  <c r="M23" i="15"/>
  <c r="M9" i="15"/>
  <c r="F40" i="44"/>
  <c r="M8" i="44"/>
  <c r="H74" i="46" l="1"/>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7" i="1"/>
  <c r="AE6" i="1"/>
  <c r="F33" i="44"/>
  <c r="M17" i="15"/>
  <c r="F31" i="15"/>
  <c r="M19" i="44"/>
  <c r="M24" i="15"/>
  <c r="C18" i="44"/>
  <c r="M22" i="15"/>
  <c r="L48" i="15"/>
  <c r="F40" i="15"/>
  <c r="F43" i="15"/>
  <c r="L47" i="15"/>
  <c r="C16" i="15"/>
  <c r="F42" i="15"/>
  <c r="J15" i="15"/>
  <c r="M29" i="15"/>
  <c r="F37" i="15"/>
  <c r="F8"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9" i="44"/>
  <c r="F7" i="67"/>
  <c r="AE9" i="1"/>
  <c r="F46" i="44"/>
  <c r="M27" i="15"/>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15"/>
  <c r="C17" i="15"/>
  <c r="E7" i="67"/>
  <c r="C19" i="44"/>
  <c r="F68" i="15" l="1"/>
  <c r="G41" i="36"/>
  <c r="H41" i="36" s="1"/>
  <c r="B2" i="34"/>
  <c r="C10" i="12" s="1"/>
  <c r="C8" i="12"/>
  <c r="F8" i="12" s="1"/>
  <c r="F10" i="12" s="1"/>
  <c r="B2" i="35"/>
  <c r="D10" i="12" s="1"/>
  <c r="D8" i="12"/>
  <c r="G46" i="37"/>
  <c r="H46" i="37" s="1"/>
  <c r="E47" i="37"/>
  <c r="F47" i="37" s="1"/>
  <c r="E3" i="67"/>
  <c r="B2" i="46"/>
  <c r="D4" i="46" s="1"/>
  <c r="E43" i="35"/>
  <c r="F43" i="35" s="1"/>
  <c r="E42" i="35"/>
  <c r="F42" i="35" s="1"/>
  <c r="C37" i="36"/>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B3" i="36" l="1"/>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4" i="15"/>
  <c r="C16" i="44"/>
  <c r="C8" i="44" l="1"/>
  <c r="C7" i="44" s="1"/>
  <c r="C6" i="15"/>
  <c r="C5" i="15" s="1"/>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38" i="15" l="1"/>
  <c r="C32" i="15"/>
  <c r="C40" i="44"/>
  <c r="C34" i="44"/>
  <c r="R9" i="1"/>
  <c r="R10" i="1"/>
  <c r="R7" i="1"/>
  <c r="C21" i="44"/>
  <c r="C22" i="44" s="1"/>
  <c r="C25" i="44" s="1"/>
  <c r="C19" i="15"/>
  <c r="C20" i="15" s="1"/>
  <c r="C23" i="15" s="1"/>
  <c r="C18" i="12"/>
  <c r="D31" i="6"/>
  <c r="I6" i="6" s="1"/>
  <c r="R27" i="6"/>
  <c r="C18" i="43"/>
  <c r="K70" i="39"/>
  <c r="J72" i="39"/>
  <c r="K65" i="40"/>
  <c r="J67" i="40"/>
  <c r="C65" i="15"/>
  <c r="C59" i="15"/>
  <c r="M21" i="15"/>
  <c r="M23" i="44"/>
  <c r="L52" i="44"/>
  <c r="F37" i="44"/>
  <c r="F35" i="15"/>
  <c r="L58" i="44" l="1"/>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113" i="9" s="1"/>
  <c r="C90" i="9"/>
  <c r="C97" i="9" s="1"/>
  <c r="D70" i="9"/>
  <c r="C82" i="9"/>
  <c r="C81" i="9" s="1"/>
  <c r="C85" i="9" s="1"/>
  <c r="C86" i="9" s="1"/>
  <c r="D72" i="9" s="1"/>
  <c r="G14" i="66"/>
  <c r="B6" i="66" s="1"/>
  <c r="N69" i="9"/>
  <c r="D44" i="9"/>
  <c r="F44" i="9"/>
  <c r="O39" i="9"/>
  <c r="E44" i="9"/>
  <c r="F14" i="66"/>
  <c r="E14" i="66"/>
  <c r="B5" i="66"/>
  <c r="N76" i="9"/>
  <c r="C5" i="66" l="1"/>
  <c r="D5" i="66"/>
  <c r="K29" i="9"/>
  <c r="K30" i="9" s="1"/>
  <c r="R6" i="54"/>
  <c r="B50" i="63" s="1"/>
  <c r="D6" i="66"/>
  <c r="C6" i="66"/>
  <c r="C114" i="9"/>
  <c r="E114" i="9" s="1"/>
  <c r="E115" i="9" s="1"/>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<sst xmlns="http://schemas.openxmlformats.org/spreadsheetml/2006/main" count="7397" uniqueCount="3290">
  <si>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</si>
  <si>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</si>
  <si>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</si>
  <si>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</si>
  <si>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</si>
  <si>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</si>
  <si>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</si>
  <si>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</si>
  <si>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</si>
  <si>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</si>
  <si>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</si>
  <si>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</si>
  <si>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</si>
  <si>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</si>
  <si>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</si>
  <si>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</si>
  <si>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</si>
  <si>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</si>
  <si>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</si>
  <si>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</si>
  <si>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</si>
  <si>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</si>
  <si>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</si>
  <si>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</si>
  <si>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</si>
  <si>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</si>
  <si>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</si>
  <si>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</si>
  <si>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</si>
  <si>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</si>
  <si>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</si>
  <si>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</si>
  <si>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</si>
  <si>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</si>
  <si>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</si>
  <si>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</si>
  <si>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</si>
  <si>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</si>
  <si>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</si>
  <si>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</si>
  <si>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</si>
  <si>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</si>
  <si>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</si>
  <si>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</si>
  <si>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</si>
  <si>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</si>
  <si>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</si>
  <si>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</si>
  <si>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</si>
  <si>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</si>
  <si>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</si>
  <si>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</si>
  <si>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</si>
  <si>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</si>
  <si>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</si>
  <si>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</si>
  <si>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</si>
  <si>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</si>
  <si>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</si>
  <si>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</si>
  <si>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</si>
  <si>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</si>
  <si>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</si>
  <si>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</si>
  <si>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</si>
  <si>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</si>
  <si>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</si>
  <si>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</si>
  <si>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</si>
  <si>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</si>
  <si>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</si>
  <si>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</si>
  <si>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</si>
  <si>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</si>
  <si>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</si>
  <si>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</si>
  <si>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</si>
  <si>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</si>
  <si>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</si>
  <si>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</si>
  <si>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</si>
  <si>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</si>
  <si>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</si>
  <si>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</si>
  <si>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</si>
  <si>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</si>
  <si>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</si>
  <si>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</si>
  <si>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</si>
  <si>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</si>
  <si>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</si>
  <si>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</si>
  <si>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</si>
  <si>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</si>
  <si>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</si>
  <si>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</si>
  <si>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</si>
  <si>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</si>
  <si>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</si>
  <si>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</si>
  <si>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</si>
  <si>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</si>
  <si>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</si>
  <si>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</si>
  <si>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</si>
  <si>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</si>
  <si>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</si>
  <si>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</si>
  <si>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</si>
  <si>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</si>
  <si>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</si>
  <si>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</si>
  <si>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</si>
  <si>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</si>
  <si>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</si>
  <si>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</si>
  <si>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</si>
  <si>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</si>
  <si>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</si>
  <si>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</si>
  <si>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</si>
  <si>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</si>
  <si>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</si>
  <si>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</si>
  <si>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</si>
  <si>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</si>
  <si>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</si>
  <si>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</si>
  <si>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</si>
  <si>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</si>
  <si>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</si>
  <si>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</si>
  <si>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</si>
  <si>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</si>
  <si>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</si>
  <si>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</si>
  <si>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</si>
  <si>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</si>
  <si>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</si>
  <si>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</si>
  <si>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</si>
  <si>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</si>
  <si>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</si>
  <si>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</si>
  <si>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</si>
  <si>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</si>
  <si>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</si>
  <si>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</si>
  <si>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</si>
  <si>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</si>
  <si>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</si>
  <si>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</si>
  <si>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</si>
  <si>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</si>
  <si>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</si>
  <si>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</si>
  <si>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</si>
  <si>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</si>
  <si>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</si>
  <si>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</si>
  <si>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</si>
  <si>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</si>
  <si>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</si>
  <si>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</si>
  <si>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</si>
  <si>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</si>
  <si>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</si>
  <si>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</si>
  <si>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</si>
  <si>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</si>
  <si>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</si>
  <si>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</si>
  <si>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</si>
  <si>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</si>
  <si>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</si>
  <si>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</si>
  <si>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</si>
  <si>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</si>
  <si>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</si>
  <si>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</si>
  <si>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</si>
  <si>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</si>
  <si>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</si>
  <si>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</si>
  <si>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</si>
  <si>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</si>
  <si>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</si>
  <si>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</si>
  <si>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</si>
  <si>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</si>
  <si>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</si>
  <si>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</si>
  <si>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</si>
  <si>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</si>
  <si>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</si>
  <si>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</si>
  <si>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</si>
  <si>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</si>
  <si>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</si>
  <si>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</si>
  <si>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</si>
  <si>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</si>
  <si>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</si>
  <si>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</si>
  <si>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</si>
  <si>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</si>
  <si>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</si>
  <si>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</si>
  <si>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</si>
  <si>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</si>
  <si>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</si>
  <si>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</si>
  <si>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</si>
  <si>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</si>
  <si>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</si>
  <si>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</si>
  <si>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</si>
  <si>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</si>
  <si>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</si>
  <si>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</si>
  <si>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</si>
  <si>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</si>
  <si>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</si>
  <si>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</si>
  <si>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</si>
  <si>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</si>
  <si>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</si>
  <si>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</si>
  <si>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</si>
  <si>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</si>
  <si>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</si>
  <si>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</si>
  <si>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</si>
  <si>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</si>
  <si>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</si>
  <si>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</si>
  <si>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</si>
  <si>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</si>
  <si>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</si>
  <si>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</si>
  <si>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</si>
  <si>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</si>
  <si>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</si>
  <si>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</si>
  <si>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</si>
  <si>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</si>
  <si>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</si>
  <si>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</si>
  <si>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</si>
  <si>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</si>
  <si>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</si>
  <si>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</si>
  <si>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</si>
  <si>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</si>
  <si>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</si>
  <si>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</si>
  <si>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</si>
  <si>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</si>
  <si>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</si>
  <si>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</si>
  <si>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</si>
  <si>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</si>
  <si>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</si>
  <si>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</si>
  <si>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</si>
  <si>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</si>
  <si>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</si>
  <si>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</si>
  <si>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</si>
  <si>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</si>
  <si>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</si>
  <si>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</si>
  <si>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</si>
  <si>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</si>
  <si>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</si>
  <si>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</si>
  <si>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</si>
  <si>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</si>
  <si>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</si>
  <si>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</si>
  <si>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</si>
  <si>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</si>
  <si>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</si>
  <si>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</si>
  <si>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</si>
  <si>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</si>
  <si>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</si>
  <si>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</si>
  <si>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</si>
  <si>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</si>
  <si>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</si>
  <si>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</si>
  <si>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</si>
  <si>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</si>
  <si>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</si>
  <si>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</si>
  <si>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</si>
  <si>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</si>
  <si>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</si>
  <si>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</si>
  <si>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</si>
  <si>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</si>
  <si>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</si>
  <si>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</si>
  <si>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</si>
  <si>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</si>
  <si>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</si>
  <si>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</si>
  <si>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</si>
  <si>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</si>
  <si>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</si>
  <si>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</si>
  <si>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</si>
  <si>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</si>
  <si>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</si>
  <si>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</si>
  <si>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</si>
  <si>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</si>
  <si>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</si>
  <si>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</si>
  <si>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</si>
  <si>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</si>
  <si>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</si>
  <si>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</si>
  <si>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</si>
  <si>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</si>
  <si>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</si>
  <si>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</si>
  <si>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</si>
  <si>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</si>
  <si>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</si>
  <si>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</si>
  <si>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</si>
  <si>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</si>
  <si>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</si>
  <si>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</si>
  <si>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</si>
  <si>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</si>
  <si>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</si>
  <si>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</si>
  <si>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</si>
  <si>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</si>
  <si>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</si>
  <si>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</si>
  <si>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</si>
  <si>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</si>
  <si>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</si>
  <si>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</si>
  <si>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</si>
  <si>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</si>
  <si>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</si>
  <si>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</si>
  <si>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</si>
  <si>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</si>
  <si>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</si>
  <si>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</si>
  <si>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</si>
  <si>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</si>
  <si>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</si>
  <si>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</si>
  <si>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</si>
  <si>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</si>
  <si>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</si>
  <si>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</si>
  <si>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</si>
  <si>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</si>
  <si>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</si>
  <si>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</si>
  <si>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</si>
  <si>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</si>
  <si>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</si>
  <si>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</si>
  <si>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</si>
  <si>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</si>
  <si>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</si>
  <si>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</si>
  <si>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</si>
  <si>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</si>
  <si>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</si>
  <si>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</si>
  <si>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</si>
  <si>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</si>
  <si>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</si>
  <si>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</si>
  <si>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</si>
  <si>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</si>
  <si>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</si>
  <si>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</si>
  <si>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</si>
  <si>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</si>
  <si>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</si>
  <si>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</si>
  <si>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</si>
  <si>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</si>
  <si>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</si>
  <si>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</si>
  <si>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</si>
  <si>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</si>
  <si>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</si>
  <si>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</si>
  <si>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</si>
  <si>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</si>
  <si>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</si>
  <si>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</si>
  <si>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</si>
  <si>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</si>
  <si>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</si>
  <si>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</si>
  <si>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</si>
  <si>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</si>
  <si>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</si>
  <si>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</si>
  <si>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</si>
  <si>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</si>
  <si>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</si>
  <si>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</si>
  <si>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</si>
  <si>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</si>
  <si>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</si>
  <si>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</si>
  <si>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</si>
  <si>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</si>
  <si>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</si>
  <si>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</si>
  <si>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</si>
  <si>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</si>
  <si>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</si>
  <si>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</si>
  <si>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</si>
  <si>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</si>
  <si>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</si>
  <si>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</si>
  <si>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</si>
  <si>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</si>
  <si>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</si>
  <si>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</si>
  <si>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</si>
  <si>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</si>
  <si>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</si>
  <si>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</si>
  <si>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</si>
  <si>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</si>
  <si>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</si>
  <si>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</si>
  <si>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</si>
  <si>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</si>
  <si>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</si>
  <si>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</si>
  <si>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</si>
  <si>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</si>
  <si>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</si>
  <si>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</si>
  <si>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</si>
  <si>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</si>
  <si>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</si>
  <si>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</si>
  <si>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</si>
  <si>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</si>
  <si>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</si>
  <si>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</si>
  <si>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</si>
  <si>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</si>
  <si>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</si>
  <si>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</si>
  <si>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</si>
  <si>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</si>
  <si>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</si>
  <si>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</si>
  <si>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</si>
  <si>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</si>
  <si>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</si>
  <si>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</si>
  <si>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</si>
  <si>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</si>
  <si>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</si>
  <si>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</si>
  <si>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</si>
  <si>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</si>
  <si>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</si>
  <si>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</si>
  <si>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</si>
  <si>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</si>
  <si>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</si>
  <si>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</si>
  <si>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</si>
  <si>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</si>
  <si>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</si>
  <si>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</si>
  <si>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</si>
  <si>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</si>
  <si>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</si>
  <si>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</si>
  <si>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</si>
  <si>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</si>
  <si>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</si>
  <si>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</si>
  <si>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</si>
  <si>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</si>
  <si>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</si>
  <si>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</si>
  <si>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</si>
  <si>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</si>
  <si>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</si>
  <si>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</si>
  <si>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</si>
  <si>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</si>
  <si>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</si>
  <si>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</si>
  <si>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</si>
  <si>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</si>
  <si>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</si>
  <si>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</si>
  <si>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</si>
  <si>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</si>
  <si>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</si>
  <si>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</si>
  <si>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</si>
  <si>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</si>
  <si>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</si>
  <si>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</si>
  <si>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</si>
  <si>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</si>
  <si>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</si>
  <si>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</si>
  <si>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</si>
  <si>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</si>
  <si>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</si>
  <si>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</si>
  <si>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</si>
  <si>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</si>
  <si>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</si>
  <si>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</si>
  <si>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</si>
  <si>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</si>
  <si>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</si>
  <si>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</si>
  <si>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</si>
  <si>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</si>
  <si>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</si>
  <si>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</si>
  <si>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</si>
  <si>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</si>
  <si>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</si>
  <si>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</si>
  <si>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</si>
  <si>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</si>
  <si>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</si>
  <si>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</si>
  <si>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</si>
  <si>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</si>
  <si>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</si>
  <si>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</si>
  <si>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</si>
  <si>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</si>
  <si>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</si>
  <si>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</si>
  <si>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</si>
  <si>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</si>
  <si>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</si>
  <si>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</si>
  <si>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</si>
  <si>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</si>
  <si>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</si>
  <si>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</si>
  <si>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</si>
  <si>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</si>
  <si>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</si>
  <si>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</si>
  <si>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</si>
  <si>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</si>
  <si>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</si>
  <si>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</si>
  <si>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</si>
  <si>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</si>
  <si>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</si>
  <si>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</si>
  <si>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</si>
  <si>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</si>
  <si>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</si>
  <si>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</si>
  <si>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</si>
  <si>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</si>
  <si>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</si>
  <si>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</si>
  <si>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</si>
  <si>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</si>
  <si>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</si>
  <si>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</si>
  <si>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</si>
  <si>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</si>
  <si>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</si>
  <si>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</si>
  <si>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</si>
  <si>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</si>
  <si>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</si>
  <si>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</si>
  <si>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</si>
  <si>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</si>
  <si>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</si>
  <si>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</si>
  <si>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</si>
  <si>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</si>
  <si>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</si>
  <si>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</si>
  <si>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</si>
  <si>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</si>
  <si>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</si>
  <si>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</si>
  <si>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</si>
  <si>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</si>
  <si>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</si>
  <si>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</si>
  <si>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</si>
  <si>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</si>
  <si>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</si>
  <si>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</si>
  <si>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</si>
  <si>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</si>
  <si>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</si>
  <si>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</si>
  <si>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</si>
  <si>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</si>
  <si>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</si>
  <si>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</si>
  <si>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</si>
  <si>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</si>
  <si>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</si>
  <si>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</si>
  <si>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</si>
  <si>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</si>
  <si>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</si>
  <si>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</si>
  <si>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</si>
  <si>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</si>
  <si>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</si>
  <si>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</si>
  <si>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</si>
  <si>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</si>
  <si>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</si>
  <si>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</si>
  <si>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</si>
  <si>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</si>
  <si>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</si>
  <si>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</si>
  <si>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</si>
  <si>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</si>
  <si>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</si>
  <si>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</si>
  <si>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</si>
  <si>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</si>
  <si>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</si>
  <si>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</si>
  <si>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</si>
  <si>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</si>
  <si>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</si>
  <si>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</si>
  <si>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</si>
  <si>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</si>
  <si>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</si>
  <si>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</si>
  <si>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</si>
  <si>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</si>
  <si>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</si>
  <si>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</si>
  <si>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</si>
  <si>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</si>
  <si>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</si>
  <si>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</si>
  <si>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</si>
  <si>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</si>
  <si>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</si>
  <si>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</si>
  <si>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</si>
  <si>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</si>
  <si>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</si>
  <si>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</si>
  <si>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</si>
  <si>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</si>
  <si>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</si>
  <si>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</si>
  <si>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</si>
  <si>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</si>
  <si>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</si>
  <si>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</si>
  <si>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</si>
  <si>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</si>
  <si>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</si>
  <si>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</si>
  <si>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</si>
  <si>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</si>
  <si>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</si>
  <si>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</si>
  <si>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</si>
  <si>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</si>
  <si>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</si>
  <si>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</si>
  <si>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</si>
  <si>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</si>
  <si>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</si>
  <si>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</si>
  <si>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</si>
  <si>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</si>
  <si>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</si>
  <si>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</si>
  <si>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</si>
  <si>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</si>
  <si>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</si>
  <si>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</si>
  <si>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</si>
  <si>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</si>
  <si>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</si>
  <si>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</si>
  <si>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</si>
  <si>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</si>
  <si>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</si>
  <si>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</si>
  <si>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</si>
  <si>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</si>
  <si>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</si>
  <si>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</si>
  <si>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</si>
  <si>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</si>
  <si>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</si>
  <si>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</si>
  <si>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</si>
  <si>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</si>
  <si>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</si>
  <si>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</si>
  <si>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</si>
  <si>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</si>
  <si>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</si>
  <si>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</si>
  <si>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</si>
  <si>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</si>
  <si>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</si>
  <si>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</si>
  <si>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</si>
  <si>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</si>
  <si>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</si>
  <si>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</si>
  <si>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</si>
  <si>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</si>
  <si>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</si>
  <si>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</si>
  <si>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</si>
  <si>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</si>
  <si>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</si>
  <si>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</si>
  <si>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</si>
  <si>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</si>
  <si>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</si>
  <si>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</si>
  <si>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</si>
  <si>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</si>
  <si>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</si>
  <si>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</si>
  <si>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</si>
  <si>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</si>
  <si>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</si>
  <si>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</si>
  <si>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</si>
  <si>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</si>
  <si>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</si>
  <si>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</si>
  <si>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</si>
  <si>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</si>
  <si>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</si>
  <si>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</si>
  <si>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</si>
  <si>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</si>
  <si>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</si>
  <si>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</si>
  <si>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</si>
  <si>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</si>
  <si>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</si>
  <si>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</si>
  <si>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</si>
  <si>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</si>
  <si>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</si>
  <si>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</si>
  <si>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</si>
  <si>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</si>
  <si>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</si>
  <si>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</si>
  <si>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</si>
  <si>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</si>
  <si>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</si>
  <si>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</si>
  <si>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</si>
  <si>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</si>
  <si>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</si>
  <si>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</si>
  <si>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</si>
  <si>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</si>
  <si>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</si>
  <si>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</si>
  <si>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</si>
  <si>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</si>
  <si>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</si>
  <si>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</si>
  <si>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</si>
  <si>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</si>
  <si>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</si>
  <si>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</si>
  <si>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</si>
  <si>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</si>
  <si>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</si>
  <si>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</si>
  <si>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</si>
  <si>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</si>
  <si>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</si>
  <si>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</si>
  <si>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</si>
  <si>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</si>
  <si>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</si>
  <si>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</si>
  <si>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</si>
  <si>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</si>
  <si>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</si>
  <si>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</si>
  <si>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</si>
  <si>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</si>
  <si>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</si>
  <si>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</si>
  <si>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</si>
  <si>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</si>
  <si>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</si>
  <si>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</si>
  <si>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</si>
  <si>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</si>
  <si>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</si>
  <si>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</si>
  <si>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</si>
  <si>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</si>
  <si>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</si>
  <si>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</si>
  <si>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</si>
  <si>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</si>
  <si>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</si>
  <si>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</si>
  <si>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</si>
  <si>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</si>
  <si>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</si>
  <si>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</si>
  <si>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</si>
  <si>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</si>
  <si>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</si>
  <si>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</si>
  <si>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</si>
  <si>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</si>
  <si>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</si>
  <si>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</si>
  <si>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</si>
  <si>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</si>
  <si>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</si>
  <si>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</si>
  <si>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</si>
  <si>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</si>
  <si>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</si>
  <si>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</si>
  <si>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</si>
  <si>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</si>
  <si>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</si>
  <si>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</si>
  <si>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</si>
  <si>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</si>
  <si>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</si>
  <si>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</si>
  <si>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</si>
  <si>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</si>
  <si>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</si>
  <si>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</si>
  <si>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</si>
  <si>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</si>
  <si>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</si>
  <si>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</si>
  <si>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</si>
  <si>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</si>
  <si>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</si>
  <si>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</si>
  <si>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</si>
  <si>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</si>
  <si>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</si>
  <si>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</si>
  <si>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</si>
  <si>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</si>
  <si>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</si>
  <si>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</si>
  <si>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</si>
  <si>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</si>
  <si>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</si>
  <si>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</si>
  <si>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</si>
  <si>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</si>
  <si>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</si>
  <si>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</si>
  <si>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</si>
  <si>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</si>
  <si>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</si>
  <si>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</si>
  <si>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</si>
  <si>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</si>
  <si>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</si>
  <si>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</si>
  <si>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</si>
  <si>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</si>
  <si>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</si>
  <si>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</si>
  <si>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</si>
  <si>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</si>
  <si>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</si>
  <si>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</si>
  <si>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</si>
  <si>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</si>
  <si>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</si>
  <si>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</si>
  <si>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</si>
  <si>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</si>
  <si>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</si>
  <si>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</si>
  <si>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</si>
  <si>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</si>
  <si>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</si>
  <si>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</si>
  <si>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</si>
  <si>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</si>
  <si>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</si>
  <si>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</si>
  <si>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</si>
  <si>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</si>
  <si>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</si>
  <si>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</si>
  <si>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</si>
  <si>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</si>
  <si>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</si>
  <si>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</si>
  <si>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</si>
  <si>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</si>
  <si>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</si>
  <si>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</si>
  <si>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</si>
  <si>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</si>
  <si>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</si>
  <si>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</si>
  <si>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</si>
  <si>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</si>
  <si>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</si>
  <si>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</si>
  <si>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</si>
  <si>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</si>
  <si>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</si>
  <si>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</si>
  <si>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</si>
  <si>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</si>
  <si>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</si>
  <si>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</si>
  <si>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</si>
  <si>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</si>
  <si>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</si>
  <si>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</si>
  <si>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</si>
  <si>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</si>
  <si>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</si>
  <si>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</si>
  <si>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</si>
  <si>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</si>
  <si>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</si>
  <si>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</si>
  <si>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</si>
  <si>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</si>
  <si>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</si>
  <si>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</si>
  <si>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</si>
  <si>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</si>
  <si>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</si>
  <si>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</si>
  <si>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</si>
  <si>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</si>
  <si>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</si>
  <si>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</si>
  <si>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</si>
  <si>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</si>
  <si>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</si>
  <si>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</si>
  <si>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</si>
  <si>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</si>
  <si>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</si>
  <si>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</si>
  <si>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</si>
  <si>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</si>
  <si>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</si>
  <si>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</si>
  <si>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</si>
  <si>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</si>
  <si>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</si>
  <si>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</si>
  <si>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</si>
  <si>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</si>
  <si>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</si>
  <si>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</si>
  <si>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</si>
  <si>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</si>
  <si>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</si>
  <si>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</si>
  <si>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</si>
  <si>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</si>
  <si>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</si>
  <si>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</si>
  <si>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</si>
  <si>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</si>
  <si>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</si>
  <si>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</si>
  <si>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</si>
  <si>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</si>
  <si>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</si>
  <si>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</si>
  <si>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</si>
  <si>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</si>
  <si>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</si>
  <si>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</si>
  <si>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</si>
  <si>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</si>
  <si>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</si>
  <si>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</si>
  <si>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</si>
  <si>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</si>
  <si>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</si>
  <si>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</si>
  <si>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</si>
  <si>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</si>
  <si>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</si>
  <si>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</si>
  <si>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</si>
  <si>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</si>
  <si>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</si>
  <si>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</si>
  <si>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</si>
  <si>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</si>
  <si>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</si>
  <si>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</si>
  <si>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</si>
  <si>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</si>
  <si>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</si>
  <si>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</si>
  <si>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</si>
  <si>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</si>
  <si>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</si>
  <si>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</si>
  <si>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</si>
  <si>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</si>
  <si>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</si>
  <si>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</si>
  <si>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</si>
  <si>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</si>
  <si>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</si>
  <si>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</si>
  <si>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</si>
  <si>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</si>
  <si>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</si>
  <si>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</si>
  <si>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</si>
  <si>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</si>
  <si>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</si>
  <si>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</si>
  <si>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</si>
  <si>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</si>
  <si>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</si>
  <si>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</si>
  <si>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</si>
  <si>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</si>
  <si>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</si>
  <si>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</si>
  <si>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</si>
  <si>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</si>
  <si>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</si>
  <si>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</si>
  <si>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</si>
  <si>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</si>
  <si>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</si>
  <si>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</si>
  <si>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</si>
  <si>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</si>
  <si>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</si>
  <si>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</si>
  <si>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</si>
  <si>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</si>
  <si>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</si>
  <si>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</si>
  <si>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</si>
  <si>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</si>
  <si>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</si>
  <si>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</si>
  <si>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</si>
  <si>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</si>
  <si>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</si>
  <si>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</si>
  <si>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</si>
  <si>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</si>
  <si>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</si>
  <si>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</si>
  <si>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</si>
  <si>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</si>
  <si>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</si>
  <si>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</si>
  <si>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</si>
  <si>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</si>
  <si>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</si>
  <si>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</si>
  <si>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</si>
  <si>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</si>
  <si>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</si>
  <si>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</si>
  <si>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</si>
  <si>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</si>
  <si>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</si>
  <si>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</si>
  <si>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</si>
  <si>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</si>
  <si>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</si>
  <si>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</si>
  <si>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</si>
  <si>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</si>
  <si>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</si>
  <si>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</si>
  <si>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</si>
  <si>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</si>
  <si>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</si>
  <si>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</si>
  <si>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</si>
  <si>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</si>
  <si>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</si>
  <si>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</si>
  <si>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</si>
  <si>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</si>
  <si>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</si>
  <si>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</si>
  <si>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</si>
  <si>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</si>
  <si>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</si>
  <si>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</si>
  <si>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</si>
  <si>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</si>
  <si>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</si>
  <si>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</si>
  <si>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</si>
  <si>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</si>
  <si>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</si>
  <si>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</si>
  <si>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</si>
  <si>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</si>
  <si>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</si>
  <si>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</si>
  <si>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</si>
  <si>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</si>
  <si>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</si>
  <si>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</si>
  <si>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</si>
  <si>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</si>
  <si>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</si>
  <si>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</si>
  <si>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</si>
  <si>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</si>
  <si>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</si>
  <si>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</si>
  <si>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</si>
  <si>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</si>
  <si>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</si>
  <si>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</si>
  <si>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</si>
  <si>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</si>
  <si>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</si>
  <si>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</si>
  <si>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</si>
  <si>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</si>
  <si>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</si>
  <si>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</si>
  <si>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</si>
  <si>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</si>
  <si>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</si>
  <si>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</si>
  <si>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</si>
  <si>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</si>
  <si>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</si>
  <si>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</si>
  <si>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</si>
  <si>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</si>
  <si>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</si>
  <si>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</si>
  <si>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</si>
  <si>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</si>
  <si>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</si>
  <si>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</si>
  <si>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</si>
  <si>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</si>
  <si>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</si>
  <si>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</si>
  <si>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</si>
  <si>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</si>
  <si>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</si>
  <si>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</si>
  <si>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</si>
  <si>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</si>
  <si>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</si>
  <si>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</si>
  <si>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</si>
  <si>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</si>
  <si>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</si>
  <si>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</si>
  <si>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</si>
  <si>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</si>
  <si>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</si>
  <si>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</si>
  <si>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</si>
  <si>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</si>
  <si>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</si>
  <si>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</si>
  <si>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</si>
  <si>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</si>
  <si>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</si>
  <si>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</si>
  <si>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</si>
  <si>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</si>
  <si>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</si>
  <si>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</si>
  <si>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</si>
  <si>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</si>
  <si>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</si>
  <si>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</si>
  <si>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</si>
  <si>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</si>
  <si>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</si>
  <si>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</si>
  <si>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</si>
  <si>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</si>
  <si>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</si>
  <si>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</si>
  <si>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</si>
  <si>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</si>
  <si>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</si>
  <si>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</si>
  <si>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</si>
  <si>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</si>
  <si>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</si>
  <si>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</si>
  <si>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</si>
  <si>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</si>
  <si>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</si>
  <si>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</si>
  <si>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</si>
  <si>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</si>
  <si>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</si>
  <si>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</si>
  <si>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</si>
  <si>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</si>
  <si>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</si>
  <si>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</si>
  <si>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</si>
  <si>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</si>
  <si>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</si>
  <si>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</si>
  <si>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</si>
  <si>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</si>
  <si>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</si>
  <si>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</si>
  <si>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</si>
  <si>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</si>
  <si>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</si>
  <si>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</si>
  <si>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</si>
  <si>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</si>
  <si>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</si>
  <si>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</si>
  <si>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</si>
  <si>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</si>
  <si>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</si>
  <si>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</si>
  <si>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</si>
  <si>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</si>
  <si>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</si>
  <si>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</si>
  <si>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</si>
  <si>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</si>
  <si>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</si>
  <si>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</si>
  <si>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</si>
  <si>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</si>
  <si>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</si>
  <si>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</si>
  <si>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</si>
  <si>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</si>
  <si>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</si>
  <si>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</si>
  <si>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</si>
  <si>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</si>
  <si>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</si>
  <si>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</si>
  <si>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</si>
  <si>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</si>
  <si>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</si>
  <si>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</si>
  <si>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</si>
  <si>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</si>
  <si>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</si>
  <si>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</si>
  <si>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</si>
  <si>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</si>
  <si>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</si>
  <si>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</si>
  <si>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</si>
  <si>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</si>
  <si>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</si>
  <si>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</si>
  <si>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</si>
  <si>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</si>
  <si>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</si>
  <si>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</si>
  <si>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</si>
  <si>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</si>
  <si>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</si>
  <si>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</si>
  <si>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</si>
  <si>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</si>
  <si>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</si>
  <si>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</si>
  <si>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</si>
  <si>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</si>
  <si>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</si>
  <si>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</si>
  <si>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</si>
  <si>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</si>
  <si>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</si>
  <si>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</si>
  <si>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</si>
  <si>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</si>
  <si>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</si>
  <si>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</si>
  <si>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</si>
  <si>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</si>
  <si>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</si>
  <si>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</si>
  <si>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</si>
  <si>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</si>
  <si>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</si>
  <si>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</si>
  <si>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</si>
  <si>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</si>
  <si>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</si>
  <si>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</si>
  <si>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</si>
  <si>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</si>
  <si>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</si>
  <si>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</si>
  <si>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</si>
  <si>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</si>
  <si>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</si>
  <si>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</si>
  <si>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</si>
  <si>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</si>
  <si>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</si>
  <si>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</si>
  <si>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</si>
  <si>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</si>
  <si>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</si>
  <si>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</si>
  <si>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</si>
  <si>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</si>
  <si>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</si>
  <si>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</si>
  <si>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</si>
  <si>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</si>
  <si>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</si>
  <si>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</si>
  <si>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</si>
  <si>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</si>
  <si>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</si>
  <si>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</si>
  <si>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</si>
  <si>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</si>
  <si>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</si>
  <si>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</si>
  <si>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</si>
  <si>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</si>
  <si>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</si>
  <si>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</si>
  <si>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</si>
  <si>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</si>
  <si>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</si>
  <si>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</si>
  <si>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</si>
  <si>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</si>
  <si>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</si>
  <si>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</si>
  <si>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</si>
  <si>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</si>
  <si>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</si>
  <si>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</si>
  <si>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</si>
  <si>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</si>
  <si>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</si>
  <si>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</si>
  <si>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</si>
  <si>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</si>
  <si>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</si>
  <si>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</si>
  <si>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</si>
  <si>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</si>
  <si>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</si>
  <si>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</si>
  <si>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</si>
  <si>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</si>
  <si>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</si>
  <si>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</si>
  <si>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</si>
  <si>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</si>
  <si>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</si>
  <si>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</si>
  <si>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</si>
  <si>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</si>
  <si>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</si>
  <si>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</si>
  <si>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</si>
  <si>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</si>
  <si>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</si>
  <si>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</si>
  <si>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</si>
  <si>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</si>
  <si>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</si>
  <si>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</si>
  <si>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</si>
  <si>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</si>
  <si>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</si>
  <si>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</si>
  <si>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</si>
  <si>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</si>
  <si>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</si>
  <si>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</si>
  <si>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</si>
  <si>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</si>
  <si>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</si>
  <si>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</si>
  <si>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</si>
  <si>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</si>
  <si>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</si>
  <si>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</si>
  <si>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</si>
  <si>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</si>
  <si>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</si>
  <si>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</si>
  <si>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</si>
  <si>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</si>
  <si>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</si>
  <si>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</si>
  <si>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</si>
  <si>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</si>
  <si>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</si>
  <si>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</si>
  <si>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</si>
  <si>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</si>
  <si>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</si>
  <si>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</si>
  <si>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</si>
  <si>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</si>
  <si>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</si>
  <si>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</si>
  <si>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</si>
  <si>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</si>
  <si>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</si>
  <si>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</si>
  <si>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</si>
  <si>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</si>
  <si>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</si>
  <si>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</si>
  <si>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</si>
  <si>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</si>
  <si>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</si>
  <si>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</si>
  <si>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</si>
  <si>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</si>
  <si>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</si>
  <si>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</si>
  <si>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</si>
  <si>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</si>
  <si>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</si>
  <si>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</si>
  <si>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</si>
  <si>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</si>
  <si>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</si>
  <si>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</si>
  <si>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</si>
  <si>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</si>
  <si>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</si>
  <si>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</si>
  <si>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</si>
  <si>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</si>
  <si>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</si>
  <si>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</si>
  <si>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</si>
  <si>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</si>
  <si>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</si>
  <si>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</si>
  <si>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</si>
  <si>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</si>
  <si>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</si>
  <si>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</si>
  <si>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</si>
  <si>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</si>
  <si>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</si>
  <si>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</si>
  <si>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</si>
  <si>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</si>
  <si>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</si>
  <si>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</si>
  <si>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</si>
  <si>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</si>
  <si>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</si>
  <si>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</si>
  <si>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</si>
  <si>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</si>
  <si>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</si>
  <si>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</si>
  <si>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</si>
  <si>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</si>
  <si>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</si>
  <si>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</si>
  <si>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</si>
  <si>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</si>
  <si>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</si>
  <si>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</si>
  <si>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</si>
  <si>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</si>
  <si>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</si>
  <si>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</si>
  <si>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</si>
  <si>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</si>
  <si>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</si>
  <si>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</si>
  <si>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</si>
  <si>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</si>
  <si>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</si>
  <si>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</si>
  <si>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</si>
  <si>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</si>
  <si>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</si>
  <si>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</si>
  <si>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</si>
  <si>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</si>
  <si>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</si>
  <si>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</si>
  <si>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</si>
  <si>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</si>
  <si>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</si>
  <si>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</si>
  <si>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</si>
  <si>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</si>
  <si>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</si>
  <si>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</si>
  <si>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</si>
  <si>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</si>
  <si>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</si>
  <si>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</si>
  <si>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</si>
  <si>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</si>
  <si>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</si>
  <si>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</si>
  <si>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</si>
  <si>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</si>
  <si>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</si>
  <si>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</si>
  <si>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</si>
  <si>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</si>
  <si>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</si>
  <si>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</si>
  <si>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</si>
  <si>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</si>
  <si>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</si>
  <si>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</si>
  <si>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</si>
  <si>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</si>
  <si>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</si>
  <si>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</si>
  <si>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</si>
  <si>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</si>
  <si>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</si>
  <si>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</si>
  <si>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</si>
  <si>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</si>
  <si>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</si>
  <si>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</si>
  <si>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</si>
  <si>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</si>
  <si>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</si>
  <si>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</si>
  <si>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</si>
  <si>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</si>
  <si>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</si>
  <si>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</si>
  <si>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</si>
  <si>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</si>
  <si>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</si>
  <si>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</si>
  <si>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</si>
  <si>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</si>
  <si>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</si>
  <si>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</si>
  <si>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</si>
  <si>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</si>
  <si>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</si>
  <si>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</si>
  <si>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</si>
  <si>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</si>
  <si>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</si>
  <si>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</si>
  <si>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</si>
  <si>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</si>
  <si>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</si>
  <si>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</si>
  <si>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</si>
  <si>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</si>
  <si>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</si>
  <si>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</si>
  <si>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</si>
  <si>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</si>
  <si>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</si>
  <si>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</si>
  <si>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</si>
  <si>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</si>
  <si>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</si>
  <si>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</si>
  <si>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</si>
  <si>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</si>
  <si>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</si>
  <si>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</si>
  <si>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</si>
  <si>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</si>
  <si>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</si>
  <si>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</si>
  <si>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</si>
  <si>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</si>
  <si>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</si>
  <si>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</si>
  <si>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</si>
  <si>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</si>
  <si>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</si>
  <si>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</si>
  <si>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</si>
  <si>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</si>
  <si>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</si>
  <si>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</si>
  <si>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</si>
  <si>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</si>
  <si>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</si>
  <si>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</si>
  <si>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</si>
  <si>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</si>
  <si>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</si>
  <si>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</si>
  <si>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</si>
  <si>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</si>
  <si>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</si>
  <si>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</si>
  <si>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</si>
  <si>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</si>
  <si>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</si>
  <si>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</si>
  <si>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</si>
  <si>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</si>
  <si>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</si>
  <si>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</si>
  <si>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</si>
  <si>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</si>
  <si>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</si>
  <si>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</si>
  <si>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</si>
  <si>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</si>
  <si>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</si>
  <si>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</si>
  <si>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</si>
  <si>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</si>
  <si>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</si>
  <si>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</si>
  <si>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</si>
  <si>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</si>
  <si>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</si>
  <si>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</si>
  <si>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</si>
  <si>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</si>
  <si>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</si>
  <si>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</si>
  <si>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</si>
  <si>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</si>
  <si>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</si>
  <si>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</si>
  <si>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</si>
  <si>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</si>
  <si>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</si>
  <si>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</si>
  <si>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</si>
  <si>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</si>
  <si>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</si>
  <si>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</si>
  <si>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</si>
  <si>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</si>
  <si>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</si>
  <si>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</si>
  <si>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</si>
  <si>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</si>
  <si>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</si>
  <si>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</si>
  <si>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</si>
  <si>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</si>
  <si>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</si>
  <si>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</si>
  <si>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</si>
  <si>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</si>
  <si>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</si>
  <si>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</si>
  <si>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</si>
  <si>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</si>
  <si>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</si>
  <si>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</si>
  <si>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</si>
  <si>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</si>
  <si>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</si>
  <si>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</si>
  <si>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</si>
  <si>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</si>
  <si>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</si>
  <si>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</si>
  <si>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</si>
  <si>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</si>
  <si>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</si>
  <si>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</si>
  <si>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</si>
  <si>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</si>
  <si>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</si>
  <si>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</si>
  <si>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</si>
  <si>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</si>
  <si>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</si>
  <si>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</si>
  <si>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</si>
  <si>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</si>
  <si>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</si>
  <si>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</si>
  <si>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</si>
  <si>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</si>
  <si>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</si>
  <si>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</si>
  <si>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</si>
  <si>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</si>
  <si>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</si>
  <si>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</si>
  <si>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</si>
  <si>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</si>
  <si>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</si>
  <si>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</si>
  <si>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</si>
  <si>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</si>
  <si>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</si>
  <si>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</si>
  <si>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</si>
  <si>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</si>
  <si>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</si>
  <si>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</si>
  <si>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</si>
  <si>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</si>
  <si>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</si>
  <si>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</si>
  <si>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</si>
  <si>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</si>
  <si>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</si>
  <si>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</si>
  <si>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</si>
  <si>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</si>
  <si>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</si>
  <si>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</si>
  <si>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</si>
  <si>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</si>
  <si>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</si>
  <si>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</si>
  <si>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</si>
  <si>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</si>
  <si>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</si>
  <si>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</si>
  <si>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</si>
  <si>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</si>
  <si>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</si>
  <si>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</si>
  <si>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</si>
  <si>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</si>
  <si>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</si>
  <si>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</si>
  <si>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</si>
  <si>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</si>
  <si>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</si>
  <si>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</si>
  <si>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</si>
  <si>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</si>
  <si>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</si>
  <si>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</si>
  <si>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</si>
  <si>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</si>
  <si>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</si>
  <si>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</si>
  <si>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</si>
  <si>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</si>
  <si>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</si>
  <si>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</si>
  <si>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</si>
  <si>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</si>
  <si>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</si>
  <si>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</si>
  <si>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</si>
  <si>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</si>
  <si>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</si>
  <si>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</si>
  <si>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</si>
  <si>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</si>
  <si>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</si>
  <si>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</si>
  <si>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</si>
  <si>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</si>
  <si>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</si>
  <si>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</si>
  <si>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</si>
  <si>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</si>
  <si>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</si>
  <si>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</si>
  <si>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</si>
  <si>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</si>
  <si>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</si>
  <si>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</si>
  <si>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</si>
  <si>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</si>
  <si>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</si>
  <si>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</si>
  <si>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</si>
  <si>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</si>
  <si>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</si>
  <si>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</si>
  <si>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</si>
  <si>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</si>
  <si>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</si>
  <si>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</si>
  <si>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</si>
  <si>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</si>
  <si>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</si>
  <si>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</si>
  <si>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</si>
  <si>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</si>
  <si>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</si>
  <si>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</si>
  <si>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</si>
  <si>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</si>
  <si>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</si>
  <si>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</si>
  <si>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</si>
  <si>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</si>
  <si>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</si>
  <si>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</si>
  <si>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</si>
  <si>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</si>
  <si>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</si>
  <si>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</si>
  <si>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</si>
  <si>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</si>
  <si>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</si>
  <si>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</si>
  <si>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</si>
  <si>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</si>
  <si>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</si>
  <si>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</si>
  <si>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</si>
  <si>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</si>
  <si>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</si>
  <si>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</si>
  <si>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</si>
  <si>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</si>
  <si>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</si>
  <si>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</si>
  <si>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</si>
  <si>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</si>
  <si>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</si>
  <si>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</si>
  <si>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</si>
  <si>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</si>
  <si>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</si>
  <si>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</si>
  <si>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</si>
  <si>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</si>
  <si>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</si>
  <si>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</si>
  <si>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</si>
  <si>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</si>
  <si>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</si>
  <si>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</si>
  <si>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</si>
  <si>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</si>
  <si>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</si>
  <si>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</si>
  <si>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</si>
  <si>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</si>
  <si>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</si>
  <si>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</si>
  <si>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</si>
  <si>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</si>
  <si>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</si>
  <si>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</si>
  <si>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</si>
  <si>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</si>
  <si>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</si>
  <si>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</si>
  <si>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</si>
  <si>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</si>
  <si>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</si>
  <si>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</si>
  <si>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</si>
  <si>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</si>
  <si>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</si>
  <si>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</si>
  <si>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</si>
  <si>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</si>
  <si>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</si>
  <si>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</si>
  <si>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</si>
  <si>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</si>
  <si>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</si>
  <si>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</si>
  <si>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</si>
  <si>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</si>
  <si>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</si>
  <si>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</si>
  <si>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</si>
  <si>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</si>
  <si>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</si>
  <si>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</si>
  <si>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</si>
  <si>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</si>
  <si>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</si>
  <si>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</si>
  <si>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</si>
  <si>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</si>
  <si>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</si>
  <si>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</si>
  <si>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</si>
  <si>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</si>
  <si>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</si>
  <si>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</si>
  <si>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</si>
  <si>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</si>
  <si>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</si>
  <si>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</si>
  <si>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</si>
  <si>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</si>
  <si>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</si>
  <si>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</si>
  <si>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</si>
  <si>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</si>
  <si>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</si>
  <si>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</si>
  <si>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</si>
  <si>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</si>
  <si>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</si>
  <si>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</si>
  <si>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</si>
  <si>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</si>
  <si>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</si>
  <si>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</si>
  <si>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</si>
  <si>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</si>
  <si>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</si>
  <si>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</si>
  <si>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</si>
  <si>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</si>
  <si>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</si>
  <si>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</si>
  <si>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</si>
  <si>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</si>
  <si>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</si>
  <si>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</si>
  <si>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</si>
  <si>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</si>
  <si>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</si>
  <si>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</si>
  <si>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</si>
  <si>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</si>
  <si>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</si>
  <si>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</si>
  <si>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</si>
  <si>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</si>
  <si>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</si>
  <si>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</si>
  <si>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</si>
  <si>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</si>
  <si>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</si>
  <si>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</si>
  <si>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</si>
  <si>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</si>
  <si>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</si>
  <si>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</si>
  <si>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</si>
  <si>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</si>
  <si>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</si>
  <si>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</si>
  <si>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</si>
  <si>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</si>
  <si>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</si>
  <si>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</si>
  <si>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</si>
  <si>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</si>
  <si>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</si>
  <si>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</si>
  <si>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</si>
  <si>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</si>
  <si>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</si>
  <si>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</si>
  <si>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</si>
  <si>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</si>
  <si>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</si>
  <si>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</si>
  <si>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</si>
  <si>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</si>
  <si>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</si>
  <si>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</si>
  <si>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</si>
  <si>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</si>
  <si>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</si>
  <si>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</si>
  <si>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</si>
  <si>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</si>
  <si>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</si>
  <si>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</si>
  <si>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</si>
  <si>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</si>
  <si>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</si>
  <si>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</si>
  <si>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</si>
  <si>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</si>
  <si>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</si>
  <si>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</si>
  <si>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</si>
  <si>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</si>
  <si>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</si>
  <si>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</si>
  <si>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</si>
  <si>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</si>
  <si>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</si>
  <si>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</si>
  <si>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</si>
  <si>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</si>
  <si>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</si>
  <si>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</si>
  <si>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</si>
  <si>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</si>
  <si>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</si>
  <si>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</si>
  <si>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</si>
  <si>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</si>
  <si>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</si>
  <si>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</si>
  <si>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</si>
  <si>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</si>
  <si>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</si>
  <si>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</si>
  <si>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</si>
  <si>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</si>
  <si>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</si>
  <si>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</si>
  <si>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</si>
  <si>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</si>
  <si>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</si>
  <si>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</si>
  <si>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</si>
  <si>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</si>
  <si>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</si>
  <si>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</si>
  <si>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</si>
  <si>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</si>
  <si>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</si>
  <si>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</si>
  <si>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</si>
  <si>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</si>
  <si>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</si>
  <si>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</si>
  <si>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</si>
  <si>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</si>
  <si>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</si>
  <si>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</si>
  <si>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</si>
  <si>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</si>
  <si>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</si>
  <si>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</si>
  <si>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</si>
  <si>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</si>
  <si>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</si>
  <si>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</si>
  <si>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</si>
  <si>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</si>
  <si>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</si>
  <si>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</si>
  <si>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</si>
  <si>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</si>
  <si>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</si>
  <si>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</si>
  <si>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</si>
  <si>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</si>
  <si>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</si>
  <si>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</si>
  <si>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</si>
  <si>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</si>
  <si>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</si>
  <si>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</si>
  <si>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</si>
  <si>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</si>
  <si>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</si>
  <si>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</si>
  <si>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</si>
  <si>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</si>
  <si>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</si>
  <si>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</si>
  <si>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</si>
  <si>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</si>
  <si>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</si>
  <si>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</si>
  <si>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</si>
  <si>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</si>
  <si>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</si>
  <si>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</si>
  <si>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</si>
  <si>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</si>
  <si>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</si>
  <si>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</si>
  <si>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</si>
  <si>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</si>
  <si>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</si>
  <si>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</si>
  <si>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</si>
  <si>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</si>
  <si>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</si>
  <si>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</si>
  <si>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</si>
  <si>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</si>
  <si>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</si>
  <si>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</si>
  <si>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</si>
  <si>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</si>
  <si>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</si>
  <si>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</si>
  <si>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</si>
  <si>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</si>
  <si>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</si>
  <si>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</si>
  <si>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</si>
  <si>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</si>
  <si>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</si>
  <si>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</si>
  <si>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</si>
  <si>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</si>
  <si>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</si>
  <si>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</si>
  <si>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</si>
  <si>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</si>
  <si>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</si>
  <si>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</si>
  <si>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</si>
  <si>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</si>
  <si>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</si>
  <si>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</si>
  <si>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</si>
  <si>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</si>
  <si>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</si>
  <si>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</si>
  <si>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</si>
  <si>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</si>
  <si>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</si>
  <si>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</si>
  <si>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</si>
  <si>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</si>
  <si>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</si>
  <si>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</si>
  <si>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</si>
  <si>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</si>
  <si>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</si>
  <si>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</si>
  <si>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</si>
  <si>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</si>
  <si>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</si>
  <si>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</si>
  <si>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</si>
  <si>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</si>
  <si>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</si>
  <si>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</si>
  <si>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</si>
  <si>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</si>
  <si>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</si>
  <si>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</si>
  <si>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</si>
  <si>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</si>
  <si>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</si>
  <si>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</si>
  <si>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</si>
  <si>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</si>
  <si>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</si>
  <si>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</si>
  <si>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</si>
  <si>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</si>
  <si>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</si>
  <si>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</si>
  <si>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</si>
  <si>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</si>
  <si>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</si>
  <si>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</si>
  <si>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</si>
  <si>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</si>
  <si>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</si>
  <si>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</si>
  <si>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</si>
  <si>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</si>
  <si>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</si>
  <si>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</si>
  <si>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</si>
  <si>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</si>
  <si>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</si>
  <si>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</si>
  <si>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</si>
  <si>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</si>
  <si>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</si>
  <si>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</si>
  <si>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</si>
  <si>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</si>
  <si>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</si>
  <si>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</si>
  <si>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</si>
  <si>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</si>
  <si>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</si>
  <si>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</si>
  <si>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</si>
  <si>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</si>
  <si>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</si>
  <si>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</si>
  <si>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</si>
  <si>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</si>
  <si>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</si>
  <si>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</si>
  <si>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</si>
  <si>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</si>
  <si>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</si>
  <si>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</si>
  <si>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</si>
  <si>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</si>
  <si>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</si>
  <si>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</si>
  <si>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</si>
  <si>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</si>
  <si>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</si>
  <si>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</si>
  <si>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</si>
  <si>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</si>
  <si>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</si>
  <si>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</si>
  <si>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</si>
  <si>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</si>
  <si>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</si>
  <si>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</si>
  <si>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</si>
  <si>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</si>
  <si>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</si>
  <si>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</si>
  <si>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</si>
  <si>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</si>
  <si>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</si>
  <si>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</si>
  <si>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</si>
  <si>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</si>
  <si>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</si>
  <si>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</si>
  <si>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</si>
  <si>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</si>
  <si>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</si>
  <si>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</si>
  <si>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</si>
  <si>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</si>
  <si>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</si>
  <si>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</si>
  <si>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</si>
  <si>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</si>
  <si>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</si>
  <si>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</si>
  <si>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</si>
  <si>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</si>
  <si>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</si>
  <si>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</si>
  <si>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</si>
  <si>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</si>
  <si>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</si>
  <si>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</si>
  <si>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</si>
  <si>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</si>
  <si>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</si>
  <si>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</si>
  <si>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</si>
  <si>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</si>
  <si>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</si>
  <si>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</si>
  <si>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</si>
  <si>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</si>
  <si>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</si>
  <si>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</si>
  <si>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</si>
  <si>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</si>
  <si>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</si>
  <si>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</si>
  <si>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</si>
  <si>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</si>
  <si>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</si>
  <si>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</si>
  <si>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</si>
  <si>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</si>
  <si>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</si>
  <si>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</si>
  <si>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</si>
  <si>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</si>
  <si>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</si>
  <si>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</si>
  <si>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</si>
  <si>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</si>
  <si>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</si>
  <si>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</si>
  <si>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</si>
  <si>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</si>
  <si>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</si>
  <si>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</si>
  <si>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</si>
  <si>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</si>
  <si>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</si>
  <si>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</si>
  <si>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</si>
  <si>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</si>
  <si>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</si>
  <si>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</si>
  <si>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</si>
  <si>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</si>
  <si>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</si>
  <si>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</si>
  <si>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</si>
  <si>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</si>
  <si>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</si>
  <si>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</si>
  <si>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</si>
  <si>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</si>
  <si>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</si>
  <si>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</si>
  <si>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</si>
  <si>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</si>
  <si>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</si>
  <si>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</si>
  <si>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</si>
  <si>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</si>
  <si>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</si>
  <si>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</si>
  <si>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</si>
  <si>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</si>
  <si>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</si>
  <si>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</si>
  <si>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</si>
  <si>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</si>
  <si>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</si>
  <si>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</si>
  <si>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</si>
  <si>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</si>
  <si>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</si>
  <si>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</si>
  <si>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</si>
  <si>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</si>
  <si>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</si>
  <si>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</si>
  <si>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</si>
  <si>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</si>
  <si>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</si>
  <si>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</si>
  <si>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</si>
  <si>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</si>
  <si>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</si>
  <si>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</si>
  <si>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</si>
  <si>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</si>
  <si>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</si>
  <si>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</si>
  <si>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</si>
  <si>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</si>
  <si>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</si>
  <si>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</si>
  <si>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</si>
  <si>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</si>
  <si>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</si>
  <si>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</si>
  <si>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</si>
  <si>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</si>
  <si>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</si>
  <si>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</si>
  <si>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</si>
  <si>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</si>
  <si>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</si>
  <si>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</si>
  <si>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</si>
  <si>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</si>
  <si>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</si>
  <si>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</si>
  <si>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</si>
  <si>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</si>
  <si>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</si>
  <si>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</si>
  <si>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</si>
  <si>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</si>
  <si>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</si>
  <si>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</si>
  <si>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</si>
  <si>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</si>
  <si>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</si>
  <si>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</si>
  <si>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</si>
  <si>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</si>
  <si>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</si>
  <si>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</si>
  <si>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</si>
  <si>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</si>
  <si>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</si>
  <si>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</si>
  <si>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</si>
  <si>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</si>
  <si>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</si>
  <si>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</si>
  <si>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</si>
  <si>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</si>
  <si>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</si>
  <si>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</si>
  <si>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</si>
  <si>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</si>
  <si>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</si>
  <si>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</si>
  <si>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</si>
  <si>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</si>
  <si>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</si>
  <si>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</si>
  <si>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</si>
  <si>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</si>
  <si>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</si>
  <si>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</si>
  <si>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</si>
  <si>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</si>
  <si>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</si>
  <si>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</si>
  <si>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</si>
  <si>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</si>
  <si>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</si>
  <si>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</si>
  <si>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</si>
  <si>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</si>
  <si>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</si>
  <si>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</si>
  <si>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</si>
  <si>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</si>
  <si>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</si>
  <si>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</si>
  <si>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</si>
  <si>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</si>
  <si>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</si>
  <si>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</si>
  <si>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</si>
  <si>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</si>
  <si>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</si>
  <si>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</si>
  <si>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</si>
  <si>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</si>
  <si>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</si>
  <si>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</si>
  <si>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</si>
  <si>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</si>
  <si>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</si>
  <si>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</si>
  <si>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</si>
  <si>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</si>
  <si>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</si>
  <si>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</si>
  <si>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</si>
  <si>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</si>
  <si>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</si>
  <si>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</si>
  <si>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</si>
  <si>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</si>
  <si>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</si>
  <si>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</si>
  <si>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</si>
  <si>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</si>
  <si>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</si>
  <si>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</si>
  <si>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</si>
  <si>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</si>
  <si>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</si>
  <si>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</si>
  <si>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</si>
  <si>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</si>
  <si>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</si>
  <si>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</si>
  <si>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</si>
  <si>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</si>
  <si>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</si>
  <si>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</si>
  <si>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</si>
  <si>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</si>
  <si>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</si>
  <si>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</si>
  <si>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</si>
  <si>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</si>
  <si>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</si>
  <si>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</si>
  <si>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</si>
  <si>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</si>
  <si>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</si>
  <si>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</si>
  <si>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</si>
  <si>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</si>
  <si>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</si>
  <si>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</si>
  <si>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</si>
  <si>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</si>
  <si>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</si>
  <si>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</si>
  <si>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</si>
  <si>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</si>
  <si>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</si>
  <si>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</si>
  <si>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</si>
  <si>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</si>
  <si>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</si>
  <si>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</si>
  <si>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</si>
  <si>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</si>
  <si>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</si>
  <si>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</si>
  <si>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</si>
  <si>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</si>
  <si>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</si>
  <si>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</si>
  <si>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</si>
  <si>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</si>
  <si>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</si>
  <si>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</si>
  <si>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</si>
  <si>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</si>
  <si>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</si>
  <si>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</si>
  <si>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</si>
  <si>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</si>
  <si>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</si>
  <si>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</si>
  <si>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</si>
  <si>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</si>
  <si>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</si>
  <si>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</si>
  <si>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</si>
  <si>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</si>
  <si>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</si>
  <si>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</si>
  <si>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</si>
  <si>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</si>
  <si>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</si>
  <si>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</si>
  <si>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</si>
  <si>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</si>
  <si>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</si>
  <si>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</si>
  <si>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</si>
  <si>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</si>
  <si>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</si>
  <si>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</si>
  <si>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</si>
  <si>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</si>
  <si>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</si>
  <si>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</si>
  <si>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</si>
  <si>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</si>
  <si>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</si>
  <si>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</si>
  <si>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</si>
  <si>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</si>
  <si>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</si>
  <si>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</si>
  <si>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</si>
  <si>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</si>
  <si>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</si>
  <si>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</si>
  <si>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</si>
  <si>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</si>
  <si>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</si>
  <si>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</si>
  <si>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</si>
  <si>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</si>
  <si>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</si>
  <si>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</si>
  <si>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</si>
  <si>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</si>
  <si>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</si>
  <si>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</si>
  <si>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</si>
  <si>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</si>
  <si>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</si>
  <si>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</si>
  <si>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</si>
  <si>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</si>
  <si>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</si>
  <si>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</si>
  <si>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</si>
  <si>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</si>
  <si>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</si>
  <si>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</si>
  <si>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</si>
  <si>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</si>
  <si>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</si>
  <si>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</si>
  <si>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</si>
  <si>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</si>
  <si>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</si>
  <si>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</si>
  <si>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</si>
  <si>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</si>
  <si>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</si>
  <si>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</si>
  <si>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</si>
  <si>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</si>
  <si>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</si>
  <si>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</si>
  <si>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</si>
  <si>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</si>
  <si>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</si>
  <si>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</si>
  <si>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</si>
  <si>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</si>
  <si>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</si>
  <si>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</si>
  <si>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</si>
  <si>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</si>
  <si>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</si>
  <si>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</si>
  <si>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</si>
  <si>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</si>
  <si>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</si>
  <si>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</si>
  <si>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</si>
  <si>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</si>
  <si>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</si>
  <si>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</si>
  <si>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</si>
  <si>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</si>
  <si>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</si>
  <si>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</si>
  <si>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</si>
  <si>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</si>
  <si>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</si>
  <si>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</si>
  <si>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</si>
  <si>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</si>
  <si>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</si>
  <si>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</si>
  <si>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</si>
  <si>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</si>
  <si>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</si>
  <si>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</si>
  <si>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</si>
  <si>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</si>
  <si>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</si>
  <si>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</si>
  <si>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</si>
  <si>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</si>
  <si>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</si>
  <si>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</si>
  <si>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</si>
  <si>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</si>
  <si>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</si>
  <si>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</si>
  <si>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</si>
  <si>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</si>
  <si>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</si>
  <si>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</si>
  <si>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</si>
  <si>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</si>
  <si>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</si>
  <si>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</si>
  <si>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</si>
  <si>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</si>
  <si>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</si>
  <si>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</si>
  <si>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</si>
  <si>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</si>
  <si>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</si>
  <si>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</si>
  <si>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</si>
  <si>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</si>
  <si>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</si>
  <si>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</si>
  <si>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</si>
  <si>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</si>
  <si>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</si>
  <si>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</si>
  <si>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</si>
  <si>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</si>
  <si>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</si>
  <si>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</si>
  <si>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</si>
  <si>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</si>
  <si>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</si>
  <si>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</si>
  <si>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</si>
  <si>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</si>
  <si>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</si>
  <si>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</si>
  <si>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</si>
  <si>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</si>
  <si>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</si>
  <si>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</si>
  <si>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</si>
  <si>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</si>
  <si>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</si>
  <si>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</si>
  <si>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</si>
  <si>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</si>
  <si>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</si>
  <si>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</si>
  <si>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</si>
  <si>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</si>
  <si>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</si>
  <si>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</si>
  <si>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</si>
  <si>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</si>
  <si>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</si>
  <si>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</si>
  <si>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</si>
  <si>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</si>
  <si>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</si>
  <si>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</si>
  <si>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</si>
  <si>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</si>
  <si>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</si>
  <si>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</si>
  <si>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</si>
  <si>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</si>
  <si>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</si>
  <si>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</si>
  <si>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</si>
  <si>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</si>
  <si>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</si>
  <si>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</si>
  <si>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</si>
  <si>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</si>
  <si>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</si>
  <si>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</si>
  <si>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</si>
  <si>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</si>
  <si>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</si>
  <si>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</si>
  <si>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</si>
  <si>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</si>
  <si>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</si>
  <si>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</si>
  <si>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</si>
  <si>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</si>
  <si>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</si>
  <si>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</si>
  <si>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</si>
  <si>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</si>
  <si>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</si>
  <si>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</si>
  <si>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</si>
  <si>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</si>
  <si>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</si>
  <si>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</si>
  <si>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</si>
  <si>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</si>
  <si>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</si>
  <si>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</si>
  <si>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</si>
  <si>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</si>
  <si>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</si>
  <si>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</si>
  <si>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</si>
  <si>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</si>
  <si>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</si>
  <si>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</si>
  <si>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</si>
  <si>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</si>
  <si>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</si>
  <si>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</si>
  <si>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</si>
  <si>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</si>
  <si>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</si>
  <si>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</si>
  <si>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</si>
  <si>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</si>
  <si>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</si>
  <si>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</si>
  <si>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</si>
  <si>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</si>
  <si>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</si>
  <si>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</si>
  <si>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</si>
  <si>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</si>
  <si>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</si>
  <si>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</si>
  <si>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</si>
  <si>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</si>
  <si>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</si>
  <si>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</si>
  <si>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</si>
  <si>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</si>
  <si>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</si>
  <si>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</si>
  <si>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</si>
  <si>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</si>
  <si>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</si>
  <si>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</si>
  <si>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</si>
  <si>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</si>
  <si>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</si>
  <si>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</si>
  <si>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</si>
  <si>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</si>
  <si>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</si>
  <si>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</si>
  <si>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</si>
  <si>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</si>
  <si>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</si>
  <si>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</si>
  <si>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</si>
  <si>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</si>
  <si>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</si>
  <si>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</si>
  <si>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</si>
  <si>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</si>
  <si>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</si>
  <si>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</si>
  <si>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</si>
  <si>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</si>
  <si>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</si>
  <si>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</si>
  <si>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</si>
  <si>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</si>
  <si>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</si>
  <si>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</si>
  <si>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</si>
  <si>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</si>
  <si>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</si>
  <si>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</si>
  <si>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</si>
  <si>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</si>
  <si>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</si>
  <si>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</si>
  <si>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</si>
  <si>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</si>
  <si>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</si>
  <si>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</si>
  <si>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</si>
  <si>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</si>
  <si>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</si>
  <si>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</si>
  <si>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</si>
  <si>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</si>
  <si>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</si>
  <si>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</si>
  <si>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</si>
  <si>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</si>
  <si>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</si>
  <si>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</si>
  <si>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</si>
  <si>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</si>
  <si>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</si>
  <si>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</si>
  <si>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</si>
  <si>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</si>
  <si>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</si>
  <si>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</si>
  <si>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</si>
  <si>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</si>
  <si>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</si>
  <si>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</si>
  <si>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</si>
  <si>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</si>
  <si>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</si>
  <si>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</si>
  <si>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</si>
  <si>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</si>
  <si>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</si>
  <si>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</si>
  <si>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</si>
  <si>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</si>
  <si>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</si>
  <si>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</si>
  <si>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</si>
  <si>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</si>
  <si>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</si>
  <si>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</si>
  <si>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</si>
  <si>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</si>
  <si>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</si>
  <si>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</si>
  <si>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</si>
  <si>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</si>
  <si>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</si>
  <si>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</si>
  <si>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</si>
  <si>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</si>
  <si>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</si>
  <si>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</si>
  <si>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</si>
  <si>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</si>
  <si>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</si>
  <si>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</si>
  <si>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</si>
  <si>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</si>
  <si>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</si>
  <si>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</si>
  <si>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</si>
  <si>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</si>
  <si>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</si>
  <si>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</si>
  <si>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</si>
  <si>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</si>
  <si>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</si>
  <si>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</si>
  <si>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</si>
  <si>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</si>
  <si>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</si>
  <si>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</si>
  <si>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</si>
  <si>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</si>
  <si>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</si>
  <si>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</si>
  <si>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</si>
  <si>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</si>
  <si>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</si>
  <si>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</si>
  <si>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</si>
  <si>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</si>
  <si>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</si>
  <si>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</si>
  <si>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</si>
  <si>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</si>
  <si>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</si>
  <si>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</si>
  <si>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</si>
  <si>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</si>
  <si>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</si>
  <si>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</si>
  <si>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</si>
  <si>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</si>
  <si>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</si>
  <si>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</si>
  <si>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</si>
  <si>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</si>
  <si>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</si>
  <si>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</si>
  <si>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</si>
  <si>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</si>
  <si>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</si>
  <si>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</si>
  <si>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</si>
  <si>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</si>
  <si>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</si>
  <si>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</si>
  <si>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</si>
  <si>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</si>
  <si>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</si>
  <si>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</si>
  <si>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</si>
  <si>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</si>
  <si>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</si>
  <si>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</si>
  <si>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</si>
  <si>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</si>
  <si>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</si>
  <si>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</si>
  <si>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</si>
  <si>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</si>
  <si>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</si>
  <si>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</si>
  <si>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</si>
  <si>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</si>
  <si>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</si>
  <si>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</si>
  <si>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</si>
  <si>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</si>
  <si>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</si>
  <si>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</si>
  <si>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</si>
  <si>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</si>
  <si>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</si>
  <si>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</si>
  <si>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</si>
  <si>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</si>
  <si>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</si>
  <si>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</si>
  <si>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</si>
  <si>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</si>
  <si>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</si>
  <si>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</si>
  <si>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</si>
  <si>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</si>
  <si>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</si>
  <si>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</si>
  <si>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</si>
  <si>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</si>
  <si>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</si>
  <si>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</si>
  <si>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</si>
  <si>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</si>
  <si>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</si>
  <si>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</si>
  <si>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</si>
  <si>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</si>
  <si>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</si>
  <si>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</si>
  <si>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</si>
  <si>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</si>
  <si>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</si>
  <si>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</si>
  <si>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</si>
  <si>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</si>
  <si>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</si>
  <si>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</si>
  <si>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</si>
  <si>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</si>
  <si>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</si>
  <si>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</si>
  <si>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</si>
  <si>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</si>
  <si>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</si>
  <si>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</si>
  <si>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</si>
  <si>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</si>
  <si>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</si>
  <si>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</si>
  <si>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</si>
  <si>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</si>
  <si>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</si>
  <si>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</si>
  <si>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</si>
  <si>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</si>
  <si>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</si>
  <si>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</si>
  <si>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</si>
  <si>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</si>
  <si>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</si>
  <si>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</si>
  <si>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</si>
  <si>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</si>
  <si>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</si>
  <si>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</si>
  <si>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</si>
  <si>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朝阳区北土城中路北侧OS-06A、OS-10B地块</t>
    <phoneticPr fontId="3" type="noConversion"/>
  </si>
  <si>
    <t>朝阳区孙河乡西甸村2902-71地块</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</si>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</sst>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49" fontId="144" fillId="9" borderId="24" xfId="0" applyNumberFormat="1" applyFont="1" applyFill="1" applyBorder="1" applyAlignment="1" applyProtection="1">
      <alignment horizontal="center" vertical="center" wrapText="1"/>
      <protection locked="0"/>
    </xf>
    <xf numFmtId="49" fontId="144" fillId="9" borderId="22"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178" fontId="86" fillId="9" borderId="12" xfId="2" applyNumberFormat="1" applyFont="1" applyFill="1" applyBorder="1" applyAlignment="1" applyProtection="1">
      <alignment horizontal="center"/>
    </xf>
    <xf numFmtId="0" fontId="99" fillId="9" borderId="9" xfId="0" applyNumberFormat="1" applyFont="1" applyFill="1" applyBorder="1" applyAlignment="1" applyProtection="1">
      <alignment horizontal="center" vertical="center" wrapText="1"/>
      <protection locked="0"/>
    </xf>
    <xf numFmtId="0" fontId="71" fillId="9" borderId="29" xfId="0" applyFont="1" applyFill="1" applyBorder="1" applyAlignment="1" applyProtection="1">
      <alignment horizontal="center" vertical="center" wrapText="1"/>
    </xf>
    <xf numFmtId="0" fontId="71" fillId="9" borderId="5" xfId="0" applyFont="1" applyFill="1" applyBorder="1" applyAlignment="1" applyProtection="1">
      <alignment horizontal="center" vertical="center" wrapText="1"/>
    </xf>
    <xf numFmtId="0" fontId="52" fillId="9" borderId="5" xfId="0" applyFont="1" applyFill="1" applyBorder="1" applyAlignment="1" applyProtection="1">
      <alignment horizontal="center" vertical="center" wrapText="1"/>
    </xf>
    <xf numFmtId="0" fontId="84" fillId="9" borderId="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58</xdr:row>
      <xdr:rowOff>123825</xdr:rowOff>
    </xdr:from>
    <xdr:to>
      <xdr:col>8</xdr:col>
      <xdr:colOff>590550</xdr:colOff>
      <xdr:row>91</xdr:row>
      <xdr:rowOff>142818</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963025"/>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91</xdr:row>
      <xdr:rowOff>142876</xdr:rowOff>
    </xdr:from>
    <xdr:to>
      <xdr:col>8</xdr:col>
      <xdr:colOff>571501</xdr:colOff>
      <xdr:row>123</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 y="140112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北京市海淀区“海淀北部地区整体开发”中关村环保科技园HD-0303-0071地块出让国有建设用地使用权抵押价格预评估</v>
      </c>
      <c r="AX2" s="2917"/>
      <c r="AZ2" s="2917"/>
      <c r="BA2" s="2918"/>
      <c r="BC2" s="2918"/>
    </row>
    <row r="3" spans="1:55" s="2919" customFormat="1">
      <c r="A3" s="2898" t="s">
        <v>2661</v>
      </c>
      <c r="B3" s="2901" t="str">
        <f>'预评函-封皮'!B40</f>
        <v>北京龙湖京佰置业有限公司</v>
      </c>
    </row>
    <row r="4" spans="1:55" s="2900" customFormat="1">
      <c r="A4" s="2898" t="s">
        <v>2662</v>
      </c>
      <c r="B4" s="2899" t="str">
        <f>'预评函-封皮'!B46</f>
        <v>刘梅、吴薇</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受贵公司委托，我公司对北京市海淀区“海淀北部地区整体开发”中关村环保科技园HD-0303-0071地块出让国有建设用地使用权抵押价格进行了预评估。</v>
      </c>
      <c r="AM6" s="2923"/>
    </row>
    <row r="7" spans="1:55" s="2897" customFormat="1">
      <c r="A7" s="2898" t="s">
        <v>2657</v>
      </c>
      <c r="B7" s="2899"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2018年5月18日（评估专业人员勘察现场之日）</v>
      </c>
    </row>
    <row r="11" spans="1:55" s="2897" customFormat="1">
      <c r="A11" s="2898" t="s">
        <v>2665</v>
      </c>
      <c r="B11" s="2899" t="str">
        <f>'预评函-1'!A14</f>
        <v>根据《不动产权证书》[京（2016）海淀区不动产权第0000123号]，本次评估估价对象证载（地类）用途为。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根据委托估价方介绍及评估专业人员现场勘查，本次评估估价对象实际土地开发程度为红线外市政基础设施达“七通”（即、、、、、、）、宗地红线内场地平整。</v>
      </c>
    </row>
    <row r="14" spans="1:55" s="2897" customFormat="1">
      <c r="A14" s="2898" t="s">
        <v>2668</v>
      </c>
      <c r="B14" s="2899" t="str">
        <f>'预评函-1'!A18</f>
        <v>本次评估设定土地开发程度为红线外市政基础设施达“七通”、宗地红线内场地平整。</v>
      </c>
    </row>
    <row r="15" spans="1:55" s="2897" customFormat="1">
      <c r="A15" s="2898" t="s">
        <v>2664</v>
      </c>
      <c r="B15" s="2899" t="str">
        <f>'预评函-1'!A20</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16" spans="1:55" s="2897" customFormat="1">
      <c r="A16" s="2898" t="s">
        <v>2669</v>
      </c>
      <c r="B16" s="2899"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估价期日：2018年5月18日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红线外七通、宗地红线内场地平整</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12237.13</v>
      </c>
    </row>
    <row r="44" spans="1:2">
      <c r="A44" s="2898" t="s">
        <v>2740</v>
      </c>
      <c r="B44" s="2899" t="str">
        <f>'预评函-2'!O3</f>
        <v>规划建筑面积/㎡</v>
      </c>
    </row>
    <row r="45" spans="1:2">
      <c r="A45" s="2898" t="s">
        <v>2722</v>
      </c>
      <c r="B45" s="2899">
        <f>'预评函-2'!O5</f>
        <v>64674</v>
      </c>
    </row>
    <row r="46" spans="1:2">
      <c r="A46" s="2898" t="s">
        <v>2723</v>
      </c>
      <c r="B46" s="2899">
        <f ca="1">'预评函-2'!P5</f>
        <v>116665</v>
      </c>
    </row>
    <row r="47" spans="1:2">
      <c r="A47" s="2898" t="s">
        <v>2724</v>
      </c>
      <c r="B47" s="2899">
        <f ca="1">'预评函-2'!Q5</f>
        <v>22074</v>
      </c>
    </row>
    <row r="48" spans="1:2">
      <c r="A48" s="2898" t="s">
        <v>2725</v>
      </c>
      <c r="B48" s="2899">
        <f ca="1">'预评函-2'!R5</f>
        <v>142764</v>
      </c>
    </row>
    <row r="49" spans="1:2">
      <c r="A49" s="2898" t="s">
        <v>2741</v>
      </c>
      <c r="B49" s="2899" t="str">
        <f>'预评函-2'!A6</f>
        <v>抵押价格</v>
      </c>
    </row>
    <row r="50" spans="1:2">
      <c r="A50" s="2898" t="s">
        <v>2726</v>
      </c>
      <c r="B50" s="2899">
        <f ca="1">'预评函-2'!R6</f>
        <v>142764</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1.权利限制：根据估价对象《不动产权证书》复印件、，截至估价期日，估价对象抵押权未见登记。未设定租赁等其他他项权利。</v>
      </c>
    </row>
    <row r="56" spans="1:2">
      <c r="A56" s="2898" t="s">
        <v>2679</v>
      </c>
      <c r="B56" s="2899" t="str">
        <f>'预评函-3'!A3</f>
        <v>2.基础设施条件：估价对象实际开发程度为红线外七通、宗地红线内场地平整；本次评估设定开发程度为红线外七通、宗地红线内场地平整。</v>
      </c>
    </row>
    <row r="57" spans="1:2">
      <c r="A57" s="2898" t="s">
        <v>2680</v>
      </c>
      <c r="B57" s="2899"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刘梅</v>
      </c>
    </row>
    <row r="70" spans="1:2">
      <c r="A70" s="2898" t="s">
        <v>2690</v>
      </c>
      <c r="B70" s="2905">
        <f ca="1">'预评函-3'!B20</f>
        <v>2008110059</v>
      </c>
    </row>
    <row r="71" spans="1:2">
      <c r="A71" s="2898" t="s">
        <v>2691</v>
      </c>
      <c r="B71" s="2899" t="str">
        <f>'预评函-3'!A21</f>
        <v>吴薇</v>
      </c>
    </row>
    <row r="72" spans="1:2" s="2913" customFormat="1" ht="15" thickBot="1">
      <c r="A72" s="2920" t="s">
        <v>2691</v>
      </c>
      <c r="B72" s="2926">
        <f ca="1">'预评函-3'!B21</f>
        <v>2002110125</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D47" sqref="D47"/>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69" t="str">
        <f>IF(B10="北京市","北京市",C10)&amp;F10&amp;B16&amp;"国有建设用地使用权"&amp;B9&amp;"预评估"</f>
        <v>北京市海淀区“海淀北部地区整体开发”中关村环保科技园HD-0303-0071地块出让国有建设用地使用权抵押价格预评估</v>
      </c>
      <c r="C1" s="3270"/>
      <c r="D1" s="3270"/>
      <c r="E1" s="3270"/>
      <c r="F1" s="3270"/>
      <c r="G1" s="3270"/>
      <c r="H1" s="3270"/>
      <c r="I1" s="3271"/>
      <c r="J1" s="1690"/>
      <c r="K1" s="2475" t="str">
        <f>IF(B10="北京市","北京市",C10)&amp;F10&amp;B16&amp;"国有建设用地使用权"&amp;B9</f>
        <v>北京市海淀区“海淀北部地区整体开发”中关村环保科技园HD-0303-0071地块出让国有建设用地使用权抵押价格</v>
      </c>
      <c r="L1" s="1719"/>
      <c r="M1" s="1719"/>
      <c r="N1" s="1690"/>
      <c r="O1" s="1691"/>
      <c r="P1" s="1690"/>
      <c r="Q1" s="1690"/>
      <c r="R1" s="1690"/>
      <c r="S1" s="1690"/>
      <c r="T1" s="1690"/>
      <c r="U1" s="1690"/>
    </row>
    <row r="2" spans="1:21">
      <c r="A2" s="1657" t="s">
        <v>1941</v>
      </c>
      <c r="B2" s="1838"/>
      <c r="D2" s="1690"/>
      <c r="E2" s="1690"/>
      <c r="F2" s="1690"/>
      <c r="G2" s="1690"/>
      <c r="H2" s="1657"/>
      <c r="I2" s="1691"/>
      <c r="J2" s="1690"/>
      <c r="K2" s="2475" t="str">
        <f>IF(B10="北京市","北京市",C10)&amp;F10&amp;B16&amp;"国有建设用地使用权"</f>
        <v>北京市海淀区“海淀北部地区整体开发”中关村环保科技园HD-0303-0071地块出让国有建设用地使用权</v>
      </c>
      <c r="L2" s="1719"/>
      <c r="M2" s="1719"/>
      <c r="N2" s="1690"/>
      <c r="O2" s="1691"/>
      <c r="P2" s="1690"/>
      <c r="Q2" s="1690"/>
      <c r="R2" s="1690"/>
      <c r="S2" s="1690"/>
      <c r="T2" s="1690"/>
      <c r="U2" s="1690"/>
    </row>
    <row r="3" spans="1:21">
      <c r="A3" s="1658" t="s">
        <v>1942</v>
      </c>
      <c r="B3" s="1659">
        <v>43238</v>
      </c>
      <c r="C3" s="1660" t="s">
        <v>1996</v>
      </c>
      <c r="D3" s="1659">
        <v>43238</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3059</v>
      </c>
      <c r="C4" s="1842">
        <f ca="1">SUMIF(土地估价师,B4,估价师及机构信息!E3:E24)</f>
        <v>2008110059</v>
      </c>
      <c r="D4" s="1839" t="s">
        <v>3060</v>
      </c>
      <c r="E4" s="1842">
        <f ca="1">SUMIF(土地估价师,D4,估价师及机构信息!E3:E24)</f>
        <v>2002110125</v>
      </c>
      <c r="F4" s="1839" t="s">
        <v>952</v>
      </c>
      <c r="G4" s="1842">
        <f>SUMIF(土地估价师,F4,估价师及机构信息!E3:E24)</f>
        <v>0</v>
      </c>
      <c r="H4" s="1839" t="s">
        <v>952</v>
      </c>
      <c r="I4" s="1842">
        <f>SUMIF(土地估价师,H4,估价师及机构信息!E3:E24)</f>
        <v>0</v>
      </c>
      <c r="J4" s="1690"/>
      <c r="K4" s="2475" t="str">
        <f>IF(AND(F4="——",H4="——"),B4&amp;"、"&amp;D4,IF(AND(F4&lt;&gt;"——",H4="——"),B4&amp;"、"&amp;D4&amp;"、"&amp;F4,B4&amp;"、"&amp;D4&amp;"、"&amp;F4&amp;"、"&amp;H4))</f>
        <v>刘梅、吴薇</v>
      </c>
      <c r="L4" s="1719"/>
      <c r="M4" s="1719"/>
      <c r="N4" s="1690"/>
      <c r="O4" s="1691"/>
      <c r="P4" s="1690"/>
      <c r="Q4" s="1690"/>
      <c r="R4" s="1690"/>
      <c r="S4" s="1690"/>
      <c r="T4" s="1690"/>
      <c r="U4" s="1690"/>
    </row>
    <row r="5" spans="1:21" ht="15" thickTop="1">
      <c r="A5" s="1662" t="s">
        <v>1944</v>
      </c>
      <c r="B5" s="1785" t="s">
        <v>3061</v>
      </c>
      <c r="C5" s="1663"/>
      <c r="D5" s="1664"/>
      <c r="E5" s="1690"/>
      <c r="F5" s="1690"/>
      <c r="G5" s="1690"/>
      <c r="H5" s="1657"/>
      <c r="I5" s="1691"/>
      <c r="J5" s="1690"/>
      <c r="K5" s="1770"/>
      <c r="L5" s="1719"/>
      <c r="M5" s="1719"/>
      <c r="N5" s="1690"/>
      <c r="O5" s="1691"/>
      <c r="P5" s="1690"/>
      <c r="Q5" s="1690"/>
      <c r="R5" s="1690"/>
      <c r="S5" s="1690"/>
      <c r="T5" s="1690"/>
      <c r="U5" s="1690"/>
    </row>
    <row r="6" spans="1:21" ht="26.25">
      <c r="A6" s="1660" t="s">
        <v>2706</v>
      </c>
      <c r="B6" s="1785"/>
      <c r="C6" s="1757"/>
      <c r="D6" s="1665"/>
      <c r="E6" s="1690"/>
      <c r="F6" s="1690"/>
      <c r="G6" s="1690"/>
      <c r="H6" s="1657"/>
      <c r="I6" s="1691"/>
      <c r="J6" s="1690"/>
      <c r="K6" s="3074" t="str">
        <f>IF(COUNTIF(B6,"*上海银行*"),"上海银行","")</f>
        <v/>
      </c>
      <c r="L6" s="1719"/>
      <c r="M6" s="1719"/>
      <c r="N6" s="1690"/>
      <c r="O6" s="1691"/>
      <c r="P6" s="1690"/>
      <c r="Q6" s="1690"/>
      <c r="R6" s="1690"/>
      <c r="S6" s="1690"/>
      <c r="T6" s="1690"/>
      <c r="U6" s="1690"/>
    </row>
    <row r="7" spans="1:21">
      <c r="A7" s="1666" t="s">
        <v>2707</v>
      </c>
      <c r="B7" s="1785" t="s">
        <v>3061</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3062</v>
      </c>
      <c r="C8" s="1668"/>
      <c r="D8" s="3275" t="s">
        <v>1947</v>
      </c>
      <c r="E8" s="1840" t="s">
        <v>3063</v>
      </c>
      <c r="F8" s="1669"/>
      <c r="G8" s="1657"/>
      <c r="H8" s="1657"/>
      <c r="I8" s="1703"/>
      <c r="J8" s="1690"/>
      <c r="K8" s="1770"/>
      <c r="L8" s="1719"/>
      <c r="M8" s="1719"/>
      <c r="N8" s="1690"/>
      <c r="O8" s="1691"/>
      <c r="P8" s="1690"/>
      <c r="Q8" s="1690"/>
      <c r="R8" s="1690"/>
      <c r="S8" s="1690"/>
      <c r="T8" s="1690"/>
      <c r="U8" s="1690"/>
    </row>
    <row r="9" spans="1:21" ht="15" thickBot="1">
      <c r="A9" s="1670" t="s">
        <v>1946</v>
      </c>
      <c r="B9" s="1671" t="s">
        <v>3063</v>
      </c>
      <c r="C9" s="1672"/>
      <c r="D9" s="3276"/>
      <c r="E9" s="1671"/>
      <c r="F9" s="1743"/>
      <c r="G9" s="1738"/>
      <c r="H9" s="1738"/>
      <c r="I9" s="1739"/>
      <c r="J9" s="1690"/>
      <c r="K9" s="1770"/>
      <c r="L9" s="1719"/>
      <c r="M9" s="1719"/>
      <c r="N9" s="1690"/>
      <c r="O9" s="1691"/>
      <c r="P9" s="1690"/>
      <c r="Q9" s="1690"/>
      <c r="R9" s="1690"/>
      <c r="S9" s="1690"/>
      <c r="T9" s="1690"/>
      <c r="U9" s="1690"/>
    </row>
    <row r="10" spans="1:21" ht="15" thickTop="1">
      <c r="A10" s="1740" t="s">
        <v>1999</v>
      </c>
      <c r="B10" s="1715" t="s">
        <v>1948</v>
      </c>
      <c r="C10" s="1673"/>
      <c r="D10" s="1664"/>
      <c r="E10" s="1674" t="s">
        <v>1949</v>
      </c>
      <c r="F10" s="1675" t="s">
        <v>3065</v>
      </c>
      <c r="G10" s="1741"/>
      <c r="H10" s="1742"/>
      <c r="I10" s="1664"/>
      <c r="J10" s="1690"/>
      <c r="K10" s="1770"/>
      <c r="L10" s="1719"/>
      <c r="M10" s="1719"/>
      <c r="N10" s="1690"/>
      <c r="O10" s="1691"/>
      <c r="P10" s="1690"/>
      <c r="Q10" s="1690"/>
      <c r="R10" s="1690"/>
      <c r="S10" s="1690"/>
      <c r="T10" s="1690"/>
      <c r="U10" s="1690"/>
    </row>
    <row r="11" spans="1:21">
      <c r="A11" s="1693" t="s">
        <v>2000</v>
      </c>
      <c r="B11" s="1694" t="s">
        <v>3064</v>
      </c>
      <c r="C11" s="1785" t="s">
        <v>3061</v>
      </c>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72"/>
      <c r="C12" s="3273"/>
      <c r="D12" s="3274"/>
      <c r="E12" s="1695" t="s">
        <v>2061</v>
      </c>
      <c r="F12" s="3290" t="s">
        <v>3067</v>
      </c>
      <c r="G12" s="3291"/>
      <c r="H12" s="3291"/>
      <c r="I12" s="3292"/>
      <c r="J12" s="1690"/>
      <c r="K12" s="1770"/>
      <c r="L12" s="1719"/>
      <c r="M12" s="1719"/>
      <c r="N12" s="1690"/>
      <c r="O12" s="1691"/>
      <c r="P12" s="1690"/>
      <c r="Q12" s="1690"/>
      <c r="R12" s="1690"/>
      <c r="S12" s="1690"/>
      <c r="T12" s="1690"/>
      <c r="U12" s="1690"/>
    </row>
    <row r="13" spans="1:21">
      <c r="A13" s="1683" t="s">
        <v>2059</v>
      </c>
      <c r="B13" s="3272"/>
      <c r="C13" s="3273"/>
      <c r="D13" s="3274"/>
      <c r="E13" s="1695" t="s">
        <v>2061</v>
      </c>
      <c r="F13" s="3290" t="s">
        <v>3069</v>
      </c>
      <c r="G13" s="3291"/>
      <c r="H13" s="3291"/>
      <c r="I13" s="3292"/>
      <c r="J13" s="1690"/>
      <c r="K13" s="1770"/>
      <c r="L13" s="1719"/>
      <c r="M13" s="1719"/>
      <c r="N13" s="1690"/>
      <c r="O13" s="1691"/>
      <c r="P13" s="1690"/>
      <c r="Q13" s="1690"/>
      <c r="R13" s="1690"/>
      <c r="S13" s="1690"/>
      <c r="T13" s="1690"/>
      <c r="U13" s="1690"/>
    </row>
    <row r="14" spans="1:21">
      <c r="A14" s="1658" t="s">
        <v>2062</v>
      </c>
      <c r="B14" s="1695"/>
      <c r="C14" s="1841" t="s">
        <v>3070</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5"/>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3072</v>
      </c>
      <c r="C16" s="1695" t="s">
        <v>1951</v>
      </c>
      <c r="D16" s="2666" t="s">
        <v>1952</v>
      </c>
      <c r="E16" s="1718" t="s">
        <v>3071</v>
      </c>
      <c r="F16" s="1718" t="s">
        <v>1678</v>
      </c>
      <c r="G16" s="1718" t="s">
        <v>35</v>
      </c>
      <c r="H16" s="1718" t="s">
        <v>3082</v>
      </c>
      <c r="I16" s="1682" t="s">
        <v>1957</v>
      </c>
      <c r="J16" s="1690"/>
      <c r="K16" s="2476" t="str">
        <f>IF(D17="","",D16&amp;TEXT(D17,"yyyy年m月d日;;"))</f>
        <v/>
      </c>
      <c r="L16" s="1695" t="str">
        <f>IF(OR(K16="",M16=""),"","、")</f>
        <v/>
      </c>
      <c r="M16" s="2476" t="str">
        <f>IF(E17="","",E16&amp;TEXT(E17,"yyyy年m月d日;;"))</f>
        <v>商业2056年6月17日</v>
      </c>
      <c r="N16" s="1695" t="str">
        <f>IF(OR(M16="",O16=""),"","、")</f>
        <v>、</v>
      </c>
      <c r="O16" s="2476" t="str">
        <f>IF(F17="","",F16&amp;TEXT(F17,"yyyy年m月d日;;"))</f>
        <v>办公2066年6月17日</v>
      </c>
      <c r="P16" s="1695" t="str">
        <f>IF(OR(O16="",Q16=""),"","、")</f>
        <v>、</v>
      </c>
      <c r="Q16" s="2476" t="str">
        <f>IF(G17="","",G16&amp;TEXT(G17,"yyyy年m月d日;;"))</f>
        <v>地下车库2066年6月17日</v>
      </c>
      <c r="R16" s="1695" t="str">
        <f>IF(OR(Q16="",S16=""),"","、")</f>
        <v>、</v>
      </c>
      <c r="S16" s="2476" t="str">
        <f>IF(H17="","",H16&amp;TEXT(H17,"yyyy年m月d日;;"))</f>
        <v>地下仓储2066年6月17日</v>
      </c>
      <c r="T16" s="1695" t="str">
        <f>IF(OR(S16="",U16=""),"","、")</f>
        <v/>
      </c>
      <c r="U16" s="2476" t="str">
        <f>IF(I17="","",I16&amp;TEXT(I17,"yyyy年m月d日;;"))</f>
        <v/>
      </c>
    </row>
    <row r="17" spans="1:21">
      <c r="A17" s="1759"/>
      <c r="B17" s="1678"/>
      <c r="C17" s="1679" t="s">
        <v>1958</v>
      </c>
      <c r="D17" s="1696"/>
      <c r="E17" s="1696">
        <v>57148</v>
      </c>
      <c r="F17" s="1696">
        <v>60800</v>
      </c>
      <c r="G17" s="1696">
        <v>60800</v>
      </c>
      <c r="H17" s="1696">
        <v>60800</v>
      </c>
      <c r="I17" s="1696"/>
      <c r="J17" s="1690"/>
      <c r="K17" s="2475" t="str">
        <f>CONCATENATE(K16,L16,M16,N16,O16,P16,Q16,R16,S16,T16,,U16)</f>
        <v>商业2056年6月17日、办公2066年6月17日、地下车库2066年6月17日、地下仓储2066年6月17日</v>
      </c>
      <c r="L17" s="1719"/>
      <c r="M17" s="1719"/>
      <c r="N17" s="1690"/>
      <c r="O17" s="1691"/>
      <c r="P17" s="1690"/>
      <c r="Q17" s="1690"/>
      <c r="R17" s="1690"/>
      <c r="S17" s="1690"/>
      <c r="T17" s="1690"/>
      <c r="U17" s="1690"/>
    </row>
    <row r="18" spans="1:21">
      <c r="A18" s="1759"/>
      <c r="B18" s="1678"/>
      <c r="C18" s="1679" t="s">
        <v>1959</v>
      </c>
      <c r="D18" s="1680"/>
      <c r="E18" s="1680">
        <v>40</v>
      </c>
      <c r="F18" s="1680">
        <v>50</v>
      </c>
      <c r="G18" s="1680">
        <v>50</v>
      </c>
      <c r="H18" s="1680">
        <v>50</v>
      </c>
      <c r="I18" s="1680"/>
      <c r="J18" s="1690"/>
      <c r="K18" s="1770"/>
      <c r="L18" s="1719"/>
      <c r="M18" s="1719"/>
      <c r="N18" s="1690"/>
      <c r="O18" s="1691"/>
      <c r="P18" s="1690"/>
      <c r="Q18" s="1690"/>
      <c r="R18" s="1690"/>
      <c r="S18" s="1690"/>
      <c r="T18" s="1690"/>
      <c r="U18" s="1690"/>
    </row>
    <row r="19" spans="1:21">
      <c r="A19" s="1759"/>
      <c r="B19" s="1678"/>
      <c r="C19" s="1657" t="s">
        <v>1960</v>
      </c>
      <c r="D19" s="1754" t="str">
        <f>IF(B16="出让",IF(D17="","",ROUNDDOWN(MIN((D17-$D$3)/365,D18),2)),D18)</f>
        <v/>
      </c>
      <c r="E19" s="1681">
        <f>IF(B16="出让",IF(E17="","",ROUNDDOWN(MIN((E17-$D$3)/365,E18),2)),E18)</f>
        <v>38.1</v>
      </c>
      <c r="F19" s="1681">
        <f>IF(B16="出让",IF(F17="","",ROUNDDOWN(MIN((F17-$D$3)/365,F18),2)),F18)</f>
        <v>48.11</v>
      </c>
      <c r="G19" s="1681">
        <f>IF(B16="出让",IF(G17="","",ROUNDDOWN(MIN((G17-$D$3)/365,G18),2)),G18)</f>
        <v>48.11</v>
      </c>
      <c r="H19" s="1681">
        <f>IF(B16="出让",IF(H17="","",ROUNDDOWN(MIN((H17-$D$3)/365,H18),2)),H18)</f>
        <v>48.11</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87"/>
      <c r="E20" s="3288"/>
      <c r="F20" s="3288"/>
      <c r="G20" s="3288"/>
      <c r="H20" s="3288"/>
      <c r="I20" s="3289"/>
      <c r="J20" s="1690"/>
      <c r="K20" s="1770"/>
      <c r="L20" s="1719"/>
      <c r="M20" s="1719"/>
      <c r="N20" s="1690"/>
      <c r="O20" s="1691"/>
      <c r="P20" s="1690"/>
      <c r="Q20" s="1690"/>
      <c r="R20" s="1690"/>
      <c r="S20" s="1690"/>
      <c r="T20" s="1690"/>
      <c r="U20" s="1690"/>
    </row>
    <row r="21" spans="1:21">
      <c r="A21" s="1759" t="s">
        <v>1961</v>
      </c>
      <c r="B21" s="1760" t="s">
        <v>1962</v>
      </c>
      <c r="C21" s="1755">
        <f>'数据-汇总表'!E3</f>
        <v>64674</v>
      </c>
      <c r="D21" s="1756" t="s">
        <v>1963</v>
      </c>
      <c r="E21" s="3277" t="s">
        <v>3068</v>
      </c>
      <c r="F21" s="3278"/>
      <c r="G21" s="3278"/>
      <c r="H21" s="3278"/>
      <c r="I21" s="3279"/>
      <c r="J21" s="1690"/>
      <c r="K21" s="1770"/>
      <c r="L21" s="1719"/>
      <c r="M21" s="1719"/>
      <c r="N21" s="1690"/>
      <c r="O21" s="1691"/>
      <c r="P21" s="1690"/>
      <c r="Q21" s="1690"/>
      <c r="R21" s="1690"/>
      <c r="S21" s="1690"/>
      <c r="T21" s="1690"/>
      <c r="U21" s="1690"/>
    </row>
    <row r="22" spans="1:21">
      <c r="A22" s="3171" t="s">
        <v>952</v>
      </c>
      <c r="B22" s="1658" t="s">
        <v>1964</v>
      </c>
      <c r="C22" s="1682">
        <f>'数据-汇总表'!D3</f>
        <v>12237.13</v>
      </c>
      <c r="D22" s="1683" t="s">
        <v>1963</v>
      </c>
      <c r="E22" s="3277" t="s">
        <v>3066</v>
      </c>
      <c r="F22" s="3278"/>
      <c r="G22" s="3278"/>
      <c r="H22" s="3278"/>
      <c r="I22" s="3279"/>
      <c r="J22" s="1690"/>
      <c r="K22" s="1770"/>
      <c r="L22" s="1719"/>
      <c r="M22" s="1719"/>
      <c r="N22" s="1690"/>
      <c r="O22" s="1691"/>
      <c r="P22" s="1690"/>
      <c r="Q22" s="1690"/>
      <c r="R22" s="1690"/>
      <c r="S22" s="1690"/>
      <c r="T22" s="1690"/>
      <c r="U22" s="1690"/>
    </row>
    <row r="23" spans="1:21" ht="43.5" thickBot="1">
      <c r="A23" s="1761" t="s">
        <v>1965</v>
      </c>
      <c r="B23" s="1697" t="s">
        <v>1966</v>
      </c>
      <c r="C23" s="1698" t="s">
        <v>3073</v>
      </c>
      <c r="D23" s="1699" t="s">
        <v>1967</v>
      </c>
      <c r="E23" s="1700" t="s">
        <v>3073</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80" t="s">
        <v>1969</v>
      </c>
      <c r="C24" s="3281"/>
      <c r="D24" s="3282" t="s">
        <v>1970</v>
      </c>
      <c r="E24" s="3283"/>
      <c r="F24" s="1704" t="s">
        <v>1971</v>
      </c>
      <c r="G24" s="1690"/>
      <c r="H24" s="1690"/>
      <c r="I24" s="1703"/>
      <c r="J24" s="1690"/>
      <c r="K24" s="3268" t="s">
        <v>1972</v>
      </c>
      <c r="L24" s="247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2326</v>
      </c>
      <c r="D25" s="1706"/>
      <c r="E25" s="1707" t="s">
        <v>952</v>
      </c>
      <c r="F25" s="1708"/>
      <c r="G25" s="1690"/>
      <c r="H25" s="1690"/>
      <c r="I25" s="1703"/>
      <c r="J25" s="1690"/>
      <c r="K25" s="326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6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71"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72"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72"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73"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54" t="s">
        <v>2001</v>
      </c>
      <c r="B31" s="1760" t="s">
        <v>2002</v>
      </c>
      <c r="C31" s="3293" t="s">
        <v>3074</v>
      </c>
      <c r="D31" s="3294"/>
      <c r="E31" s="1690"/>
      <c r="F31" s="1690"/>
      <c r="G31" s="1690"/>
      <c r="H31" s="1690"/>
      <c r="I31" s="1703"/>
      <c r="J31" s="1690"/>
      <c r="K31" s="2478"/>
      <c r="L31" s="1690"/>
      <c r="M31" s="1690"/>
      <c r="N31" s="1690"/>
      <c r="O31" s="1690"/>
      <c r="P31" s="1690"/>
      <c r="Q31" s="1690"/>
      <c r="R31" s="1690"/>
      <c r="S31" s="1690"/>
      <c r="T31" s="1690"/>
      <c r="U31" s="1690"/>
    </row>
    <row r="32" spans="1:21">
      <c r="A32" s="3254"/>
      <c r="B32" s="1658" t="s">
        <v>2003</v>
      </c>
      <c r="C32" s="1715" t="s">
        <v>3075</v>
      </c>
      <c r="D32" s="1716"/>
      <c r="E32" s="1690"/>
      <c r="F32" s="1690"/>
      <c r="G32" s="1690"/>
      <c r="H32" s="1690"/>
      <c r="I32" s="1703"/>
      <c r="J32" s="1690"/>
      <c r="K32" s="2478"/>
      <c r="L32" s="1690"/>
      <c r="M32" s="1690"/>
      <c r="N32" s="1690"/>
      <c r="O32" s="1690"/>
      <c r="P32" s="1690"/>
      <c r="Q32" s="1690"/>
      <c r="R32" s="1690"/>
      <c r="S32" s="1690"/>
      <c r="T32" s="1690"/>
      <c r="U32" s="1690"/>
    </row>
    <row r="33" spans="1:21">
      <c r="A33" s="3254"/>
      <c r="B33" s="1658" t="s">
        <v>2004</v>
      </c>
      <c r="C33" s="1717"/>
      <c r="D33" s="1834"/>
      <c r="E33" s="1690"/>
      <c r="F33" s="1690"/>
      <c r="G33" s="1690"/>
      <c r="H33" s="1690"/>
      <c r="I33" s="1703"/>
      <c r="J33" s="1690"/>
      <c r="K33" s="2478"/>
      <c r="L33" s="1690"/>
      <c r="M33" s="1690"/>
      <c r="N33" s="1690"/>
      <c r="O33" s="1690"/>
      <c r="P33" s="1690"/>
      <c r="Q33" s="1690"/>
      <c r="R33" s="1690"/>
      <c r="S33" s="1690"/>
      <c r="T33" s="1690"/>
      <c r="U33" s="1690"/>
    </row>
    <row r="34" spans="1:21">
      <c r="A34" s="3255"/>
      <c r="B34" s="1658" t="s">
        <v>2005</v>
      </c>
      <c r="C34" s="3256"/>
      <c r="D34" s="3257"/>
      <c r="E34" s="1690"/>
      <c r="F34" s="1690"/>
      <c r="G34" s="1690"/>
      <c r="H34" s="1690"/>
      <c r="I34" s="1703"/>
      <c r="J34" s="1690"/>
      <c r="K34" s="2478"/>
      <c r="L34" s="1690"/>
      <c r="M34" s="1690"/>
      <c r="N34" s="1690"/>
      <c r="O34" s="1690"/>
      <c r="P34" s="1690"/>
      <c r="Q34" s="1690"/>
      <c r="R34" s="1690"/>
      <c r="S34" s="1690"/>
      <c r="T34" s="1690"/>
      <c r="U34" s="1690"/>
    </row>
    <row r="35" spans="1:21">
      <c r="A35" s="3258" t="s">
        <v>847</v>
      </c>
      <c r="B35" s="1718" t="s">
        <v>3076</v>
      </c>
      <c r="C35" s="1772" t="str">
        <f>IF(B35="场地平整","——","具体情况：")</f>
        <v>——</v>
      </c>
      <c r="D35" s="3260"/>
      <c r="E35" s="3261"/>
      <c r="F35" s="3261"/>
      <c r="G35" s="3261"/>
      <c r="H35" s="3261"/>
      <c r="I35" s="3262"/>
      <c r="J35" s="1690"/>
      <c r="K35" s="1771"/>
      <c r="L35" s="1719"/>
      <c r="M35" s="1719"/>
      <c r="N35" s="1690"/>
      <c r="O35" s="1691"/>
      <c r="P35" s="1690"/>
      <c r="Q35" s="1690"/>
      <c r="R35" s="1690"/>
      <c r="S35" s="1690"/>
      <c r="T35" s="1690"/>
      <c r="U35" s="1690"/>
    </row>
    <row r="36" spans="1:21">
      <c r="A36" s="3254"/>
      <c r="B36" s="3263" t="s">
        <v>2054</v>
      </c>
      <c r="C36" s="3264"/>
      <c r="D36" s="1788" t="s">
        <v>3077</v>
      </c>
      <c r="E36" s="3265"/>
      <c r="F36" s="3265"/>
      <c r="G36" s="1683" t="str">
        <f>IF(B35="场地未平整","估价结果处理","")</f>
        <v/>
      </c>
      <c r="H36" s="3266"/>
      <c r="I36" s="3266"/>
      <c r="J36" s="1690"/>
      <c r="K36" s="1771"/>
      <c r="L36" s="1719"/>
      <c r="M36" s="1719"/>
      <c r="N36" s="1690"/>
      <c r="O36" s="1691"/>
      <c r="P36" s="1690"/>
      <c r="Q36" s="1690"/>
      <c r="R36" s="1690"/>
      <c r="S36" s="1690"/>
      <c r="T36" s="1690"/>
      <c r="U36" s="1690"/>
    </row>
    <row r="37" spans="1:21" ht="28.5">
      <c r="A37" s="3254"/>
      <c r="B37" s="328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4"/>
      <c r="B38" s="3285"/>
      <c r="C38" s="1666" t="s">
        <v>850</v>
      </c>
      <c r="D38" s="1787">
        <f>ROUNDDOWN(MIN(('数据-取费表'!$B$2-D37)/365,D34),1)</f>
        <v>118.4</v>
      </c>
      <c r="E38" s="1723" t="s">
        <v>851</v>
      </c>
      <c r="F38" s="1690"/>
      <c r="G38" s="1690"/>
      <c r="H38" s="1690"/>
      <c r="I38" s="1703"/>
      <c r="J38" s="1690"/>
      <c r="K38" s="1771"/>
      <c r="L38" s="1690"/>
      <c r="M38" s="1690"/>
      <c r="N38" s="1690"/>
      <c r="O38" s="1690"/>
      <c r="P38" s="1690"/>
      <c r="Q38" s="1690"/>
      <c r="R38" s="1690"/>
      <c r="S38" s="1690"/>
      <c r="T38" s="1690"/>
      <c r="U38" s="1690"/>
    </row>
    <row r="39" spans="1:21">
      <c r="A39" s="3255"/>
      <c r="B39" s="328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67" t="s">
        <v>1986</v>
      </c>
      <c r="T40" s="1727" t="str">
        <f>NUMBERSTRING(7-K40,1)&amp;"通"</f>
        <v>七通</v>
      </c>
      <c r="U40" s="1690"/>
    </row>
    <row r="41" spans="1:21">
      <c r="A41" s="1660"/>
      <c r="B41" s="3259" t="s">
        <v>1722</v>
      </c>
      <c r="C41" s="3259"/>
      <c r="D41" s="3259"/>
      <c r="E41" s="3259"/>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67"/>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3200"/>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3200"/>
      <c r="D44" s="1734"/>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2889</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T18" sqref="AT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13326.99</v>
      </c>
      <c r="B3" s="22">
        <f>IF(C3="否",G5-AT5,G5)</f>
        <v>70434</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70434</v>
      </c>
      <c r="H5" s="27">
        <f t="shared" ref="H5:AT5" si="0">SUM(H13:H641)</f>
        <v>59412</v>
      </c>
      <c r="I5" s="27">
        <f t="shared" si="0"/>
        <v>46611</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5262</v>
      </c>
      <c r="AO5" s="27">
        <f t="shared" si="0"/>
        <v>0</v>
      </c>
      <c r="AP5" s="27">
        <f t="shared" si="0"/>
        <v>0</v>
      </c>
      <c r="AQ5" s="27">
        <f t="shared" si="0"/>
        <v>0</v>
      </c>
      <c r="AR5" s="27">
        <f t="shared" si="0"/>
        <v>0</v>
      </c>
      <c r="AS5" s="27">
        <f t="shared" si="0"/>
        <v>0</v>
      </c>
      <c r="AT5" s="27">
        <f t="shared" si="0"/>
        <v>5760</v>
      </c>
      <c r="AU5" s="987"/>
      <c r="AV5" s="26" t="s">
        <v>168</v>
      </c>
      <c r="AW5" s="988"/>
      <c r="AX5" s="988"/>
      <c r="AY5" s="28" t="s">
        <v>3</v>
      </c>
      <c r="AZ5" s="29">
        <f t="shared" ref="AZ5:BT5" si="1">SUM(AZ13:AZ641)</f>
        <v>64674</v>
      </c>
      <c r="BA5" s="29">
        <f t="shared" si="1"/>
        <v>59412</v>
      </c>
      <c r="BB5" s="29">
        <f t="shared" si="1"/>
        <v>46611</v>
      </c>
      <c r="BC5" s="29">
        <f t="shared" si="1"/>
        <v>0</v>
      </c>
      <c r="BD5" s="29">
        <f t="shared" si="1"/>
        <v>9122</v>
      </c>
      <c r="BE5" s="29">
        <f t="shared" si="1"/>
        <v>1755</v>
      </c>
      <c r="BF5" s="29">
        <f t="shared" si="1"/>
        <v>1924</v>
      </c>
      <c r="BG5" s="29">
        <f t="shared" si="1"/>
        <v>0</v>
      </c>
      <c r="BH5" s="29">
        <f t="shared" si="1"/>
        <v>0</v>
      </c>
      <c r="BI5" s="29">
        <f t="shared" si="1"/>
        <v>0</v>
      </c>
      <c r="BJ5" s="29">
        <f t="shared" si="1"/>
        <v>0</v>
      </c>
      <c r="BK5" s="29">
        <f t="shared" si="1"/>
        <v>0</v>
      </c>
      <c r="BL5" s="29">
        <f t="shared" si="1"/>
        <v>5262</v>
      </c>
      <c r="BM5" s="29">
        <f t="shared" si="1"/>
        <v>0</v>
      </c>
      <c r="BN5" s="29">
        <f t="shared" si="1"/>
        <v>0</v>
      </c>
      <c r="BO5" s="29">
        <f t="shared" si="1"/>
        <v>0</v>
      </c>
      <c r="BP5" s="29">
        <f t="shared" si="1"/>
        <v>0</v>
      </c>
      <c r="BQ5" s="29">
        <f t="shared" si="1"/>
        <v>0</v>
      </c>
      <c r="BR5" s="29">
        <f t="shared" si="1"/>
        <v>5262</v>
      </c>
      <c r="BS5" s="29">
        <f t="shared" si="1"/>
        <v>0</v>
      </c>
      <c r="BT5" s="30">
        <f t="shared" si="1"/>
        <v>0</v>
      </c>
    </row>
    <row r="6" spans="1:72" s="37" customFormat="1" ht="12.75">
      <c r="A6" s="26" t="s">
        <v>169</v>
      </c>
      <c r="B6" s="31"/>
      <c r="C6" s="31"/>
      <c r="D6" s="32"/>
      <c r="E6" s="27">
        <f>H6+AC6+AT6</f>
        <v>13326.99</v>
      </c>
      <c r="F6" s="27" t="s">
        <v>1</v>
      </c>
      <c r="G6" s="27" t="s">
        <v>2</v>
      </c>
      <c r="H6" s="33">
        <f>SUMIF(I$12:AB$12,"总值",I6:AB6)</f>
        <v>11241.49</v>
      </c>
      <c r="I6" s="27">
        <f t="shared" ref="I6:AB6" si="2">ROUND($A$3*I5/$B$3,2)</f>
        <v>8819.3799999999992</v>
      </c>
      <c r="J6" s="27">
        <f t="shared" si="2"/>
        <v>0</v>
      </c>
      <c r="K6" s="27">
        <f t="shared" si="2"/>
        <v>0</v>
      </c>
      <c r="L6" s="27">
        <f t="shared" si="2"/>
        <v>0</v>
      </c>
      <c r="M6" s="27">
        <f t="shared" si="2"/>
        <v>1726</v>
      </c>
      <c r="N6" s="27">
        <f t="shared" si="2"/>
        <v>0</v>
      </c>
      <c r="O6" s="27">
        <f t="shared" si="2"/>
        <v>332.07</v>
      </c>
      <c r="P6" s="27">
        <f t="shared" si="2"/>
        <v>0</v>
      </c>
      <c r="Q6" s="27">
        <f t="shared" si="2"/>
        <v>364.04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995.64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995.64</v>
      </c>
      <c r="AO6" s="27">
        <f t="shared" si="3"/>
        <v>0</v>
      </c>
      <c r="AP6" s="27">
        <f t="shared" si="3"/>
        <v>0</v>
      </c>
      <c r="AQ6" s="27">
        <f t="shared" si="3"/>
        <v>0</v>
      </c>
      <c r="AR6" s="27">
        <f t="shared" si="3"/>
        <v>0</v>
      </c>
      <c r="AS6" s="27">
        <f t="shared" si="3"/>
        <v>0</v>
      </c>
      <c r="AT6" s="33">
        <f>IF(C3="是",ROUND($A$3*AT5/$B$3,2),0)</f>
        <v>1089.8599999999999</v>
      </c>
      <c r="AU6" s="34"/>
      <c r="AV6" s="26" t="s">
        <v>169</v>
      </c>
      <c r="AW6" s="31"/>
      <c r="AX6" s="31"/>
      <c r="AY6" s="35">
        <f>IF(AY3&gt;0,AY3,ROUND($A$3*AZ5/$B$3,2))</f>
        <v>12237.13</v>
      </c>
      <c r="AZ6" s="27" t="s">
        <v>3</v>
      </c>
      <c r="BA6" s="27">
        <f>ROUND($AY$6*BA5/$AZ$5,2)</f>
        <v>11241.49</v>
      </c>
      <c r="BB6" s="27">
        <f>ROUND($AY$6*BB5/$AZ$5,2)</f>
        <v>8819.3799999999992</v>
      </c>
      <c r="BC6" s="27">
        <f t="shared" ref="BC6:BH6" si="4">ROUND($AY$6*BC5/$AZ$5,2)</f>
        <v>0</v>
      </c>
      <c r="BD6" s="27">
        <f t="shared" si="4"/>
        <v>1726</v>
      </c>
      <c r="BE6" s="27">
        <f t="shared" si="4"/>
        <v>332.07</v>
      </c>
      <c r="BF6" s="27">
        <f t="shared" si="4"/>
        <v>364.04</v>
      </c>
      <c r="BG6" s="27">
        <f t="shared" si="4"/>
        <v>0</v>
      </c>
      <c r="BH6" s="27">
        <f t="shared" si="4"/>
        <v>0</v>
      </c>
      <c r="BI6" s="27">
        <f t="shared" ref="BI6:BT6" si="5">ROUND($AY$6*BI5/$AZ$5,2)</f>
        <v>0</v>
      </c>
      <c r="BJ6" s="27">
        <f t="shared" si="5"/>
        <v>0</v>
      </c>
      <c r="BK6" s="27">
        <f t="shared" si="5"/>
        <v>0</v>
      </c>
      <c r="BL6" s="27">
        <f t="shared" si="5"/>
        <v>995.64</v>
      </c>
      <c r="BM6" s="27">
        <f t="shared" si="5"/>
        <v>0</v>
      </c>
      <c r="BN6" s="27">
        <f t="shared" si="5"/>
        <v>0</v>
      </c>
      <c r="BO6" s="27">
        <f t="shared" si="5"/>
        <v>0</v>
      </c>
      <c r="BP6" s="27">
        <f t="shared" si="5"/>
        <v>0</v>
      </c>
      <c r="BQ6" s="27">
        <f t="shared" si="5"/>
        <v>0</v>
      </c>
      <c r="BR6" s="27">
        <f t="shared" si="5"/>
        <v>995.64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8" t="s">
        <v>3078</v>
      </c>
      <c r="J9" s="51"/>
      <c r="K9" s="3038"/>
      <c r="L9" s="51"/>
      <c r="M9" s="3038" t="s">
        <v>3079</v>
      </c>
      <c r="N9" s="51"/>
      <c r="O9" s="59" t="s">
        <v>3079</v>
      </c>
      <c r="P9" s="51"/>
      <c r="Q9" s="59" t="s">
        <v>3079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8" t="s">
        <v>1678</v>
      </c>
      <c r="J10" s="51"/>
      <c r="K10" s="3040"/>
      <c r="L10" s="51"/>
      <c r="M10" s="3040" t="s">
        <v>3080</v>
      </c>
      <c r="N10" s="51"/>
      <c r="O10" s="66" t="s">
        <v>3081</v>
      </c>
      <c r="P10" s="51"/>
      <c r="Q10" s="66" t="s">
        <v>1678</v>
      </c>
      <c r="R10" s="51"/>
      <c r="S10" s="66"/>
      <c r="T10" s="51"/>
      <c r="U10" s="66"/>
      <c r="V10" s="51"/>
      <c r="W10" s="66"/>
      <c r="X10" s="51"/>
      <c r="Y10" s="66"/>
      <c r="Z10" s="51"/>
      <c r="AA10" s="66"/>
      <c r="AB10" s="51"/>
      <c r="AC10" s="55"/>
      <c r="AD10" s="2310" t="s">
        <v>2317</v>
      </c>
      <c r="AE10" s="2332"/>
      <c r="AF10" s="2310" t="s">
        <v>2317</v>
      </c>
      <c r="AG10" s="2332"/>
      <c r="AH10" s="2310" t="s">
        <v>2318</v>
      </c>
      <c r="AI10" s="2332"/>
      <c r="AJ10" s="26" t="s">
        <v>2331</v>
      </c>
      <c r="AK10" s="2329"/>
      <c r="AL10" s="2310" t="s">
        <v>2319</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t="str">
        <f>M9</f>
        <v>地下</v>
      </c>
      <c r="BE10" s="69" t="str">
        <f>O9</f>
        <v>地下</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c r="J11" s="71"/>
      <c r="K11" s="3039"/>
      <c r="L11" s="71"/>
      <c r="M11" s="70"/>
      <c r="N11" s="71"/>
      <c r="O11" s="70"/>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t="str">
        <f>M10</f>
        <v>车库</v>
      </c>
      <c r="BE11" s="50" t="str">
        <f>O10</f>
        <v>仓储</v>
      </c>
      <c r="BF11" s="50" t="str">
        <f>Q10</f>
        <v>办公</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4"/>
      <c r="B13" s="3034"/>
      <c r="C13" s="3034"/>
      <c r="D13" s="3035" t="s">
        <v>1679</v>
      </c>
      <c r="E13" s="27">
        <f t="shared" ref="E13:E20" si="6">IF($C$3="是",ROUND($A$3*G13/$B$3,2),ROUND($A$3*(G13-AT13)/$B$3,2))</f>
        <v>8819.3799999999992</v>
      </c>
      <c r="F13" s="81"/>
      <c r="G13" s="82">
        <f t="shared" ref="G13:G20" si="7">H13+AC13+AT13</f>
        <v>46611</v>
      </c>
      <c r="H13" s="33">
        <f t="shared" ref="H13:H20" si="8">SUMIF(I$12:AB$12,"总值",I13:AB13)</f>
        <v>46611</v>
      </c>
      <c r="I13" s="3201">
        <v>46611</v>
      </c>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f t="shared" si="10"/>
        <v>0</v>
      </c>
      <c r="AX13" s="17">
        <f t="shared" si="10"/>
        <v>0</v>
      </c>
      <c r="AY13" s="995">
        <f t="shared" ref="AY13:AY20" si="11">ROUND($AY$6*AZ13/$AZ$5,2)</f>
        <v>8819.3799999999992</v>
      </c>
      <c r="AZ13" s="27">
        <f t="shared" ref="AZ13:AZ20" si="12">BA13+BL13</f>
        <v>46611</v>
      </c>
      <c r="BA13" s="27">
        <f t="shared" ref="BA13:BA20" si="13">SUM(BB13:BK13)</f>
        <v>46611</v>
      </c>
      <c r="BB13" s="27">
        <f t="shared" ref="BB13:BB20" si="14">IF($D13="是",I13-J13,0)</f>
        <v>46611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036"/>
      <c r="D14" s="3035" t="s">
        <v>1679</v>
      </c>
      <c r="E14" s="27">
        <f t="shared" si="6"/>
        <v>1726</v>
      </c>
      <c r="F14" s="81"/>
      <c r="G14" s="82">
        <f t="shared" si="7"/>
        <v>9122</v>
      </c>
      <c r="H14" s="33">
        <f t="shared" si="8"/>
        <v>9122</v>
      </c>
      <c r="I14" s="3037"/>
      <c r="J14" s="3037"/>
      <c r="K14" s="3037"/>
      <c r="L14" s="3037"/>
      <c r="M14" s="3037">
        <v>9122</v>
      </c>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5">
        <f t="shared" si="11"/>
        <v>1726</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t="s">
        <v>1679</v>
      </c>
      <c r="E15" s="27">
        <f t="shared" si="6"/>
        <v>332.07</v>
      </c>
      <c r="F15" s="81"/>
      <c r="G15" s="82">
        <f t="shared" si="7"/>
        <v>1755</v>
      </c>
      <c r="H15" s="33">
        <f t="shared" si="8"/>
        <v>1755</v>
      </c>
      <c r="I15" s="3037"/>
      <c r="J15" s="3037"/>
      <c r="K15" s="3037"/>
      <c r="L15" s="3037"/>
      <c r="M15" s="3037"/>
      <c r="N15" s="83"/>
      <c r="O15" s="83">
        <v>1755</v>
      </c>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5">
        <f t="shared" si="11"/>
        <v>332.07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t="s">
        <v>1679</v>
      </c>
      <c r="E16" s="27">
        <f t="shared" si="6"/>
        <v>364.04</v>
      </c>
      <c r="F16" s="81"/>
      <c r="G16" s="82">
        <f t="shared" si="7"/>
        <v>1924</v>
      </c>
      <c r="H16" s="33">
        <f t="shared" si="8"/>
        <v>1924</v>
      </c>
      <c r="I16" s="3037"/>
      <c r="J16" s="3037"/>
      <c r="K16" s="3037"/>
      <c r="L16" s="3037"/>
      <c r="M16" s="3037"/>
      <c r="N16" s="83"/>
      <c r="O16" s="83"/>
      <c r="P16" s="83"/>
      <c r="Q16" s="83">
        <v>1924</v>
      </c>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5">
        <f t="shared" si="11"/>
        <v>364.04</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t="s">
        <v>1679</v>
      </c>
      <c r="E17" s="27">
        <f t="shared" si="6"/>
        <v>995.64</v>
      </c>
      <c r="F17" s="81"/>
      <c r="G17" s="82">
        <f t="shared" si="7"/>
        <v>5262</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5262</v>
      </c>
      <c r="AD17" s="3041"/>
      <c r="AE17" s="3041"/>
      <c r="AF17" s="3041"/>
      <c r="AG17" s="3041"/>
      <c r="AH17" s="3041"/>
      <c r="AI17" s="3041"/>
      <c r="AJ17" s="3041"/>
      <c r="AK17" s="3041"/>
      <c r="AL17" s="3041"/>
      <c r="AM17" s="3041"/>
      <c r="AN17" s="3202">
        <v>5262</v>
      </c>
      <c r="AO17" s="3041"/>
      <c r="AP17" s="3041"/>
      <c r="AQ17" s="3041"/>
      <c r="AR17" s="3041"/>
      <c r="AS17" s="3041"/>
      <c r="AT17" s="3042"/>
      <c r="AU17" s="3043"/>
      <c r="AV17" s="17">
        <f t="shared" si="10"/>
        <v>0</v>
      </c>
      <c r="AW17" s="17">
        <f t="shared" si="10"/>
        <v>0</v>
      </c>
      <c r="AX17" s="17">
        <f t="shared" si="10"/>
        <v>0</v>
      </c>
      <c r="AY17" s="995">
        <f t="shared" si="11"/>
        <v>995.64</v>
      </c>
      <c r="AZ17" s="27">
        <f t="shared" si="12"/>
        <v>5262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5262</v>
      </c>
      <c r="BM17" s="27">
        <f t="shared" si="25"/>
        <v>0</v>
      </c>
      <c r="BN17" s="27">
        <f t="shared" si="26"/>
        <v>0</v>
      </c>
      <c r="BO17" s="27">
        <f t="shared" si="27"/>
        <v>0</v>
      </c>
      <c r="BP17" s="27">
        <f t="shared" si="28"/>
        <v>0</v>
      </c>
      <c r="BQ17" s="27">
        <f t="shared" si="29"/>
        <v>0</v>
      </c>
      <c r="BR17" s="27">
        <f t="shared" si="30"/>
        <v>5262</v>
      </c>
      <c r="BS17" s="27">
        <f t="shared" si="31"/>
        <v>0</v>
      </c>
      <c r="BT17" s="36">
        <f t="shared" si="32"/>
        <v>0</v>
      </c>
    </row>
    <row r="18" spans="1:72">
      <c r="A18" s="84"/>
      <c r="B18" s="85"/>
      <c r="C18" s="85"/>
      <c r="D18" s="3035" t="s">
        <v>1679</v>
      </c>
      <c r="E18" s="87">
        <f t="shared" si="6"/>
        <v>1089.8599999999999</v>
      </c>
      <c r="F18" s="88"/>
      <c r="G18" s="89">
        <f t="shared" si="7"/>
        <v>5760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3"/>
      <c r="AM18" s="92"/>
      <c r="AN18" s="1392"/>
      <c r="AO18" s="92"/>
      <c r="AP18" s="92"/>
      <c r="AQ18" s="92"/>
      <c r="AR18" s="92"/>
      <c r="AS18" s="92"/>
      <c r="AT18" s="3199">
        <f>5727+33</f>
        <v>5760</v>
      </c>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15" sqref="M15"/>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06" t="s">
        <v>203</v>
      </c>
      <c r="B2" s="3306"/>
      <c r="C2" s="3306"/>
      <c r="D2" s="1971" t="s">
        <v>204</v>
      </c>
      <c r="E2" s="106" t="s">
        <v>205</v>
      </c>
      <c r="F2" s="1980"/>
      <c r="G2" s="1197"/>
      <c r="H2" s="1198"/>
      <c r="I2" s="1199" t="s">
        <v>857</v>
      </c>
      <c r="J2" s="1980"/>
      <c r="K2" s="1980"/>
      <c r="L2" s="1980"/>
    </row>
    <row r="3" spans="1:16" ht="15.75" thickBot="1">
      <c r="A3" s="3307" t="s">
        <v>206</v>
      </c>
      <c r="B3" s="3307"/>
      <c r="C3" s="3307"/>
      <c r="D3" s="107">
        <f>'数据-基础表'!AY6</f>
        <v>12237.13</v>
      </c>
      <c r="E3" s="107">
        <f>'数据-基础表'!AZ5</f>
        <v>64674</v>
      </c>
      <c r="F3" s="1980"/>
      <c r="G3" s="279" t="s">
        <v>858</v>
      </c>
      <c r="H3" s="274" t="s">
        <v>859</v>
      </c>
      <c r="I3" s="1972">
        <f>ROUND('数据-基础表'!B3/'数据-基础表'!A3,2)</f>
        <v>5.29</v>
      </c>
      <c r="J3" s="1980"/>
      <c r="K3" s="1980"/>
      <c r="L3" s="1980"/>
    </row>
    <row r="4" spans="1:16" ht="15">
      <c r="A4" s="3308"/>
      <c r="B4" s="3309"/>
      <c r="C4" s="3310"/>
      <c r="D4" s="108" t="s">
        <v>204</v>
      </c>
      <c r="E4" s="109" t="s">
        <v>205</v>
      </c>
      <c r="F4" s="1980"/>
      <c r="G4" s="1200"/>
      <c r="H4" s="274" t="s">
        <v>860</v>
      </c>
      <c r="I4" s="1972">
        <f>ROUND(SUMIF('数据-基础表'!I9:AS9,"地上",'数据-基础表'!I5:AS5)/'数据-基础表'!A3,2)</f>
        <v>3.5</v>
      </c>
      <c r="J4" s="1980"/>
      <c r="K4" s="1980"/>
      <c r="L4" s="1980"/>
    </row>
    <row r="5" spans="1:16">
      <c r="A5" s="110" t="s">
        <v>207</v>
      </c>
      <c r="B5" s="3311" t="s">
        <v>230</v>
      </c>
      <c r="C5" s="3311"/>
      <c r="D5" s="111">
        <f>ROUND($D$3*E5/$E$3,2)</f>
        <v>0</v>
      </c>
      <c r="E5" s="112">
        <f>SUMIF('数据-基础表'!$11:$11,"住宅",'数据-基础表'!$5:$5)</f>
        <v>0</v>
      </c>
      <c r="F5" s="1980"/>
      <c r="G5" s="279" t="s">
        <v>861</v>
      </c>
      <c r="H5" s="274" t="s">
        <v>859</v>
      </c>
      <c r="I5" s="1972">
        <f>ROUND(E31/D31,2)</f>
        <v>5.29</v>
      </c>
      <c r="J5" s="1980"/>
      <c r="K5" s="1980"/>
      <c r="L5" s="1980"/>
    </row>
    <row r="6" spans="1:16" ht="15" thickBot="1">
      <c r="A6" s="113"/>
      <c r="B6" s="3311" t="s">
        <v>208</v>
      </c>
      <c r="C6" s="3311"/>
      <c r="D6" s="111">
        <f>ROUND($D$3*E6/$E$3,2)</f>
        <v>12237.13</v>
      </c>
      <c r="E6" s="112">
        <f>E3-E5</f>
        <v>64674</v>
      </c>
      <c r="F6" s="1980"/>
      <c r="G6" s="1200"/>
      <c r="H6" s="274" t="s">
        <v>860</v>
      </c>
      <c r="I6" s="1972">
        <f>ROUND(F31/D31,2)</f>
        <v>3.81</v>
      </c>
      <c r="J6" s="1980"/>
      <c r="K6" s="1980"/>
      <c r="L6" s="1980"/>
    </row>
    <row r="7" spans="1:16" ht="15">
      <c r="A7" s="3303"/>
      <c r="B7" s="3304"/>
      <c r="C7" s="3305"/>
      <c r="D7" s="108" t="s">
        <v>204</v>
      </c>
      <c r="E7" s="114" t="s">
        <v>231</v>
      </c>
      <c r="F7" s="1980"/>
      <c r="G7" s="1155" t="s">
        <v>1646</v>
      </c>
      <c r="H7" s="1156"/>
      <c r="I7" s="1843"/>
      <c r="J7" s="1980"/>
      <c r="K7" s="1980"/>
      <c r="L7" s="1980"/>
    </row>
    <row r="8" spans="1:16">
      <c r="A8" s="110" t="s">
        <v>209</v>
      </c>
      <c r="B8" s="115" t="s">
        <v>210</v>
      </c>
      <c r="C8" s="111" t="s">
        <v>211</v>
      </c>
      <c r="D8" s="111">
        <f t="shared" ref="D8:D15" si="0">ROUND($D$3*E8/$E$3,2)</f>
        <v>8819.3799999999992</v>
      </c>
      <c r="E8" s="116">
        <f>SUMIF('数据-基础表'!BB10:BK10,"地上",'数据-基础表'!BB5:BK5)</f>
        <v>46611</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364.04</v>
      </c>
      <c r="E11" s="116">
        <f>SUMPRODUCT(('数据-基础表'!BB10:BK10="地下")*('数据-基础表'!BB11:BK11="办公")*('数据-基础表'!BB5:BK5))+'数据-基础表'!AJ5</f>
        <v>1924</v>
      </c>
      <c r="F11" s="1980"/>
      <c r="G11" s="1982"/>
      <c r="H11" s="1982"/>
      <c r="I11" s="1980"/>
      <c r="J11" s="1980"/>
      <c r="K11" s="1980"/>
      <c r="L11" s="1980"/>
    </row>
    <row r="12" spans="1:16">
      <c r="A12" s="117"/>
      <c r="B12" s="118"/>
      <c r="C12" s="111" t="s">
        <v>214</v>
      </c>
      <c r="D12" s="111">
        <f t="shared" si="0"/>
        <v>332.07</v>
      </c>
      <c r="E12" s="116">
        <f>SUMPRODUCT(('数据-基础表'!BB10:BK10="地下")*('数据-基础表'!BB11:BK11="仓储")*('数据-基础表'!BB5:BK5))</f>
        <v>1755</v>
      </c>
      <c r="F12" s="1980"/>
      <c r="G12" s="1982"/>
      <c r="H12" s="1982"/>
      <c r="I12" s="1980"/>
      <c r="J12" s="1980"/>
      <c r="K12" s="1980"/>
      <c r="L12" s="1980"/>
    </row>
    <row r="13" spans="1:16">
      <c r="A13" s="117"/>
      <c r="B13" s="118"/>
      <c r="C13" s="2327" t="s">
        <v>2334</v>
      </c>
      <c r="D13" s="111">
        <f t="shared" si="0"/>
        <v>1726</v>
      </c>
      <c r="E13" s="116">
        <f>SUMPRODUCT(('数据-基础表'!BB10:BK10="地下")*('数据-基础表'!BB11:BK11="车库")*('数据-基础表'!BB5:BK5))</f>
        <v>9122</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11241.49</v>
      </c>
      <c r="E16" s="120">
        <f>SUM(E8:E15)</f>
        <v>59412</v>
      </c>
      <c r="F16" s="1980"/>
      <c r="G16" s="1982"/>
      <c r="H16" s="967" t="s">
        <v>219</v>
      </c>
      <c r="I16" s="968"/>
      <c r="J16" s="1980"/>
      <c r="K16" s="3297" t="s">
        <v>2567</v>
      </c>
      <c r="L16" s="3298"/>
      <c r="M16" s="3298"/>
      <c r="N16" s="3298"/>
      <c r="O16" s="3298"/>
      <c r="P16" s="3299"/>
    </row>
    <row r="17" spans="1:19" ht="15">
      <c r="A17" s="121" t="s">
        <v>216</v>
      </c>
      <c r="B17" s="122" t="s">
        <v>217</v>
      </c>
      <c r="C17" s="2294" t="s">
        <v>2313</v>
      </c>
      <c r="D17" s="108" t="s">
        <v>204</v>
      </c>
      <c r="E17" s="124" t="s">
        <v>205</v>
      </c>
      <c r="F17" s="125"/>
      <c r="G17" s="1364"/>
      <c r="H17" s="969" t="s">
        <v>218</v>
      </c>
      <c r="I17" s="970" t="s">
        <v>2312</v>
      </c>
      <c r="J17" s="1980"/>
      <c r="K17" s="3300" t="s">
        <v>2568</v>
      </c>
      <c r="L17" s="3301"/>
      <c r="M17" s="3302"/>
      <c r="N17" s="3300" t="s">
        <v>2569</v>
      </c>
      <c r="O17" s="3301"/>
      <c r="P17" s="3302"/>
      <c r="R17" s="2295" t="s">
        <v>2311</v>
      </c>
      <c r="S17" s="144"/>
    </row>
    <row r="18" spans="1:19" ht="15">
      <c r="A18" s="117"/>
      <c r="B18" s="128"/>
      <c r="C18" s="129"/>
      <c r="D18" s="2662"/>
      <c r="E18" s="130" t="s">
        <v>220</v>
      </c>
      <c r="F18" s="131" t="s">
        <v>221</v>
      </c>
      <c r="G18" s="1365" t="s">
        <v>222</v>
      </c>
      <c r="H18" s="971" t="s">
        <v>223</v>
      </c>
      <c r="I18" s="972" t="s">
        <v>224</v>
      </c>
      <c r="J18" s="1980"/>
      <c r="K18" s="2625" t="s">
        <v>2570</v>
      </c>
      <c r="L18" s="2626" t="s">
        <v>2571</v>
      </c>
      <c r="M18" s="2627" t="s">
        <v>2572</v>
      </c>
      <c r="N18" s="2625" t="s">
        <v>2570</v>
      </c>
      <c r="O18" s="2626" t="s">
        <v>2571</v>
      </c>
      <c r="P18" s="2627" t="s">
        <v>2572</v>
      </c>
      <c r="R18" s="2296" t="s">
        <v>2309</v>
      </c>
      <c r="S18" s="2296" t="s">
        <v>2310</v>
      </c>
    </row>
    <row r="19" spans="1:19">
      <c r="A19" s="133"/>
      <c r="B19" s="115" t="s">
        <v>225</v>
      </c>
      <c r="C19" s="3044" t="s">
        <v>3084</v>
      </c>
      <c r="D19" s="111">
        <f t="shared" ref="D19:D26" si="1">ROUND($D$3*E19/$E$3,2)</f>
        <v>8819.3799999999992</v>
      </c>
      <c r="E19" s="134">
        <f t="shared" ref="E19:E26" si="2">SUM(F19:G19)</f>
        <v>46611</v>
      </c>
      <c r="F19" s="135">
        <f>'数据-基础表'!I13</f>
        <v>46611</v>
      </c>
      <c r="G19" s="1366"/>
      <c r="H19" s="973">
        <f>ROUND($D$3*I19/$E$3,2)</f>
        <v>781.11</v>
      </c>
      <c r="I19" s="116">
        <f>IF($I$17="自定义",P19,M19)</f>
        <v>4128.24</v>
      </c>
      <c r="J19" s="1980"/>
      <c r="K19" s="2628">
        <f t="shared" ref="K19:K26" si="3">ROUND(E$28*E19/E$27,2)</f>
        <v>4128.24</v>
      </c>
      <c r="L19" s="274">
        <f t="shared" ref="L19:L26" si="4">ROUND(IF(COUNTIF(C19,"*住宅*")&gt;0,E$29*E19/E$32,0),2)</f>
        <v>0</v>
      </c>
      <c r="M19" s="2629">
        <f>K19+L19</f>
        <v>4128.24</v>
      </c>
      <c r="N19" s="2630"/>
      <c r="O19" s="2631"/>
      <c r="P19" s="2632">
        <f>N19+O19</f>
        <v>0</v>
      </c>
      <c r="R19" s="274">
        <f t="shared" ref="R19:S26" si="5">D19+H19</f>
        <v>9600.49</v>
      </c>
      <c r="S19" s="2297">
        <f t="shared" si="5"/>
        <v>50739.24</v>
      </c>
    </row>
    <row r="20" spans="1:19">
      <c r="A20" s="138"/>
      <c r="B20" s="115" t="s">
        <v>226</v>
      </c>
      <c r="C20" s="3044"/>
      <c r="D20" s="111">
        <f t="shared" si="1"/>
        <v>0</v>
      </c>
      <c r="E20" s="134">
        <f t="shared" si="2"/>
        <v>0</v>
      </c>
      <c r="F20" s="135"/>
      <c r="G20" s="1366"/>
      <c r="H20" s="973">
        <f t="shared" ref="H20:H26" si="6">ROUND($D$3*I20/$E$3,2)</f>
        <v>0</v>
      </c>
      <c r="I20" s="116">
        <f t="shared" ref="I20:I26" si="7">IF($I$17="自定义",P20,M20)</f>
        <v>0</v>
      </c>
      <c r="J20" s="1980"/>
      <c r="K20" s="2628">
        <f t="shared" si="3"/>
        <v>0</v>
      </c>
      <c r="L20" s="274">
        <f>ROUND(IF(COUNTIF(C20,"*住宅*")&gt;0,E$29*E20/E$32,0),2)</f>
        <v>0</v>
      </c>
      <c r="M20" s="2629">
        <f t="shared" ref="M20:M26" si="8">K20+L20</f>
        <v>0</v>
      </c>
      <c r="N20" s="2630"/>
      <c r="O20" s="2631"/>
      <c r="P20" s="2632">
        <f t="shared" ref="P20:P26" si="9">N20+O20</f>
        <v>0</v>
      </c>
      <c r="R20" s="274">
        <f t="shared" si="5"/>
        <v>0</v>
      </c>
      <c r="S20" s="2297">
        <f t="shared" si="5"/>
        <v>0</v>
      </c>
    </row>
    <row r="21" spans="1:19">
      <c r="A21" s="138"/>
      <c r="B21" s="115" t="s">
        <v>226</v>
      </c>
      <c r="C21" s="3044" t="s">
        <v>3083</v>
      </c>
      <c r="D21" s="111">
        <f t="shared" si="1"/>
        <v>1726</v>
      </c>
      <c r="E21" s="134">
        <f t="shared" si="2"/>
        <v>9122</v>
      </c>
      <c r="F21" s="135"/>
      <c r="G21" s="1366">
        <f>'数据-基础表'!M14</f>
        <v>9122</v>
      </c>
      <c r="H21" s="973">
        <f t="shared" si="6"/>
        <v>152.87</v>
      </c>
      <c r="I21" s="116">
        <f t="shared" si="7"/>
        <v>807.92</v>
      </c>
      <c r="J21" s="1980"/>
      <c r="K21" s="2628">
        <f t="shared" si="3"/>
        <v>807.92</v>
      </c>
      <c r="L21" s="274">
        <f>ROUND(IF(COUNTIF(C21,"*住宅*")&gt;0,E$29*E21/E$32,0),2)</f>
        <v>0</v>
      </c>
      <c r="M21" s="2629">
        <f t="shared" si="8"/>
        <v>807.92</v>
      </c>
      <c r="N21" s="2630"/>
      <c r="O21" s="2631"/>
      <c r="P21" s="2632">
        <f t="shared" si="9"/>
        <v>0</v>
      </c>
      <c r="R21" s="274">
        <f t="shared" si="5"/>
        <v>1878.87</v>
      </c>
      <c r="S21" s="2297">
        <f t="shared" si="5"/>
        <v>9929.92</v>
      </c>
    </row>
    <row r="22" spans="1:19">
      <c r="A22" s="138"/>
      <c r="B22" s="115" t="s">
        <v>226</v>
      </c>
      <c r="C22" s="3178" t="s">
        <v>3085</v>
      </c>
      <c r="D22" s="111">
        <f t="shared" si="1"/>
        <v>332.07</v>
      </c>
      <c r="E22" s="134">
        <f t="shared" si="2"/>
        <v>1755</v>
      </c>
      <c r="F22" s="140"/>
      <c r="G22" s="1367">
        <f>'数据-基础表'!O15</f>
        <v>1755</v>
      </c>
      <c r="H22" s="973">
        <f t="shared" si="6"/>
        <v>29.41</v>
      </c>
      <c r="I22" s="116">
        <f t="shared" si="7"/>
        <v>155.44</v>
      </c>
      <c r="J22" s="1980"/>
      <c r="K22" s="2628">
        <f t="shared" si="3"/>
        <v>155.44</v>
      </c>
      <c r="L22" s="274">
        <f>ROUND(IF(COUNTIF(C22,"*住宅*")&gt;0,E$29*E22/E$32,0),2)</f>
        <v>0</v>
      </c>
      <c r="M22" s="2629">
        <f t="shared" si="8"/>
        <v>155.44</v>
      </c>
      <c r="N22" s="2630"/>
      <c r="O22" s="2631"/>
      <c r="P22" s="2632">
        <f t="shared" si="9"/>
        <v>0</v>
      </c>
      <c r="R22" s="274">
        <f t="shared" si="5"/>
        <v>361.48</v>
      </c>
      <c r="S22" s="2297">
        <f t="shared" si="5"/>
        <v>1910.44</v>
      </c>
    </row>
    <row r="23" spans="1:19">
      <c r="A23" s="138"/>
      <c r="B23" s="115" t="s">
        <v>226</v>
      </c>
      <c r="C23" s="3178" t="s">
        <v>3086</v>
      </c>
      <c r="D23" s="111">
        <f>ROUND($D$3*E23/$E$3,2)</f>
        <v>364.04</v>
      </c>
      <c r="E23" s="134">
        <f>SUM(F23:G23)</f>
        <v>1924</v>
      </c>
      <c r="F23" s="140"/>
      <c r="G23" s="1367">
        <f>'数据-基础表'!Q16</f>
        <v>1924</v>
      </c>
      <c r="H23" s="973">
        <f>ROUND($D$3*I23/$E$3,2)</f>
        <v>32.24</v>
      </c>
      <c r="I23" s="116">
        <f t="shared" si="7"/>
        <v>170.4</v>
      </c>
      <c r="J23" s="1980"/>
      <c r="K23" s="2628">
        <f t="shared" si="3"/>
        <v>170.4</v>
      </c>
      <c r="L23" s="274">
        <f>ROUND(IF(COUNTIF(C23,"*住宅*")&gt;0,E$29*E23/E$32,0),2)</f>
        <v>0</v>
      </c>
      <c r="M23" s="2629">
        <f t="shared" si="8"/>
        <v>170.4</v>
      </c>
      <c r="N23" s="2630"/>
      <c r="O23" s="2631"/>
      <c r="P23" s="2632">
        <f t="shared" si="9"/>
        <v>0</v>
      </c>
      <c r="R23" s="274">
        <f t="shared" si="5"/>
        <v>396.28000000000003</v>
      </c>
      <c r="S23" s="2297">
        <f t="shared" si="5"/>
        <v>2094.4</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215</v>
      </c>
      <c r="D27" s="134">
        <f>SUM(D19:D26)</f>
        <v>11241.49</v>
      </c>
      <c r="E27" s="143">
        <f>IF(SUM(E19:E26)='数据-基础表'!BA5,SUM(E19:E26),IF(F27="地上面积有误","面积有误","地下面积有误"))</f>
        <v>59412</v>
      </c>
      <c r="F27" s="134">
        <f>IF(SUM(F19:F26)=E8,SUM(F19:F26),"地上面积有误")</f>
        <v>46611</v>
      </c>
      <c r="G27" s="112">
        <f>SUM(G19:G26)</f>
        <v>12801</v>
      </c>
      <c r="H27" s="974">
        <f>SUM(H19:H26)</f>
        <v>995.63</v>
      </c>
      <c r="I27" s="975">
        <f>SUM(I19:I26)</f>
        <v>5261.9999999999991</v>
      </c>
      <c r="J27" s="1980"/>
      <c r="K27" s="2637">
        <f>SUM(K19:K26)</f>
        <v>5261.9999999999991</v>
      </c>
      <c r="L27" s="2638">
        <f>SUM(L19:L26)</f>
        <v>0</v>
      </c>
      <c r="M27" s="2639">
        <f>SUM(M19:M26)</f>
        <v>5261.9999999999991</v>
      </c>
      <c r="N27" s="2637">
        <f t="shared" ref="N27:O27" si="10">SUM(N19:N26)</f>
        <v>0</v>
      </c>
      <c r="O27" s="2638">
        <f t="shared" si="10"/>
        <v>0</v>
      </c>
      <c r="P27" s="2640">
        <f>SUM(P19:P26)</f>
        <v>0</v>
      </c>
      <c r="R27" s="2301" t="str">
        <f>IF(SUM(R19:R26)=$D$3,SUM(R19:R26),SUM(R19:R26)&amp;"误差"&amp;ROUND(SUM(R19:R26)-$D$3,2))</f>
        <v>12237.12误差-0.01</v>
      </c>
      <c r="S27" s="274">
        <f>IF(SUM(S19:S26)=$E$3,SUM(S19:S26),SUM(S19:S26)&amp;"误差"&amp;ROUND(SUM(S19:S26)-E3,2))</f>
        <v>64674</v>
      </c>
    </row>
    <row r="28" spans="1:19">
      <c r="A28" s="138"/>
      <c r="B28" s="115" t="s">
        <v>227</v>
      </c>
      <c r="C28" s="136" t="s">
        <v>228</v>
      </c>
      <c r="D28" s="111">
        <f>ROUND($D$3*E28/$E$3,2)</f>
        <v>995.64</v>
      </c>
      <c r="E28" s="134">
        <f>SUM(F28:G28)</f>
        <v>5262</v>
      </c>
      <c r="F28" s="144">
        <f>'数据-基础表'!BQ5+'数据-基础表'!BS5</f>
        <v>0</v>
      </c>
      <c r="G28" s="145">
        <f>'数据-基础表'!BR5+'数据-基础表'!BT5</f>
        <v>5262</v>
      </c>
      <c r="H28" s="1980"/>
      <c r="I28" s="1980"/>
      <c r="J28" s="1980"/>
      <c r="K28" s="1980"/>
      <c r="L28" s="1980"/>
    </row>
    <row r="29" spans="1:19">
      <c r="A29" s="138"/>
      <c r="B29" s="115" t="s">
        <v>227</v>
      </c>
      <c r="C29" s="2309" t="s">
        <v>2320</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995.64</v>
      </c>
      <c r="E30" s="134">
        <f>SUM(E28:E29)</f>
        <v>5262</v>
      </c>
      <c r="F30" s="134">
        <f>SUM(F28:F29)</f>
        <v>0</v>
      </c>
      <c r="G30" s="112">
        <f>SUM(G28:G29)</f>
        <v>5262</v>
      </c>
      <c r="H30" s="1980"/>
      <c r="I30" s="1980"/>
      <c r="J30" s="1980"/>
      <c r="K30" s="1980"/>
      <c r="L30" s="1980"/>
    </row>
    <row r="31" spans="1:19" ht="32.25" customHeight="1" thickBot="1">
      <c r="A31" s="1368"/>
      <c r="B31" s="1369" t="s">
        <v>229</v>
      </c>
      <c r="C31" s="2326" t="s">
        <v>2322</v>
      </c>
      <c r="D31" s="1370">
        <f>D27+D30</f>
        <v>12237.13</v>
      </c>
      <c r="E31" s="1370">
        <f>E27+E30</f>
        <v>64674</v>
      </c>
      <c r="F31" s="1371">
        <f>F27+F30</f>
        <v>46611</v>
      </c>
      <c r="G31" s="1372">
        <f>G27+G30</f>
        <v>18063</v>
      </c>
      <c r="H31" s="1980"/>
      <c r="I31" s="1980"/>
      <c r="J31" s="1980"/>
      <c r="K31" s="1980"/>
      <c r="L31" s="1980"/>
    </row>
    <row r="32" spans="1:19">
      <c r="A32" s="1980"/>
      <c r="B32" s="2359" t="s">
        <v>2321</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43238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40.5">
      <c r="A5" s="2300"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41"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2323</v>
      </c>
      <c r="AI5" s="171" t="s">
        <v>2292</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办公</v>
      </c>
      <c r="B6" s="2333" t="str">
        <f>IF(A6=0,"","经营性")</f>
        <v>经营性</v>
      </c>
      <c r="C6" s="173" t="s">
        <v>1678</v>
      </c>
      <c r="D6" s="2304">
        <f>SUMIF(项目基本情况!D$15:I$15,C6,项目基本情况!D$18:I$18)</f>
        <v>50</v>
      </c>
      <c r="E6" s="2305">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5">
        <v>0.05</v>
      </c>
      <c r="I6" s="3045">
        <v>5.5E-2</v>
      </c>
      <c r="J6" s="176">
        <v>8.5000000000000006E-2</v>
      </c>
      <c r="K6" s="179">
        <f>SUMIF('数据-汇总表'!C$19:C$33,'数据-取费表'!A6,'数据-汇总表'!E$19:E$33)</f>
        <v>46611</v>
      </c>
      <c r="L6" s="3046">
        <v>3000</v>
      </c>
      <c r="M6" s="177">
        <f t="shared" ref="M6:M14" si="0">ROUND(K6*L6/10000,0)</f>
        <v>13983</v>
      </c>
      <c r="N6" s="3047">
        <v>0</v>
      </c>
      <c r="O6" s="177">
        <f>IF($N$5="成新度","——",ROUND(M6*N6,0))</f>
        <v>0</v>
      </c>
      <c r="P6" s="178">
        <f>IF($N$5="成新度","——",M6-O6)</f>
        <v>13983</v>
      </c>
      <c r="Q6" s="3204">
        <v>0.15</v>
      </c>
      <c r="R6" s="179">
        <f>SUMIF('数据-汇总表'!C$19:C$33,A6,'数据-汇总表'!R$19:R$33)</f>
        <v>9600.49</v>
      </c>
      <c r="S6" s="132">
        <f>IF('数据-汇总表'!$I$17="按面积比例",SUMIF('数据-汇总表'!C$19:C$33,A6,'数据-汇总表'!K$19:K$33),SUMIF('数据-汇总表'!C$19:C$33,A6,'数据-汇总表'!N$19:N$33))</f>
        <v>4128.24</v>
      </c>
      <c r="T6" s="2230">
        <f>IF($T$4="按面积比例",IF(ISERROR(ROUND($M$14*S6/S$16,0)),"0",ROUND($M$14*S6/S$16,0)),"需自行计算录入")</f>
        <v>908</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58"/>
      <c r="AN6" s="2412"/>
      <c r="AO6" s="1996"/>
      <c r="AP6" s="1203">
        <f>ROUND(1-1/(1+H6)^F6,3)</f>
        <v>0.90400000000000003</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f>'数据-汇总表'!C20</f>
        <v>0</v>
      </c>
      <c r="B7" s="2333" t="str">
        <f t="shared" ref="B7:B13" si="1">IF(A7=0,"","经营性")</f>
        <v/>
      </c>
      <c r="C7" s="173" t="s">
        <v>3071</v>
      </c>
      <c r="D7" s="2304">
        <f>SUMIF(项目基本情况!D$15:I$15,C7,项目基本情况!D$18:I$18)</f>
        <v>40</v>
      </c>
      <c r="E7" s="2305" t="str">
        <f>IF(B7="","",SUMIF(项目基本情况!D$15:I$15,C7,项目基本情况!D$17:I$17))</f>
        <v/>
      </c>
      <c r="F7" s="174">
        <f>SUMIF(项目基本情况!D$15:I$15,C7,项目基本情况!D$19:I$19)</f>
        <v>38.1</v>
      </c>
      <c r="G7" s="175">
        <f t="shared" ref="G7:G11" si="2">IF(ISERROR(ROUND(POWER(1+H7,D7-F7)*(POWER(1+H7,F7)-1)/(POWER(1+H7,D7)-1),3)),0,ROUND(POWER(1+H7,D7-F7)*(POWER(1+H7,F7)-1)/(POWER(1+H7,D7)-1),3))</f>
        <v>0</v>
      </c>
      <c r="H7" s="3045"/>
      <c r="I7" s="3045"/>
      <c r="J7" s="176"/>
      <c r="K7" s="179">
        <f>SUMIF('数据-汇总表'!C$19:C$33,'数据-取费表'!A7,'数据-汇总表'!E$19:E$33)</f>
        <v>0</v>
      </c>
      <c r="L7" s="3046"/>
      <c r="M7" s="177">
        <f t="shared" si="0"/>
        <v>0</v>
      </c>
      <c r="N7" s="3047"/>
      <c r="O7" s="177">
        <f t="shared" ref="O7:O14" si="3">IF($N$5="成新度","——",ROUND(M7*N7,0))</f>
        <v>0</v>
      </c>
      <c r="P7" s="178">
        <f t="shared" ref="P7:P14" si="4">IF($N$5="成新度","——",M7-O7)</f>
        <v>0</v>
      </c>
      <c r="Q7" s="3204"/>
      <c r="R7" s="179">
        <f>SUMIF('数据-汇总表'!C$19:C$33,A7,'数据-汇总表'!R$19:R$33)</f>
        <v>0</v>
      </c>
      <c r="S7" s="132">
        <f>IF('数据-汇总表'!$I$17="按面积比例",SUMIF('数据-汇总表'!C$19:C$33,A7,'数据-汇总表'!K$19:K$33),SUMIF('数据-汇总表'!C$19:C$33,A7,'数据-汇总表'!N$19:N$33))</f>
        <v>0</v>
      </c>
      <c r="T7" s="2230">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地下车库</v>
      </c>
      <c r="B8" s="2333" t="str">
        <f t="shared" si="1"/>
        <v>经营性</v>
      </c>
      <c r="C8" s="173" t="s">
        <v>3080</v>
      </c>
      <c r="D8" s="2304">
        <f>SUMIF(项目基本情况!D$15:I$15,C8,项目基本情况!D$18:I$18)</f>
        <v>50</v>
      </c>
      <c r="E8" s="2305">
        <f>IF(B8="","",SUMIF(项目基本情况!D$15:I$15,C8,项目基本情况!D$17:I$17))</f>
        <v>60800</v>
      </c>
      <c r="F8" s="174">
        <f>SUMIF(项目基本情况!D$15:I$15,C8,项目基本情况!D$19:I$19)</f>
        <v>48.11</v>
      </c>
      <c r="G8" s="175">
        <f t="shared" si="2"/>
        <v>0.98699999999999999</v>
      </c>
      <c r="H8" s="3045">
        <v>0.04</v>
      </c>
      <c r="I8" s="3045">
        <v>4.4999999999999998E-2</v>
      </c>
      <c r="J8" s="176">
        <v>8.5000000000000006E-2</v>
      </c>
      <c r="K8" s="179">
        <f>SUMIF('数据-汇总表'!C$19:C$33,'数据-取费表'!A8,'数据-汇总表'!E$19:E$33)</f>
        <v>9122</v>
      </c>
      <c r="L8" s="3046">
        <v>2500</v>
      </c>
      <c r="M8" s="177">
        <f>ROUND(K8*L8/10000,0)</f>
        <v>2281</v>
      </c>
      <c r="N8" s="3047">
        <v>0</v>
      </c>
      <c r="O8" s="177">
        <f t="shared" si="3"/>
        <v>0</v>
      </c>
      <c r="P8" s="178">
        <f t="shared" si="4"/>
        <v>2281</v>
      </c>
      <c r="Q8" s="3204">
        <v>0.1</v>
      </c>
      <c r="R8" s="179">
        <f>SUMIF('数据-汇总表'!C$19:C$33,A8,'数据-汇总表'!R$19:R$33)</f>
        <v>1878.87</v>
      </c>
      <c r="S8" s="132">
        <f>IF('数据-汇总表'!$I$17="按面积比例",SUMIF('数据-汇总表'!C$19:C$33,A8,'数据-汇总表'!K$19:K$33),SUMIF('数据-汇总表'!C$19:C$33,A8,'数据-汇总表'!N$19:N$33))</f>
        <v>807.92</v>
      </c>
      <c r="T8" s="2230">
        <f t="shared" si="5"/>
        <v>178</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6"/>
      <c r="AP8" s="1203">
        <f t="shared" si="8"/>
        <v>0.84799999999999998</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地下仓储</v>
      </c>
      <c r="B9" s="2333" t="str">
        <f t="shared" si="1"/>
        <v>经营性</v>
      </c>
      <c r="C9" s="173" t="s">
        <v>3081</v>
      </c>
      <c r="D9" s="2304">
        <f>SUMIF(项目基本情况!D$15:I$15,C9,项目基本情况!D$18:I$18)</f>
        <v>50</v>
      </c>
      <c r="E9" s="2305">
        <f>IF(B9="","",SUMIF(项目基本情况!D$15:I$15,C9,项目基本情况!D$17:I$17))</f>
        <v>60800</v>
      </c>
      <c r="F9" s="174">
        <f>SUMIF(项目基本情况!D$15:I$15,C9,项目基本情况!D$19:I$19)</f>
        <v>48.11</v>
      </c>
      <c r="G9" s="175">
        <f t="shared" si="2"/>
        <v>0.997</v>
      </c>
      <c r="H9" s="3203">
        <v>0.08</v>
      </c>
      <c r="I9" s="3203">
        <v>0.09</v>
      </c>
      <c r="J9" s="176">
        <v>8.5000000000000006E-2</v>
      </c>
      <c r="K9" s="179">
        <f>SUMIF('数据-汇总表'!C$19:C$33,'数据-取费表'!A9,'数据-汇总表'!E$19:E$33)</f>
        <v>1755</v>
      </c>
      <c r="L9" s="193">
        <v>2500</v>
      </c>
      <c r="M9" s="177">
        <f t="shared" si="0"/>
        <v>439</v>
      </c>
      <c r="N9" s="194">
        <v>0</v>
      </c>
      <c r="O9" s="177">
        <f t="shared" si="3"/>
        <v>0</v>
      </c>
      <c r="P9" s="178">
        <f t="shared" si="4"/>
        <v>439</v>
      </c>
      <c r="Q9" s="3205">
        <v>0.1</v>
      </c>
      <c r="R9" s="179">
        <f>SUMIF('数据-汇总表'!C$19:C$33,A9,'数据-汇总表'!R$19:R$33)</f>
        <v>361.48</v>
      </c>
      <c r="S9" s="132">
        <f>IF('数据-汇总表'!$I$17="按面积比例",SUMIF('数据-汇总表'!C$19:C$33,A9,'数据-汇总表'!K$19:K$33),SUMIF('数据-汇总表'!C$19:C$33,A9,'数据-汇总表'!N$19:N$33))</f>
        <v>155.44</v>
      </c>
      <c r="T9" s="2230">
        <f t="shared" si="5"/>
        <v>34</v>
      </c>
      <c r="U9" s="180">
        <f>'不动产比较法-仓储'!C37</f>
        <v>3.3</v>
      </c>
      <c r="V9" s="181">
        <v>0.02</v>
      </c>
      <c r="W9" s="181">
        <v>0.1</v>
      </c>
      <c r="X9" s="2317"/>
      <c r="Y9" s="182">
        <v>1</v>
      </c>
      <c r="Z9" s="183"/>
      <c r="AA9" s="176"/>
      <c r="AB9" s="176"/>
      <c r="AC9" s="2320"/>
      <c r="AD9" s="184"/>
      <c r="AE9" s="971">
        <f t="shared" ca="1" si="6"/>
        <v>46.61</v>
      </c>
      <c r="AF9" s="141"/>
      <c r="AG9" s="1212">
        <f t="shared" si="7"/>
        <v>0</v>
      </c>
      <c r="AH9" s="141"/>
      <c r="AI9" s="187">
        <v>365</v>
      </c>
      <c r="AJ9" s="188"/>
      <c r="AK9" s="189">
        <v>1.4999999999999999E-2</v>
      </c>
      <c r="AL9" s="190">
        <v>1.5E-3</v>
      </c>
      <c r="AM9" s="2410">
        <v>0.01</v>
      </c>
      <c r="AN9" s="2412" t="s">
        <v>3231</v>
      </c>
      <c r="AO9" s="1996"/>
      <c r="AP9" s="1203">
        <f t="shared" si="8"/>
        <v>0.97499999999999998</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t="str">
        <f>'数据-汇总表'!C23</f>
        <v>地下商务</v>
      </c>
      <c r="B10" s="2333" t="str">
        <f t="shared" si="1"/>
        <v>经营性</v>
      </c>
      <c r="C10" s="173" t="s">
        <v>1678</v>
      </c>
      <c r="D10" s="2304">
        <f>SUMIF(项目基本情况!D$15:I$15,C10,项目基本情况!D$18:I$18)</f>
        <v>50</v>
      </c>
      <c r="E10" s="2305">
        <f>IF(B10="","",SUMIF(项目基本情况!D$15:I$15,C10,项目基本情况!D$17:I$17))</f>
        <v>60800</v>
      </c>
      <c r="F10" s="174">
        <f>SUMIF(项目基本情况!D$15:I$15,C10,项目基本情况!D$19:I$19)</f>
        <v>48.11</v>
      </c>
      <c r="G10" s="175">
        <f t="shared" si="2"/>
        <v>0.98899999999999999</v>
      </c>
      <c r="H10" s="3203">
        <v>4.4999999999999998E-2</v>
      </c>
      <c r="I10" s="3203">
        <v>0.05</v>
      </c>
      <c r="J10" s="176">
        <v>8.5000000000000006E-2</v>
      </c>
      <c r="K10" s="179">
        <f>SUMIF('数据-汇总表'!C$19:C$33,'数据-取费表'!A10,'数据-汇总表'!E$19:E$33)</f>
        <v>1924</v>
      </c>
      <c r="L10" s="193">
        <v>2600</v>
      </c>
      <c r="M10" s="177">
        <f t="shared" si="0"/>
        <v>500</v>
      </c>
      <c r="N10" s="194">
        <v>0</v>
      </c>
      <c r="O10" s="177">
        <f t="shared" si="3"/>
        <v>0</v>
      </c>
      <c r="P10" s="178">
        <f t="shared" si="4"/>
        <v>500</v>
      </c>
      <c r="Q10" s="3205">
        <v>0.1</v>
      </c>
      <c r="R10" s="179">
        <f>SUMIF('数据-汇总表'!C$19:C$33,A10,'数据-汇总表'!R$19:R$33)</f>
        <v>396.28000000000003</v>
      </c>
      <c r="S10" s="132">
        <f>IF('数据-汇总表'!$I$17="按面积比例",SUMIF('数据-汇总表'!C$19:C$33,A10,'数据-汇总表'!K$19:K$33),SUMIF('数据-汇总表'!C$19:C$33,A10,'数据-汇总表'!N$19:N$33))</f>
        <v>170.4</v>
      </c>
      <c r="T10" s="2230">
        <f t="shared" si="5"/>
        <v>37</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0.88</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4"/>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4"/>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2314</v>
      </c>
      <c r="B14" s="2302" t="s">
        <v>1680</v>
      </c>
      <c r="C14" s="2303" t="s">
        <v>2314</v>
      </c>
      <c r="D14" s="2304"/>
      <c r="E14" s="2305"/>
      <c r="F14" s="174"/>
      <c r="G14" s="175"/>
      <c r="H14" s="2306"/>
      <c r="I14" s="2306"/>
      <c r="J14" s="2306"/>
      <c r="K14" s="179">
        <f>SUMIF('数据-汇总表'!C$19:C$33,'数据-取费表'!A14,'数据-汇总表'!E$19:E$33)</f>
        <v>5262</v>
      </c>
      <c r="L14" s="193">
        <v>2200</v>
      </c>
      <c r="M14" s="177">
        <f t="shared" si="0"/>
        <v>1158</v>
      </c>
      <c r="N14" s="194">
        <v>0</v>
      </c>
      <c r="O14" s="177">
        <f t="shared" si="3"/>
        <v>0</v>
      </c>
      <c r="P14" s="178">
        <f t="shared" si="4"/>
        <v>1158</v>
      </c>
      <c r="Q14" s="2314"/>
      <c r="R14" s="179"/>
      <c r="S14" s="132"/>
      <c r="T14" s="2313"/>
      <c r="U14" s="973"/>
      <c r="V14" s="2316"/>
      <c r="W14" s="2316"/>
      <c r="X14" s="2317"/>
      <c r="Y14" s="2318"/>
      <c r="Z14" s="136"/>
      <c r="AA14" s="2319"/>
      <c r="AB14" s="2319"/>
      <c r="AC14" s="2320"/>
      <c r="AD14" s="2317"/>
      <c r="AE14" s="971"/>
      <c r="AF14" s="2292"/>
      <c r="AG14" s="1212"/>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2316</v>
      </c>
      <c r="B15" s="2302" t="s">
        <v>1680</v>
      </c>
      <c r="C15" s="2303" t="s">
        <v>2315</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262</v>
      </c>
      <c r="B16" s="199"/>
      <c r="C16" s="200"/>
      <c r="D16" s="201"/>
      <c r="E16" s="199"/>
      <c r="F16" s="199"/>
      <c r="G16" s="202">
        <f>ROUND(SUMPRODUCT(G6:G13,K6:K13)/SUMPRODUCT((G6:G13&gt;0)*(K6:K13)),3)</f>
        <v>0.99</v>
      </c>
      <c r="H16" s="203">
        <f>ROUND(SUMPRODUCT(H6:H13,K6:K13)/SUMPRODUCT((H6:H13&gt;0)*(K6:K13)),3)</f>
        <v>4.9000000000000002E-2</v>
      </c>
      <c r="I16" s="204"/>
      <c r="J16" s="204"/>
      <c r="K16" s="205">
        <f>SUM(K6:K15)</f>
        <v>64674</v>
      </c>
      <c r="L16" s="206">
        <f>ROUND(M16*10000/SUM(K6:K14),0)</f>
        <v>2839</v>
      </c>
      <c r="M16" s="206">
        <f>SUM(M6:M14)</f>
        <v>18361</v>
      </c>
      <c r="N16" s="207">
        <f>ROUND(SUMPRODUCT(M6:M14,N6:N14)/M16,3)</f>
        <v>0</v>
      </c>
      <c r="O16" s="206">
        <f>SUM(O6:O14)</f>
        <v>0</v>
      </c>
      <c r="P16" s="206">
        <f>SUM(P6:P14)</f>
        <v>18361</v>
      </c>
      <c r="Q16" s="208">
        <f>ROUND(SUMPRODUCT(Q6:Q13,K6:K13)/SUMPRODUCT((Q6:Q13&gt;0)*(K6:K13)),2)</f>
        <v>0.14000000000000001</v>
      </c>
      <c r="R16" s="2307">
        <f>SUM(R6:R13)</f>
        <v>12237.12</v>
      </c>
      <c r="S16" s="209">
        <f>SUM(S6:S13)</f>
        <v>5261.9999999999991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0.89700000000000002</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1.5</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2338</v>
      </c>
      <c r="B27" s="227"/>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2339</v>
      </c>
      <c r="B28" s="229">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2337</v>
      </c>
      <c r="B29" s="3206"/>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4"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274</v>
      </c>
      <c r="B31" s="230">
        <f>B30-B32</f>
        <v>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6" t="s">
        <v>275</v>
      </c>
      <c r="B32" s="3207">
        <v>200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278</v>
      </c>
      <c r="B33" s="1376">
        <v>0.03</v>
      </c>
      <c r="C33" s="2361" t="s">
        <v>2890</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2">
        <v>0</v>
      </c>
      <c r="C34" s="2361" t="s">
        <v>2891</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2892</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3">
        <v>1.4999999999999999E-2</v>
      </c>
      <c r="C36" s="2361" t="s">
        <v>2893</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0.02</v>
      </c>
      <c r="C37" s="2361" t="s">
        <v>2894</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2">
        <v>0.02</v>
      </c>
      <c r="C38" s="2361" t="s">
        <v>2894</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2458</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39">
        <v>0.05</v>
      </c>
      <c r="C42" s="311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285</v>
      </c>
      <c r="B44" s="241">
        <v>7.0000000000000007E-2</v>
      </c>
      <c r="C44" s="2361" t="s">
        <v>2895</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286</v>
      </c>
      <c r="B45" s="239">
        <v>0.03</v>
      </c>
      <c r="C45" s="2363" t="s">
        <v>2896</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287</v>
      </c>
      <c r="B46" s="239">
        <v>0.02</v>
      </c>
      <c r="C46" s="2363" t="s">
        <v>2897</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288</v>
      </c>
      <c r="B47" s="243"/>
      <c r="C47" s="3093" t="s">
        <v>2898</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289</v>
      </c>
      <c r="B48" s="245">
        <v>0.03</v>
      </c>
      <c r="C48" s="3094" t="s">
        <v>2899</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9">
        <v>5.0000000000000001E-4</v>
      </c>
      <c r="C49" s="3094" t="s">
        <v>2900</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291</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293</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0" t="s">
        <v>1408</v>
      </c>
      <c r="C53" s="3095" t="s">
        <v>2901</v>
      </c>
      <c r="D53" s="3096" t="s">
        <v>2902</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8" t="s">
        <v>2903</v>
      </c>
      <c r="B54" s="186"/>
      <c r="C54" s="1990">
        <v>30</v>
      </c>
      <c r="D54" s="3097"/>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8" t="s">
        <v>2904</v>
      </c>
      <c r="B55" s="186"/>
      <c r="C55" s="1990">
        <v>24</v>
      </c>
      <c r="D55" s="3097"/>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8" t="s">
        <v>2905</v>
      </c>
      <c r="B56" s="186"/>
      <c r="C56" s="1990">
        <v>18</v>
      </c>
      <c r="D56" s="3097"/>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8" t="s">
        <v>2906</v>
      </c>
      <c r="B57" s="186"/>
      <c r="C57" s="1990">
        <v>12</v>
      </c>
      <c r="D57" s="3097"/>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8" t="s">
        <v>2907</v>
      </c>
      <c r="B58" s="186">
        <v>3</v>
      </c>
      <c r="C58" s="1990">
        <v>3</v>
      </c>
      <c r="D58" s="3097"/>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8" t="s">
        <v>2908</v>
      </c>
      <c r="B59" s="186"/>
      <c r="C59" s="1990">
        <v>1.5</v>
      </c>
      <c r="D59" s="3097"/>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8" t="s">
        <v>2909</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8" t="s">
        <v>2910</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8" t="s">
        <v>2911</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9" t="s">
        <v>2912</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12" t="s">
        <v>1664</v>
      </c>
      <c r="B1" s="3313"/>
      <c r="C1" s="3313"/>
      <c r="D1" s="3313"/>
      <c r="E1" s="3313"/>
      <c r="F1" s="3313"/>
      <c r="G1" s="3313"/>
      <c r="H1" s="1998"/>
      <c r="I1" s="1999"/>
      <c r="J1" s="2000"/>
      <c r="K1" s="1998"/>
      <c r="L1" s="1999"/>
      <c r="M1" s="2000"/>
      <c r="N1" s="1998"/>
      <c r="O1" s="1999"/>
      <c r="P1" s="2000"/>
      <c r="Q1" s="2001"/>
      <c r="R1" s="2002"/>
    </row>
    <row r="2" spans="1:18" ht="14.25" thickBot="1">
      <c r="A2" s="1220"/>
      <c r="B2" s="1221"/>
      <c r="C2" s="1222" t="s">
        <v>1665</v>
      </c>
      <c r="D2" s="1223"/>
      <c r="E2" s="1224"/>
      <c r="F2" s="1225"/>
      <c r="G2" s="1222" t="s">
        <v>1666</v>
      </c>
      <c r="H2" s="2004"/>
      <c r="I2" s="2004"/>
      <c r="J2" s="2004"/>
      <c r="K2" s="2004"/>
      <c r="L2" s="2004"/>
      <c r="M2" s="2004"/>
      <c r="N2" s="2004"/>
      <c r="O2" s="2004"/>
      <c r="P2" s="2004"/>
      <c r="Q2" s="2004"/>
      <c r="R2" s="2004"/>
    </row>
    <row r="3" spans="1:18" ht="42.75">
      <c r="A3" s="1226" t="s">
        <v>1667</v>
      </c>
      <c r="B3" s="1227" t="s">
        <v>1654</v>
      </c>
      <c r="C3" s="3100"/>
      <c r="D3" s="2005"/>
      <c r="E3" s="1228" t="s">
        <v>1667</v>
      </c>
      <c r="F3" s="1229" t="s">
        <v>1655</v>
      </c>
      <c r="G3" s="3102" t="s">
        <v>2917</v>
      </c>
      <c r="H3" s="2004"/>
      <c r="I3" s="2004"/>
      <c r="J3" s="2004"/>
      <c r="K3" s="2004"/>
      <c r="L3" s="2004"/>
      <c r="M3" s="2004"/>
      <c r="N3" s="2004"/>
      <c r="O3" s="2004"/>
      <c r="P3" s="2004"/>
      <c r="Q3" s="2004"/>
      <c r="R3" s="2004"/>
    </row>
    <row r="4" spans="1:18" ht="54">
      <c r="A4" s="1228"/>
      <c r="B4" s="1230" t="s">
        <v>1668</v>
      </c>
      <c r="C4" s="3179" t="s">
        <v>3110</v>
      </c>
      <c r="D4" s="2005"/>
      <c r="E4" s="1231"/>
      <c r="F4" s="1232" t="s">
        <v>1669</v>
      </c>
      <c r="G4" s="3101" t="s">
        <v>2914</v>
      </c>
      <c r="H4" s="2004"/>
      <c r="I4" s="2004"/>
      <c r="J4" s="2004"/>
      <c r="K4" s="2004"/>
      <c r="L4" s="2004"/>
      <c r="M4" s="2004"/>
      <c r="N4" s="2004"/>
      <c r="O4" s="2004"/>
      <c r="P4" s="2004"/>
      <c r="Q4" s="2004"/>
      <c r="R4" s="2004"/>
    </row>
    <row r="5" spans="1:18" ht="67.5">
      <c r="A5" s="1228"/>
      <c r="B5" s="1230" t="s">
        <v>1670</v>
      </c>
      <c r="C5" s="3179" t="s">
        <v>3238</v>
      </c>
      <c r="D5" s="2005"/>
      <c r="E5" s="1231"/>
      <c r="F5" s="1230" t="s">
        <v>2547</v>
      </c>
      <c r="G5" s="3101" t="s">
        <v>2915</v>
      </c>
      <c r="H5" s="2004"/>
      <c r="I5" s="2004"/>
      <c r="J5" s="2004"/>
      <c r="K5" s="2004"/>
      <c r="L5" s="2004"/>
      <c r="M5" s="2004"/>
      <c r="N5" s="2004"/>
      <c r="O5" s="2004"/>
      <c r="P5" s="2004"/>
      <c r="Q5" s="2004"/>
      <c r="R5" s="2004"/>
    </row>
    <row r="6" spans="1:18" ht="94.5">
      <c r="A6" s="1228"/>
      <c r="B6" s="1230" t="s">
        <v>1656</v>
      </c>
      <c r="C6" s="3180" t="s">
        <v>3239</v>
      </c>
      <c r="D6" s="2005"/>
      <c r="E6" s="1231"/>
      <c r="F6" s="1230" t="s">
        <v>2548</v>
      </c>
      <c r="G6" s="3101" t="s">
        <v>2913</v>
      </c>
      <c r="H6" s="2004"/>
      <c r="I6" s="2004"/>
      <c r="J6" s="2004"/>
      <c r="K6" s="2004"/>
      <c r="L6" s="2004"/>
      <c r="M6" s="2004"/>
      <c r="N6" s="2004"/>
      <c r="O6" s="2004"/>
      <c r="P6" s="2004"/>
      <c r="Q6" s="2004"/>
      <c r="R6" s="2004"/>
    </row>
    <row r="7" spans="1:18" ht="122.25" thickBot="1">
      <c r="A7" s="1228"/>
      <c r="B7" s="1230" t="s">
        <v>2547</v>
      </c>
      <c r="C7" s="3180" t="s">
        <v>3241</v>
      </c>
      <c r="D7" s="2006"/>
      <c r="E7" s="1233"/>
      <c r="F7" s="1234" t="s">
        <v>1671</v>
      </c>
      <c r="G7" s="3103" t="s">
        <v>2916</v>
      </c>
      <c r="H7" s="2004"/>
      <c r="I7" s="2004"/>
      <c r="J7" s="2004"/>
      <c r="K7" s="2004"/>
      <c r="L7" s="2004"/>
      <c r="M7" s="2004"/>
      <c r="N7" s="2004"/>
      <c r="O7" s="2004"/>
      <c r="P7" s="2004"/>
      <c r="Q7" s="2004"/>
      <c r="R7" s="2004"/>
    </row>
    <row r="8" spans="1:18" ht="27">
      <c r="A8" s="1228"/>
      <c r="B8" s="1230" t="s">
        <v>2548</v>
      </c>
      <c r="C8" s="3180" t="s">
        <v>3243</v>
      </c>
      <c r="D8" s="2006"/>
      <c r="E8" s="2006"/>
      <c r="F8" s="1551"/>
      <c r="G8" s="1551"/>
      <c r="H8" s="2004"/>
      <c r="I8" s="2004"/>
      <c r="J8" s="2004"/>
      <c r="K8" s="2004"/>
      <c r="L8" s="2004"/>
      <c r="M8" s="2004"/>
      <c r="N8" s="2004"/>
      <c r="O8" s="2004"/>
      <c r="P8" s="2004"/>
      <c r="Q8" s="2004"/>
      <c r="R8" s="2004"/>
    </row>
    <row r="9" spans="1:18" ht="54">
      <c r="A9" s="1228"/>
      <c r="B9" s="1230" t="s">
        <v>1657</v>
      </c>
      <c r="C9" s="3179" t="s">
        <v>3245</v>
      </c>
      <c r="D9" s="2005"/>
      <c r="E9" s="2006"/>
      <c r="F9" s="1551"/>
      <c r="G9" s="1551"/>
      <c r="H9" s="2004"/>
      <c r="I9" s="2004"/>
      <c r="J9" s="2004"/>
      <c r="K9" s="2004"/>
      <c r="L9" s="2004"/>
      <c r="M9" s="2004"/>
      <c r="N9" s="2004"/>
      <c r="O9" s="2004"/>
      <c r="P9" s="2004"/>
      <c r="Q9" s="2004"/>
      <c r="R9" s="2004"/>
    </row>
    <row r="10" spans="1:18" s="2012" customFormat="1" ht="14.25" thickBot="1">
      <c r="A10" s="1235"/>
      <c r="B10" s="1236" t="s">
        <v>1672</v>
      </c>
      <c r="C10" s="3181" t="s">
        <v>3088</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1673</v>
      </c>
      <c r="B13" s="2598"/>
      <c r="C13" s="2598"/>
      <c r="D13" s="1223"/>
      <c r="E13" s="2598"/>
      <c r="F13" s="2598"/>
      <c r="G13" s="2598"/>
    </row>
    <row r="14" spans="1:18" ht="14.25" thickBot="1">
      <c r="A14" s="1237"/>
      <c r="B14" s="1238"/>
      <c r="C14" s="1239" t="s">
        <v>1665</v>
      </c>
      <c r="D14" s="2005"/>
      <c r="E14" s="1240"/>
      <c r="F14" s="1240"/>
      <c r="G14" s="1222" t="s">
        <v>1666</v>
      </c>
    </row>
    <row r="15" spans="1:18" ht="40.5">
      <c r="A15" s="2608" t="s">
        <v>1658</v>
      </c>
      <c r="B15" s="1241" t="s">
        <v>1654</v>
      </c>
      <c r="C15" s="1242">
        <f>C3</f>
        <v>0</v>
      </c>
      <c r="D15" s="2005"/>
      <c r="E15" s="2605" t="s">
        <v>1659</v>
      </c>
      <c r="F15" s="1241" t="s">
        <v>1674</v>
      </c>
      <c r="G15" s="1243" t="str">
        <f>G3</f>
        <v>估价对象位于XX开发区，园区建设成熟度XX，产业集聚程度XX</v>
      </c>
    </row>
    <row r="16" spans="1:18" ht="54">
      <c r="A16" s="2609"/>
      <c r="B16" s="1244" t="s">
        <v>1668</v>
      </c>
      <c r="C16" s="1245" t="str">
        <f>C4</f>
        <v>估价对象位于中关村环保科技园，周边商业氛围成熟度一般，人流量一般，商业繁华度一般。</v>
      </c>
      <c r="D16" s="2005"/>
      <c r="E16" s="2606"/>
      <c r="F16" s="1246" t="s">
        <v>1669</v>
      </c>
      <c r="G16" s="1004" t="str">
        <f>G4</f>
        <v>估价对象周边道路状况、公共交通通达情况、停车便捷程度，综合评价交通便捷度较好</v>
      </c>
    </row>
    <row r="17" spans="1:7" ht="67.5">
      <c r="A17" s="2609"/>
      <c r="B17" s="1244" t="s">
        <v>1670</v>
      </c>
      <c r="C17" s="1245" t="str">
        <f>C5</f>
        <v>估价对象位于中关村环保科技园，周边办公楼项目较多，有百卓大厦、同有科技大厦等，入驻率较高，办公集聚程度较好。</v>
      </c>
      <c r="D17" s="2006"/>
      <c r="E17" s="2606"/>
      <c r="F17" s="1246" t="s">
        <v>1675</v>
      </c>
      <c r="G17" s="2814"/>
    </row>
    <row r="18" spans="1:7" ht="94.5">
      <c r="A18" s="2609"/>
      <c r="B18" s="1246" t="s">
        <v>1656</v>
      </c>
      <c r="C18" s="1004" t="str">
        <f>C6</f>
        <v>估价对象临近城市主干道——北清路，公共交通通达情况较好，有543路、633路、642路等公交线路及地铁16号线，停车便捷程度较好，综合评价交通便捷度较好。</v>
      </c>
      <c r="D18" s="2006"/>
      <c r="E18" s="2606"/>
      <c r="F18" s="1246" t="s">
        <v>1671</v>
      </c>
      <c r="G18" s="1004" t="str">
        <f>G7</f>
        <v>该园区内是否有污染型企业，绿化情况，卫生条件，整体环境状况判断</v>
      </c>
    </row>
    <row r="19" spans="1:7" ht="27">
      <c r="A19" s="2609"/>
      <c r="B19" s="1246" t="s">
        <v>1660</v>
      </c>
      <c r="C19" s="3182" t="s">
        <v>3115</v>
      </c>
      <c r="D19" s="2005"/>
      <c r="E19" s="2606"/>
      <c r="F19" s="1230" t="s">
        <v>2547</v>
      </c>
      <c r="G19" s="1004" t="str">
        <f>G5</f>
        <v>估价对象所在区域公共配套设施齐备情况</v>
      </c>
    </row>
    <row r="20" spans="1:7" ht="54">
      <c r="A20" s="2609"/>
      <c r="B20" s="1246" t="s">
        <v>1661</v>
      </c>
      <c r="C20" s="1245" t="str">
        <f>C9</f>
        <v>区域自然环境：东埠头沟公园；人文环境：无博物馆、展览馆等人文景观；综合评价环境状况一般。</v>
      </c>
      <c r="D20" s="2006"/>
      <c r="E20" s="2606"/>
      <c r="F20" s="1230" t="s">
        <v>2548</v>
      </c>
      <c r="G20" s="1004" t="str">
        <f>G6</f>
        <v>估价对象所在区域基础设施水平</v>
      </c>
    </row>
    <row r="21" spans="1:7" ht="121.5">
      <c r="A21" s="2609"/>
      <c r="B21" s="1230" t="s">
        <v>2547</v>
      </c>
      <c r="C21" s="1004" t="str">
        <f>C7</f>
        <v>估价对象所在区域2公里内有：银行（中国建设银行、中国民生银行），购物（华联生活超市、超市发超市），学校（人大附中北大附小联合实验学校、苏三四小学），无医院，公共配套设施齐备情况一般。</v>
      </c>
      <c r="D21" s="2005"/>
      <c r="E21" s="2606"/>
      <c r="F21" s="1246" t="s">
        <v>1662</v>
      </c>
      <c r="G21" s="3104"/>
    </row>
    <row r="22" spans="1:7" ht="27">
      <c r="A22" s="2609"/>
      <c r="B22" s="1230" t="s">
        <v>2548</v>
      </c>
      <c r="C22" s="1004" t="str">
        <f>C8</f>
        <v>估价对象所在区域基础设施水平达到“七通”。</v>
      </c>
      <c r="D22" s="2005"/>
      <c r="E22" s="2606"/>
      <c r="F22" s="1246" t="s">
        <v>1672</v>
      </c>
      <c r="G22" s="2814"/>
    </row>
    <row r="23" spans="1:7" ht="15" thickBot="1">
      <c r="A23" s="2609"/>
      <c r="B23" s="1246" t="s">
        <v>1662</v>
      </c>
      <c r="C23" s="3104" t="s">
        <v>3090</v>
      </c>
      <c r="E23" s="2607"/>
      <c r="F23" s="1247" t="s">
        <v>1676</v>
      </c>
      <c r="G23" s="3105"/>
    </row>
    <row r="24" spans="1:7" ht="14.25" thickBot="1">
      <c r="A24" s="2610"/>
      <c r="B24" s="1247" t="s">
        <v>1663</v>
      </c>
      <c r="C24" s="1248" t="str">
        <f>C10</f>
        <v>城市次干道——稻香湖路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2844</v>
      </c>
      <c r="B1" s="3064">
        <f>SUM(B14:B23)</f>
        <v>64674</v>
      </c>
      <c r="C1" s="3065"/>
      <c r="D1" s="3065"/>
      <c r="E1" s="3065"/>
      <c r="F1" s="3065"/>
    </row>
    <row r="2" spans="1:9" ht="16.5">
      <c r="A2" s="3064" t="s">
        <v>2845</v>
      </c>
      <c r="B2" s="3064">
        <f>SUM(C14:C23)</f>
        <v>12237.13</v>
      </c>
      <c r="C2" s="3065"/>
      <c r="D2" s="3065"/>
      <c r="E2" s="3065"/>
      <c r="F2" s="3065"/>
    </row>
    <row r="3" spans="1:9" ht="16.5">
      <c r="A3" s="3064" t="s">
        <v>2846</v>
      </c>
      <c r="B3" s="3066">
        <f>项目基本情况!D3</f>
        <v>43238</v>
      </c>
      <c r="C3" s="3065"/>
      <c r="D3" s="3065"/>
      <c r="E3" s="3065"/>
      <c r="F3" s="3065"/>
    </row>
    <row r="4" spans="1:9" ht="33">
      <c r="A4" s="3064" t="s">
        <v>2847</v>
      </c>
      <c r="B4" s="3064" t="s">
        <v>2848</v>
      </c>
      <c r="C4" s="3064" t="s">
        <v>2849</v>
      </c>
      <c r="D4" s="3064" t="s">
        <v>2850</v>
      </c>
      <c r="E4" s="3065"/>
      <c r="F4" s="3065"/>
    </row>
    <row r="5" spans="1:9" ht="16.5">
      <c r="A5" s="3064" t="s">
        <v>2851</v>
      </c>
      <c r="B5" s="3064">
        <f ca="1">SUM(D14:D23)</f>
        <v>142764</v>
      </c>
      <c r="C5" s="3064">
        <f ca="1">ROUND(B5*10000/$B$1,0)</f>
        <v>22074</v>
      </c>
      <c r="D5" s="3064">
        <f ca="1">ROUND(B5*10000/$B$2,0)</f>
        <v>116665</v>
      </c>
      <c r="E5" s="3065"/>
      <c r="F5" s="3065"/>
    </row>
    <row r="6" spans="1:9" ht="16.5">
      <c r="A6" s="3064" t="s">
        <v>2852</v>
      </c>
      <c r="B6" s="3064">
        <f ca="1">SUM(G14:G23)</f>
        <v>142764</v>
      </c>
      <c r="C6" s="3064">
        <f t="shared" ref="C6:C8" ca="1" si="0">ROUND(B6*10000/$B$1,0)</f>
        <v>22074</v>
      </c>
      <c r="D6" s="3064">
        <f t="shared" ref="D6:D8" ca="1" si="1">ROUND(B6*10000/$B$2,0)</f>
        <v>116665</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64674</v>
      </c>
      <c r="C14" s="3068">
        <f>结果表!K38</f>
        <v>12237.13</v>
      </c>
      <c r="D14" s="3068">
        <f ca="1">结果表!C42</f>
        <v>142764</v>
      </c>
      <c r="E14" s="3068">
        <f ca="1">ROUND(D14*10000/B14,0)</f>
        <v>22074</v>
      </c>
      <c r="F14" s="3068">
        <f ca="1">ROUND(D14*10000/C14,0)</f>
        <v>116665</v>
      </c>
      <c r="G14" s="3068">
        <f ca="1">结果表!C44</f>
        <v>142764</v>
      </c>
      <c r="H14" s="3068" t="str">
        <f>结果表!C45</f>
        <v>——</v>
      </c>
      <c r="I14" s="3068" t="str">
        <f>结果表!C46</f>
        <v>——</v>
      </c>
    </row>
    <row r="15" spans="1:9" ht="16.5">
      <c r="A15" s="3071" t="s">
        <v>2861</v>
      </c>
      <c r="B15" s="3072"/>
      <c r="C15" s="3072"/>
      <c r="D15" s="3072"/>
      <c r="E15" s="3068" t="e">
        <f t="shared" ref="E15:E23" si="2">ROUND(D15*10000/B15,0)</f>
        <v>#DIV/0!</v>
      </c>
      <c r="F15" s="3068" t="e">
        <f t="shared" ref="F15:F23" si="3">ROUND(D15*10000/C15,0)</f>
        <v>#DIV/0!</v>
      </c>
      <c r="G15" s="3069"/>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B37" sqref="B3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2055</v>
      </c>
      <c r="B1" s="1774"/>
      <c r="C1" s="1802" t="s">
        <v>2056</v>
      </c>
      <c r="D1" s="1803" t="s">
        <v>3273</v>
      </c>
      <c r="E1" s="1802" t="s">
        <v>2057</v>
      </c>
      <c r="F1" s="1804" t="s">
        <v>3272</v>
      </c>
      <c r="G1" s="310"/>
      <c r="H1" s="310"/>
      <c r="I1" s="310"/>
      <c r="J1" s="2025"/>
      <c r="K1" s="2025"/>
      <c r="L1" s="2025"/>
      <c r="M1" s="2025"/>
      <c r="N1" s="2025"/>
      <c r="O1" s="2025"/>
      <c r="P1" s="2025"/>
      <c r="Q1" s="2025"/>
      <c r="R1" s="2025"/>
      <c r="S1" s="2025"/>
      <c r="T1" s="2025"/>
      <c r="U1" s="2025"/>
      <c r="V1" s="2025"/>
    </row>
    <row r="2" spans="1:22" ht="21.75" customHeight="1" thickBot="1">
      <c r="A2" s="3350" t="str">
        <f>项目基本情况!K2</f>
        <v>北京市海淀区“海淀北部地区整体开发”中关村环保科技园HD-0303-0071地块出让国有建设用地使用权</v>
      </c>
      <c r="B2" s="3351"/>
      <c r="C2" s="3352"/>
      <c r="D2" s="3352"/>
      <c r="E2" s="3352"/>
      <c r="F2" s="3352"/>
      <c r="G2" s="3351"/>
      <c r="H2" s="3351"/>
      <c r="I2" s="3353"/>
      <c r="J2" s="2026"/>
      <c r="K2" s="2025"/>
      <c r="L2" s="2025"/>
      <c r="M2" s="2025"/>
      <c r="N2" s="2025"/>
      <c r="O2" s="2025"/>
      <c r="P2" s="2025"/>
      <c r="Q2" s="2025"/>
      <c r="R2" s="2025"/>
      <c r="S2" s="2025"/>
      <c r="T2" s="2025"/>
      <c r="U2" s="2025"/>
      <c r="V2" s="2025"/>
    </row>
    <row r="3" spans="1:22" ht="14.25">
      <c r="A3" s="3343" t="s">
        <v>298</v>
      </c>
      <c r="B3" s="3344"/>
      <c r="C3" s="3344"/>
      <c r="D3" s="3344"/>
      <c r="E3" s="3344"/>
      <c r="F3" s="3344"/>
      <c r="G3" s="3344"/>
      <c r="H3" s="3344"/>
      <c r="I3" s="3344"/>
      <c r="J3" s="2026"/>
      <c r="K3" s="2025"/>
      <c r="L3" s="2025"/>
      <c r="M3" s="2025"/>
      <c r="N3" s="2025"/>
      <c r="O3" s="2025"/>
      <c r="P3" s="2025"/>
      <c r="Q3" s="2025"/>
      <c r="R3" s="2025"/>
      <c r="S3" s="2025"/>
      <c r="T3" s="2025"/>
      <c r="U3" s="2025"/>
      <c r="V3" s="2025"/>
    </row>
    <row r="4" spans="1:22" ht="14.25">
      <c r="A4" s="257" t="s">
        <v>299</v>
      </c>
      <c r="B4" s="258" t="s">
        <v>300</v>
      </c>
      <c r="C4" s="259" t="s">
        <v>3143</v>
      </c>
      <c r="D4" s="259" t="s">
        <v>3144</v>
      </c>
      <c r="E4" s="3315" t="s">
        <v>301</v>
      </c>
      <c r="F4" s="3316"/>
      <c r="G4" s="3316"/>
      <c r="H4" s="3316"/>
      <c r="I4" s="3345"/>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14" t="s">
        <v>302</v>
      </c>
      <c r="B5" s="3340">
        <v>25</v>
      </c>
      <c r="C5" s="3338"/>
      <c r="D5" s="3342"/>
      <c r="E5" s="260" t="s">
        <v>303</v>
      </c>
      <c r="F5" s="261"/>
      <c r="G5" s="261"/>
      <c r="H5" s="261"/>
      <c r="I5" s="262"/>
      <c r="J5" s="2026"/>
      <c r="K5" s="2025"/>
      <c r="L5" s="2025"/>
      <c r="M5" s="2025"/>
      <c r="N5" s="2025"/>
      <c r="O5" s="2025"/>
      <c r="P5" s="2025"/>
      <c r="Q5" s="2025"/>
      <c r="R5" s="2025"/>
      <c r="S5" s="2025"/>
      <c r="T5" s="2025"/>
      <c r="U5" s="2025"/>
      <c r="V5" s="2025"/>
    </row>
    <row r="6" spans="1:22" ht="14.25">
      <c r="A6" s="3314"/>
      <c r="B6" s="3340"/>
      <c r="C6" s="3341"/>
      <c r="D6" s="3342"/>
      <c r="E6" s="260" t="s">
        <v>304</v>
      </c>
      <c r="F6" s="261"/>
      <c r="G6" s="261"/>
      <c r="H6" s="261"/>
      <c r="I6" s="262"/>
      <c r="J6" s="2026"/>
      <c r="K6" s="2025"/>
      <c r="L6" s="2025"/>
      <c r="M6" s="2025"/>
      <c r="N6" s="2025"/>
      <c r="O6" s="2025"/>
      <c r="P6" s="2025"/>
      <c r="Q6" s="2025"/>
      <c r="R6" s="2025"/>
      <c r="S6" s="2025"/>
      <c r="T6" s="2025"/>
      <c r="U6" s="2025"/>
      <c r="V6" s="2025"/>
    </row>
    <row r="7" spans="1:22" ht="14.25">
      <c r="A7" s="3314"/>
      <c r="B7" s="3340"/>
      <c r="C7" s="3339"/>
      <c r="D7" s="3342"/>
      <c r="E7" s="260" t="s">
        <v>305</v>
      </c>
      <c r="F7" s="261"/>
      <c r="G7" s="261"/>
      <c r="H7" s="261"/>
      <c r="I7" s="262"/>
      <c r="J7" s="2026"/>
      <c r="K7" s="2025"/>
      <c r="L7" s="2025"/>
      <c r="M7" s="2025"/>
      <c r="N7" s="2025"/>
      <c r="O7" s="2025"/>
      <c r="P7" s="2025"/>
      <c r="Q7" s="2025"/>
      <c r="R7" s="2025"/>
      <c r="S7" s="2025"/>
      <c r="T7" s="2025"/>
      <c r="U7" s="2025"/>
      <c r="V7" s="2025"/>
    </row>
    <row r="8" spans="1:22" ht="14.25">
      <c r="A8" s="3314" t="s">
        <v>306</v>
      </c>
      <c r="B8" s="3340">
        <v>15</v>
      </c>
      <c r="C8" s="3338"/>
      <c r="D8" s="3342"/>
      <c r="E8" s="260" t="s">
        <v>307</v>
      </c>
      <c r="F8" s="261"/>
      <c r="G8" s="261"/>
      <c r="H8" s="261"/>
      <c r="I8" s="262"/>
      <c r="J8" s="2026"/>
      <c r="K8" s="2025"/>
      <c r="L8" s="2025"/>
      <c r="M8" s="2025"/>
      <c r="N8" s="2025"/>
      <c r="O8" s="2025"/>
      <c r="P8" s="2025"/>
      <c r="Q8" s="2025"/>
      <c r="R8" s="2025"/>
      <c r="S8" s="2025"/>
      <c r="T8" s="2025"/>
      <c r="U8" s="2025"/>
      <c r="V8" s="2025"/>
    </row>
    <row r="9" spans="1:22" ht="14.25">
      <c r="A9" s="3314"/>
      <c r="B9" s="3340"/>
      <c r="C9" s="3339"/>
      <c r="D9" s="3342"/>
      <c r="E9" s="260" t="s">
        <v>308</v>
      </c>
      <c r="F9" s="261"/>
      <c r="G9" s="261"/>
      <c r="H9" s="261"/>
      <c r="I9" s="262"/>
      <c r="J9" s="2026"/>
      <c r="K9" s="2025"/>
      <c r="L9" s="2025"/>
      <c r="M9" s="2025"/>
      <c r="N9" s="2025"/>
      <c r="O9" s="2025"/>
      <c r="P9" s="2025"/>
      <c r="Q9" s="2025"/>
      <c r="R9" s="2025"/>
      <c r="S9" s="2025"/>
      <c r="T9" s="2025"/>
      <c r="U9" s="2025"/>
      <c r="V9" s="2025"/>
    </row>
    <row r="10" spans="1:22" ht="14.25">
      <c r="A10" s="3314" t="s">
        <v>309</v>
      </c>
      <c r="B10" s="3340">
        <v>15</v>
      </c>
      <c r="C10" s="3338"/>
      <c r="D10" s="3342"/>
      <c r="E10" s="260" t="s">
        <v>310</v>
      </c>
      <c r="F10" s="261"/>
      <c r="G10" s="261"/>
      <c r="H10" s="261"/>
      <c r="I10" s="262"/>
      <c r="J10" s="2026"/>
      <c r="K10" s="2025"/>
      <c r="L10" s="2025"/>
      <c r="M10" s="2025"/>
      <c r="N10" s="2025"/>
      <c r="O10" s="2025"/>
      <c r="P10" s="2025"/>
      <c r="Q10" s="2025"/>
      <c r="R10" s="2025"/>
      <c r="S10" s="2025"/>
      <c r="T10" s="2025"/>
      <c r="U10" s="2025"/>
      <c r="V10" s="2025"/>
    </row>
    <row r="11" spans="1:22" ht="14.25">
      <c r="A11" s="3314"/>
      <c r="B11" s="3340"/>
      <c r="C11" s="3339"/>
      <c r="D11" s="3342"/>
      <c r="E11" s="260" t="s">
        <v>311</v>
      </c>
      <c r="F11" s="261"/>
      <c r="G11" s="261"/>
      <c r="H11" s="261"/>
      <c r="I11" s="262"/>
      <c r="J11" s="2026"/>
      <c r="K11" s="2025"/>
      <c r="L11" s="2025"/>
      <c r="M11" s="2025"/>
      <c r="N11" s="2025"/>
      <c r="O11" s="2025"/>
      <c r="P11" s="2025"/>
      <c r="Q11" s="2025"/>
      <c r="R11" s="2025"/>
      <c r="S11" s="2025"/>
      <c r="T11" s="2025"/>
      <c r="U11" s="2025"/>
      <c r="V11" s="2025"/>
    </row>
    <row r="12" spans="1:22" ht="14.25">
      <c r="A12" s="3314" t="s">
        <v>312</v>
      </c>
      <c r="B12" s="3340">
        <v>15</v>
      </c>
      <c r="C12" s="3338"/>
      <c r="D12" s="3342"/>
      <c r="E12" s="260" t="s">
        <v>313</v>
      </c>
      <c r="F12" s="261"/>
      <c r="G12" s="261"/>
      <c r="H12" s="261"/>
      <c r="I12" s="262"/>
      <c r="J12" s="2026"/>
      <c r="K12" s="2025"/>
      <c r="L12" s="2025"/>
      <c r="M12" s="2025"/>
      <c r="N12" s="2025"/>
      <c r="O12" s="2025"/>
      <c r="P12" s="2025"/>
      <c r="Q12" s="2025"/>
      <c r="R12" s="2025"/>
      <c r="S12" s="2025"/>
      <c r="T12" s="2025"/>
      <c r="U12" s="2025"/>
      <c r="V12" s="2025"/>
    </row>
    <row r="13" spans="1:22" ht="14.25">
      <c r="A13" s="3314"/>
      <c r="B13" s="3340"/>
      <c r="C13" s="3339"/>
      <c r="D13" s="3342"/>
      <c r="E13" s="260" t="s">
        <v>314</v>
      </c>
      <c r="F13" s="261"/>
      <c r="G13" s="261"/>
      <c r="H13" s="261"/>
      <c r="I13" s="262"/>
      <c r="J13" s="2026"/>
      <c r="K13" s="2025"/>
      <c r="L13" s="2025"/>
      <c r="M13" s="2025"/>
      <c r="N13" s="2025"/>
      <c r="O13" s="2025"/>
      <c r="P13" s="2025"/>
      <c r="Q13" s="2025"/>
      <c r="R13" s="2025"/>
      <c r="S13" s="2025"/>
      <c r="T13" s="2025"/>
      <c r="U13" s="2025"/>
      <c r="V13" s="2025"/>
    </row>
    <row r="14" spans="1:22" ht="14.25">
      <c r="A14" s="3314" t="s">
        <v>315</v>
      </c>
      <c r="B14" s="3340">
        <v>30</v>
      </c>
      <c r="C14" s="3338">
        <v>5</v>
      </c>
      <c r="D14" s="3342">
        <v>5</v>
      </c>
      <c r="E14" s="260" t="s">
        <v>316</v>
      </c>
      <c r="F14" s="261"/>
      <c r="G14" s="261"/>
      <c r="H14" s="261"/>
      <c r="I14" s="262"/>
      <c r="J14" s="2026"/>
      <c r="K14" s="2025"/>
      <c r="L14" s="2025"/>
      <c r="M14" s="2025"/>
      <c r="N14" s="2025"/>
      <c r="O14" s="2025"/>
      <c r="P14" s="2025"/>
      <c r="Q14" s="2025"/>
      <c r="R14" s="2025"/>
      <c r="S14" s="2025"/>
      <c r="T14" s="2025"/>
      <c r="U14" s="2025"/>
      <c r="V14" s="2025"/>
    </row>
    <row r="15" spans="1:22" ht="14.25">
      <c r="A15" s="3314"/>
      <c r="B15" s="3340"/>
      <c r="C15" s="3341"/>
      <c r="D15" s="3342"/>
      <c r="E15" s="260" t="s">
        <v>317</v>
      </c>
      <c r="F15" s="261"/>
      <c r="G15" s="261"/>
      <c r="H15" s="261"/>
      <c r="I15" s="262"/>
      <c r="J15" s="2026"/>
      <c r="K15" s="2025"/>
      <c r="L15" s="2025"/>
      <c r="M15" s="2025"/>
      <c r="N15" s="2025"/>
      <c r="O15" s="2025"/>
      <c r="P15" s="2025"/>
      <c r="Q15" s="2025"/>
      <c r="R15" s="2025"/>
      <c r="S15" s="2025"/>
      <c r="T15" s="2025"/>
      <c r="U15" s="2025"/>
      <c r="V15" s="2025"/>
    </row>
    <row r="16" spans="1:22" ht="14.25">
      <c r="A16" s="3314"/>
      <c r="B16" s="3340"/>
      <c r="C16" s="3339"/>
      <c r="D16" s="3342"/>
      <c r="E16" s="260" t="s">
        <v>318</v>
      </c>
      <c r="F16" s="261"/>
      <c r="G16" s="261"/>
      <c r="H16" s="261"/>
      <c r="I16" s="262"/>
      <c r="J16" s="2026"/>
      <c r="K16" s="2025"/>
      <c r="L16" s="2025"/>
      <c r="M16" s="2025"/>
      <c r="N16" s="2025"/>
      <c r="O16" s="2025"/>
      <c r="P16" s="2025"/>
      <c r="Q16" s="2025"/>
      <c r="R16" s="2025"/>
      <c r="S16" s="2025"/>
      <c r="T16" s="2025"/>
      <c r="U16" s="2025"/>
      <c r="V16" s="2025"/>
    </row>
    <row r="17" spans="1:26" ht="15">
      <c r="A17" s="263" t="s">
        <v>319</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320</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321</v>
      </c>
      <c r="B19" s="268" t="s">
        <v>322</v>
      </c>
      <c r="C19" s="269">
        <f ca="1">SUMIF(INDIRECT("'"&amp;C4&amp;"'"&amp;"!A:A"),结果表!B19,INDIRECT("'"&amp;C4&amp;"'"&amp;"!B:B"))</f>
        <v>152698</v>
      </c>
      <c r="D19" s="270">
        <f ca="1">SUMIF(INDIRECT("'"&amp;D4&amp;"'"&amp;"!A:A"),结果表!B19,INDIRECT("'"&amp;D4&amp;"'"&amp;"!B:B"))</f>
        <v>132830</v>
      </c>
      <c r="E19" s="267" t="s">
        <v>323</v>
      </c>
      <c r="F19" s="268" t="s">
        <v>322</v>
      </c>
      <c r="G19" s="271">
        <f ca="1">ROUND(C19*$C$18+D19*$D$18,0)</f>
        <v>142764</v>
      </c>
      <c r="H19" s="272" t="s">
        <v>324</v>
      </c>
      <c r="I19" s="310"/>
      <c r="J19" s="2025"/>
      <c r="K19" s="2025"/>
      <c r="L19" s="2025"/>
      <c r="M19" s="2025"/>
      <c r="N19" s="2025"/>
      <c r="O19" s="2025"/>
      <c r="P19" s="2025"/>
      <c r="Q19" s="2025"/>
      <c r="R19" s="2025"/>
      <c r="S19" s="2025"/>
      <c r="T19" s="2025"/>
      <c r="U19" s="2025"/>
      <c r="V19" s="2025"/>
    </row>
    <row r="20" spans="1:26" ht="15">
      <c r="A20" s="273"/>
      <c r="B20" s="274" t="s">
        <v>325</v>
      </c>
      <c r="C20" s="275">
        <f ca="1">SUMIF(INDIRECT("'"&amp;C4&amp;"'"&amp;"!A:A"),结果表!B20,INDIRECT("'"&amp;C4&amp;"'"&amp;"!B:B"))</f>
        <v>23610</v>
      </c>
      <c r="D20" s="276">
        <f ca="1">SUMIF(INDIRECT("'"&amp;D4&amp;"'"&amp;"!A:A"),结果表!B20,INDIRECT("'"&amp;D4&amp;"'"&amp;"!B:B"))</f>
        <v>20538</v>
      </c>
      <c r="E20" s="273"/>
      <c r="F20" s="274" t="s">
        <v>325</v>
      </c>
      <c r="G20" s="277">
        <f ca="1">ROUND(C20*$C$18+D20*$D$18,0)</f>
        <v>22074</v>
      </c>
      <c r="H20" s="278" t="s">
        <v>326</v>
      </c>
      <c r="I20" s="310"/>
      <c r="J20" s="2025"/>
      <c r="K20" s="2025"/>
      <c r="L20" s="2025"/>
      <c r="M20" s="2025"/>
      <c r="N20" s="2025"/>
      <c r="O20" s="2025"/>
      <c r="P20" s="2025"/>
      <c r="Q20" s="2025"/>
      <c r="R20" s="2025"/>
      <c r="S20" s="2025"/>
      <c r="T20" s="2025"/>
      <c r="U20" s="2025"/>
      <c r="V20" s="2025"/>
    </row>
    <row r="21" spans="1:26" ht="15" customHeight="1">
      <c r="A21" s="273"/>
      <c r="B21" s="279" t="s">
        <v>327</v>
      </c>
      <c r="C21" s="280">
        <f ca="1">SUMIF(INDIRECT("'"&amp;C4&amp;"'"&amp;"!A:A"),结果表!B21,INDIRECT("'"&amp;C4&amp;"'"&amp;"!B:B"))</f>
        <v>124783</v>
      </c>
      <c r="D21" s="151">
        <f ca="1">SUMIF(INDIRECT("'"&amp;D4&amp;"'"&amp;"!A:A"),结果表!B21,INDIRECT("'"&amp;D4&amp;"'"&amp;"!B:B"))</f>
        <v>108547</v>
      </c>
      <c r="E21" s="273"/>
      <c r="F21" s="279" t="s">
        <v>327</v>
      </c>
      <c r="G21" s="281">
        <f ca="1">ROUND(C21*$C$18+D21*$D$18,0)</f>
        <v>116665</v>
      </c>
      <c r="H21" s="1250" t="s">
        <v>326</v>
      </c>
      <c r="I21" s="310"/>
      <c r="J21" s="2025"/>
      <c r="K21" s="2025"/>
      <c r="L21" s="2025"/>
      <c r="M21" s="2025"/>
      <c r="N21" s="2025"/>
      <c r="O21" s="2025"/>
      <c r="P21" s="2025"/>
      <c r="Q21" s="2025"/>
      <c r="R21" s="2025"/>
      <c r="S21" s="2025"/>
      <c r="T21" s="2025"/>
      <c r="U21" s="2025"/>
      <c r="V21" s="2025"/>
    </row>
    <row r="22" spans="1:26" ht="15.75" thickBot="1">
      <c r="A22" s="126" t="s">
        <v>328</v>
      </c>
      <c r="B22" s="1251"/>
      <c r="C22" s="1252"/>
      <c r="D22" s="282">
        <f ca="1">IF(C19&lt;D19,D19/C19-1,C19/D19-1)</f>
        <v>0.14957464428216527</v>
      </c>
      <c r="E22" s="283"/>
      <c r="F22" s="284"/>
      <c r="G22" s="285">
        <f ca="1">ROUND(G19/('数据-汇总表'!D3/666.67),0)</f>
        <v>7778</v>
      </c>
      <c r="H22" s="286" t="s">
        <v>329</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20" t="s">
        <v>330</v>
      </c>
      <c r="B24" s="268" t="s">
        <v>322</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21"/>
      <c r="B25" s="1320" t="s">
        <v>331</v>
      </c>
      <c r="C25" s="289">
        <f>IF(B30=0,0,C30)</f>
        <v>0</v>
      </c>
      <c r="D25" s="290"/>
      <c r="E25" s="310"/>
      <c r="F25" s="310"/>
      <c r="G25" s="310"/>
      <c r="H25" s="310"/>
      <c r="I25" s="310"/>
      <c r="J25" s="2025"/>
      <c r="K25" s="1254" t="str">
        <f ca="1">项目基本情况!B16&amp;"国有建设用地使用权价格："&amp;O38&amp;"万元"</f>
        <v>出让国有建设用地使用权价格：142764万元</v>
      </c>
      <c r="L25" s="1255"/>
      <c r="M25" s="1255"/>
      <c r="N25" s="1255"/>
      <c r="O25" s="1256"/>
      <c r="P25" s="2025"/>
      <c r="Q25" s="2025"/>
      <c r="R25" s="2025"/>
      <c r="S25" s="2025"/>
      <c r="T25" s="2025"/>
      <c r="U25" s="2025"/>
      <c r="V25" s="2025"/>
    </row>
    <row r="26" spans="1:26" s="1253" customFormat="1" ht="18">
      <c r="A26" s="292" t="s">
        <v>332</v>
      </c>
      <c r="B26" s="293" t="s">
        <v>333</v>
      </c>
      <c r="C26" s="293" t="s">
        <v>334</v>
      </c>
      <c r="D26" s="294" t="s">
        <v>335</v>
      </c>
      <c r="E26" s="310"/>
      <c r="F26" s="310"/>
      <c r="G26" s="310"/>
      <c r="H26" s="310"/>
      <c r="I26" s="310"/>
      <c r="J26" s="2025"/>
      <c r="K26" s="1257" t="str">
        <f ca="1">"大写金额：人民币"&amp;NUMBERSTRING(INT(O38*10000),2)&amp;"元整"</f>
        <v>大写金额：人民币壹拾肆亿贰仟柒佰陆拾肆万元整</v>
      </c>
      <c r="L26" s="1251"/>
      <c r="M26" s="1251"/>
      <c r="N26" s="1251"/>
      <c r="O26" s="1250"/>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7" t="str">
        <f ca="1">"单位面积地价："&amp;M38&amp;"元/平方米"</f>
        <v>单位面积地价：116665元/平方米</v>
      </c>
      <c r="L27" s="1251"/>
      <c r="M27" s="1251"/>
      <c r="N27" s="1251"/>
      <c r="O27" s="1250"/>
      <c r="P27" s="2025"/>
      <c r="Q27" s="2025"/>
      <c r="R27" s="2025"/>
      <c r="S27" s="2025"/>
      <c r="T27" s="2025"/>
      <c r="U27" s="2025"/>
      <c r="V27" s="2025"/>
    </row>
    <row r="28" spans="1:26" ht="18.75" customHeight="1">
      <c r="A28" s="292"/>
      <c r="B28" s="293"/>
      <c r="C28" s="293"/>
      <c r="D28" s="294"/>
      <c r="E28" s="310"/>
      <c r="F28" s="310"/>
      <c r="G28" s="310"/>
      <c r="H28" s="310"/>
      <c r="I28" s="310"/>
      <c r="J28" s="2025"/>
      <c r="K28" s="1257" t="str">
        <f ca="1">"楼面地价："&amp;N38&amp;"元/平方米"</f>
        <v>楼面地价：22074元/平方米</v>
      </c>
      <c r="L28" s="1251"/>
      <c r="M28" s="1251"/>
      <c r="N28" s="1251"/>
      <c r="O28" s="1250"/>
      <c r="P28" s="2025"/>
      <c r="V28" s="2025"/>
    </row>
    <row r="29" spans="1:26" ht="18">
      <c r="A29" s="292"/>
      <c r="B29" s="293"/>
      <c r="C29" s="293"/>
      <c r="D29" s="294"/>
      <c r="E29" s="310"/>
      <c r="F29" s="310"/>
      <c r="G29" s="310"/>
      <c r="H29" s="310"/>
      <c r="I29" s="310"/>
      <c r="J29" s="2025"/>
      <c r="K29" s="1257" t="str">
        <f ca="1">IF(OR(项目基本情况!E8="抵押价格",项目基本情况!E8="已注销及未注销"),"抵押价格："&amp;O39&amp;"万元","——")</f>
        <v>抵押价格：142764万元</v>
      </c>
      <c r="L29" s="1251"/>
      <c r="M29" s="1251"/>
      <c r="N29" s="1251"/>
      <c r="O29" s="1250"/>
      <c r="P29" s="2025"/>
      <c r="V29" s="2025"/>
    </row>
    <row r="30" spans="1:26" ht="18.75" thickBot="1">
      <c r="A30" s="3153" t="s">
        <v>336</v>
      </c>
      <c r="B30" s="308"/>
      <c r="C30" s="308"/>
      <c r="D30" s="309"/>
      <c r="E30" s="3154" t="s">
        <v>2965</v>
      </c>
      <c r="F30" s="310"/>
      <c r="G30" s="310"/>
      <c r="H30" s="310"/>
      <c r="I30" s="310"/>
      <c r="J30" s="2025"/>
      <c r="K30" s="1257" t="str">
        <f ca="1">IF(K29="——","——","大写金额：人民币"&amp;NUMBERSTRING(INT(O39*10000),2)&amp;"元整")</f>
        <v>大写金额：人民币壹拾肆亿贰仟柒佰陆拾肆万元整</v>
      </c>
      <c r="L30" s="1251"/>
      <c r="M30" s="1251"/>
      <c r="N30" s="1251"/>
      <c r="O30" s="1250"/>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337</v>
      </c>
      <c r="B32" s="1379" t="s">
        <v>1689</v>
      </c>
      <c r="C32" s="1380">
        <f ca="1">G19-C24</f>
        <v>142764</v>
      </c>
      <c r="D32" s="1381" t="s">
        <v>1690</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340</v>
      </c>
      <c r="B33" s="1382" t="s">
        <v>1691</v>
      </c>
      <c r="C33" s="263">
        <f ca="1">ROUND(C32*10000/'数据-汇总表'!E3,0)</f>
        <v>22074</v>
      </c>
      <c r="D33" s="1383" t="s">
        <v>1692</v>
      </c>
      <c r="E33" s="3320" t="s">
        <v>338</v>
      </c>
      <c r="F33" s="295" t="s">
        <v>339</v>
      </c>
      <c r="G33" s="296"/>
      <c r="H33" s="979"/>
      <c r="I33" s="1258"/>
      <c r="J33" s="2025"/>
      <c r="K33" s="1257" t="str">
        <f>IF(项目基本情况!E9="——","——","抵押净值："&amp;C46&amp;"万元")</f>
        <v>抵押净值：——万元</v>
      </c>
      <c r="L33" s="1251"/>
      <c r="M33" s="1251"/>
      <c r="N33" s="1251"/>
      <c r="O33" s="1250"/>
      <c r="P33" s="2025"/>
      <c r="V33" s="2025"/>
    </row>
    <row r="34" spans="1:26" s="1253" customFormat="1" ht="18.75" thickBot="1">
      <c r="A34" s="299"/>
      <c r="B34" s="1384" t="s">
        <v>1693</v>
      </c>
      <c r="C34" s="263">
        <f ca="1">ROUND(C32*10000/'数据-汇总表'!D3,0)</f>
        <v>116665</v>
      </c>
      <c r="D34" s="1385" t="s">
        <v>1692</v>
      </c>
      <c r="E34" s="3361"/>
      <c r="F34" s="127" t="s">
        <v>341</v>
      </c>
      <c r="G34" s="298"/>
      <c r="H34" s="105"/>
      <c r="I34" s="310"/>
      <c r="J34" s="2025"/>
      <c r="K34" s="1260" t="e">
        <f>IF(K33="——","——","大写金额：人民币"&amp;NUMBERSTRING(INT(O41*10000),2)&amp;"元整")</f>
        <v>#VALUE!</v>
      </c>
      <c r="L34" s="1261"/>
      <c r="M34" s="1261"/>
      <c r="N34" s="1261"/>
      <c r="O34" s="1262"/>
      <c r="P34" s="2025"/>
      <c r="Q34" s="291"/>
      <c r="R34" s="291"/>
      <c r="S34" s="291"/>
      <c r="T34" s="291"/>
      <c r="U34" s="291"/>
      <c r="V34" s="2025"/>
      <c r="W34" s="291"/>
      <c r="X34" s="291"/>
      <c r="Y34" s="291"/>
      <c r="Z34" s="291"/>
    </row>
    <row r="35" spans="1:26" ht="15.75" thickBot="1">
      <c r="A35" s="283"/>
      <c r="B35" s="1386"/>
      <c r="C35" s="1387">
        <f ca="1">ROUND(C32/('数据-汇总表'!D3/666.67),0)</f>
        <v>7778</v>
      </c>
      <c r="D35" s="1388" t="s">
        <v>1694</v>
      </c>
      <c r="E35" s="3362"/>
      <c r="F35" s="300" t="s">
        <v>342</v>
      </c>
      <c r="G35" s="981"/>
      <c r="H35" s="980" t="s">
        <v>343</v>
      </c>
      <c r="I35" s="310"/>
      <c r="J35" s="2025"/>
      <c r="K35" s="3335" t="s">
        <v>350</v>
      </c>
      <c r="L35" s="3335" t="s">
        <v>351</v>
      </c>
      <c r="M35" s="1263" t="s">
        <v>352</v>
      </c>
      <c r="N35" s="3335" t="s">
        <v>353</v>
      </c>
      <c r="O35" s="3335" t="s">
        <v>354</v>
      </c>
      <c r="P35" s="2025"/>
      <c r="V35" s="2025"/>
    </row>
    <row r="36" spans="1:26" ht="16.5" customHeight="1">
      <c r="A36" s="302" t="s">
        <v>344</v>
      </c>
      <c r="B36" s="303" t="s">
        <v>333</v>
      </c>
      <c r="C36" s="304" t="s">
        <v>345</v>
      </c>
      <c r="D36" s="304" t="s">
        <v>346</v>
      </c>
      <c r="E36" s="305" t="s">
        <v>347</v>
      </c>
      <c r="F36" s="310"/>
      <c r="G36" s="310"/>
      <c r="H36" s="310"/>
      <c r="I36" s="310"/>
      <c r="J36" s="2027"/>
      <c r="K36" s="3336"/>
      <c r="L36" s="3336"/>
      <c r="M36" s="1265" t="s">
        <v>355</v>
      </c>
      <c r="N36" s="3336"/>
      <c r="O36" s="3336"/>
      <c r="P36" s="2025"/>
      <c r="V36" s="2025"/>
    </row>
    <row r="37" spans="1:26" ht="16.5" customHeight="1" thickBot="1">
      <c r="A37" s="1259" t="s">
        <v>348</v>
      </c>
      <c r="B37" s="306"/>
      <c r="C37" s="293"/>
      <c r="D37" s="293"/>
      <c r="E37" s="294"/>
      <c r="F37" s="310"/>
      <c r="G37" s="310"/>
      <c r="H37" s="310"/>
      <c r="I37" s="310"/>
      <c r="J37" s="2027"/>
      <c r="K37" s="3337"/>
      <c r="L37" s="3337"/>
      <c r="M37" s="1266"/>
      <c r="N37" s="3337"/>
      <c r="O37" s="3337"/>
      <c r="P37" s="2025"/>
      <c r="V37" s="2025"/>
    </row>
    <row r="38" spans="1:26" ht="16.5" customHeight="1" thickBot="1">
      <c r="A38" s="1259" t="s">
        <v>349</v>
      </c>
      <c r="B38" s="306"/>
      <c r="C38" s="293"/>
      <c r="D38" s="293"/>
      <c r="E38" s="294"/>
      <c r="F38" s="310"/>
      <c r="G38" s="310"/>
      <c r="H38" s="310"/>
      <c r="I38" s="310"/>
      <c r="J38" s="2027"/>
      <c r="K38" s="1267">
        <f>'数据-汇总表'!D3</f>
        <v>12237.13</v>
      </c>
      <c r="L38" s="1268">
        <f>'数据-汇总表'!E3</f>
        <v>64674</v>
      </c>
      <c r="M38" s="1268">
        <f ca="1">C34</f>
        <v>116665</v>
      </c>
      <c r="N38" s="1268">
        <f ca="1">C33</f>
        <v>22074</v>
      </c>
      <c r="O38" s="1269">
        <f ca="1">C32</f>
        <v>142764</v>
      </c>
      <c r="P38" s="2025"/>
      <c r="V38" s="2025"/>
    </row>
    <row r="39" spans="1:26" ht="16.5" customHeight="1" thickBot="1">
      <c r="A39" s="1264"/>
      <c r="B39" s="307"/>
      <c r="C39" s="308"/>
      <c r="D39" s="308"/>
      <c r="E39" s="309"/>
      <c r="F39" s="310"/>
      <c r="G39" s="310"/>
      <c r="H39" s="310"/>
      <c r="I39" s="310"/>
      <c r="J39" s="2027"/>
      <c r="K39" s="3380" t="str">
        <f>MID(A44,3,LEN(A44)-2)</f>
        <v>抵押价格</v>
      </c>
      <c r="L39" s="3381"/>
      <c r="M39" s="3381"/>
      <c r="N39" s="3382"/>
      <c r="O39" s="1390">
        <f ca="1">C44</f>
        <v>142764</v>
      </c>
      <c r="P39" s="2025"/>
      <c r="V39" s="2025"/>
    </row>
    <row r="40" spans="1:26" ht="19.5" thickBot="1">
      <c r="A40" s="104" t="s">
        <v>873</v>
      </c>
      <c r="B40" s="310"/>
      <c r="C40" s="310"/>
      <c r="D40" s="310"/>
      <c r="E40" s="310"/>
      <c r="F40" s="310"/>
      <c r="G40" s="310"/>
      <c r="H40" s="310"/>
      <c r="I40" s="310"/>
      <c r="J40" s="2027"/>
      <c r="K40" s="3380" t="str">
        <f t="shared" ref="K40:K41" si="0">MID(A45,3,LEN(A45)-2)</f>
        <v/>
      </c>
      <c r="L40" s="3381"/>
      <c r="M40" s="3381"/>
      <c r="N40" s="3382"/>
      <c r="O40" s="1390" t="str">
        <f>C45</f>
        <v>——</v>
      </c>
      <c r="P40" s="2025"/>
      <c r="V40" s="2025"/>
    </row>
    <row r="41" spans="1:26" ht="16.5" thickBot="1">
      <c r="A41" s="311" t="s">
        <v>356</v>
      </c>
      <c r="B41" s="312"/>
      <c r="C41" s="313" t="s">
        <v>357</v>
      </c>
      <c r="D41" s="314" t="s">
        <v>358</v>
      </c>
      <c r="E41" s="314" t="s">
        <v>359</v>
      </c>
      <c r="F41" s="315" t="s">
        <v>360</v>
      </c>
      <c r="G41" s="310"/>
      <c r="H41" s="310"/>
      <c r="I41" s="310"/>
      <c r="J41" s="2027"/>
      <c r="K41" s="3380" t="str">
        <f t="shared" si="0"/>
        <v/>
      </c>
      <c r="L41" s="3381"/>
      <c r="M41" s="3381"/>
      <c r="N41" s="3382"/>
      <c r="O41" s="1390" t="str">
        <f>C46</f>
        <v>——</v>
      </c>
      <c r="P41" s="2025"/>
      <c r="V41" s="2025"/>
    </row>
    <row r="42" spans="1:26" ht="29.25">
      <c r="A42" s="3322" t="s">
        <v>2067</v>
      </c>
      <c r="B42" s="3323"/>
      <c r="C42" s="263">
        <f ca="1">C32</f>
        <v>142764</v>
      </c>
      <c r="D42" s="316">
        <f ca="1">C33</f>
        <v>22074</v>
      </c>
      <c r="E42" s="316">
        <f ca="1">C34</f>
        <v>116665</v>
      </c>
      <c r="F42" s="317">
        <f ca="1">C35</f>
        <v>7778</v>
      </c>
      <c r="G42" s="310"/>
      <c r="H42" s="310"/>
      <c r="I42" s="318"/>
      <c r="J42" s="2027"/>
      <c r="K42" s="1270" t="s">
        <v>361</v>
      </c>
      <c r="L42" s="2044" t="s">
        <v>362</v>
      </c>
      <c r="M42" s="1271" t="s">
        <v>363</v>
      </c>
      <c r="N42" s="2045" t="s">
        <v>364</v>
      </c>
      <c r="O42" s="2046" t="s">
        <v>365</v>
      </c>
      <c r="P42" s="2025"/>
      <c r="V42" s="2025"/>
    </row>
    <row r="43" spans="1:26" ht="30">
      <c r="A43" s="3333" t="s">
        <v>2730</v>
      </c>
      <c r="B43" s="3334"/>
      <c r="C43" s="263">
        <f>IF(H33="正常操作",G33+G34+G35,G34+G35)</f>
        <v>0</v>
      </c>
      <c r="D43" s="316" t="s">
        <v>43</v>
      </c>
      <c r="E43" s="316" t="s">
        <v>44</v>
      </c>
      <c r="F43" s="317" t="s">
        <v>44</v>
      </c>
      <c r="G43" s="2887" t="s">
        <v>952</v>
      </c>
      <c r="H43" s="310"/>
      <c r="I43" s="318"/>
      <c r="J43" s="2027"/>
      <c r="K43" s="1272" t="str">
        <f>C4</f>
        <v>比较法-住宅、综合</v>
      </c>
      <c r="L43" s="1273">
        <f ca="1">IF(L42="估价结果/万元",C19,C20)</f>
        <v>152698</v>
      </c>
      <c r="M43" s="1274">
        <f>C18</f>
        <v>0.5</v>
      </c>
      <c r="N43" s="1275">
        <f ca="1">IF(N42="测算结果/万元",G19,G20)</f>
        <v>142764</v>
      </c>
      <c r="O43" s="1276">
        <f ca="1">IF(O42="最终结果/万元",C32,C33)</f>
        <v>142764</v>
      </c>
      <c r="P43" s="2025"/>
      <c r="V43" s="2025"/>
    </row>
    <row r="44" spans="1:26" ht="30.75" thickBot="1">
      <c r="A44" s="3322" t="str">
        <f>IF(OR(项目基本情况!E8="抵押价格",项目基本情况!E8="已注销及未注销"),"3.抵押价格","——")</f>
        <v>3.抵押价格</v>
      </c>
      <c r="B44" s="3323"/>
      <c r="C44" s="263">
        <f ca="1">IF(A44="——","——",C42-C43)</f>
        <v>142764</v>
      </c>
      <c r="D44" s="316">
        <f ca="1">ROUND(C44*10000/'数据-汇总表'!E3,0)</f>
        <v>22074</v>
      </c>
      <c r="E44" s="316">
        <f ca="1">ROUND(C44*10000/'数据-汇总表'!D3,0)</f>
        <v>116665</v>
      </c>
      <c r="F44" s="317">
        <f ca="1">ROUND(C44/('数据-汇总表'!D3/666.67),0)</f>
        <v>7778</v>
      </c>
      <c r="G44" s="310"/>
      <c r="H44" s="310"/>
      <c r="I44" s="318"/>
      <c r="J44" s="2027"/>
      <c r="K44" s="1277" t="str">
        <f>D4</f>
        <v>剩余法-待开发</v>
      </c>
      <c r="L44" s="1278">
        <f ca="1">IF(L42="估价结果/万元",D19,D20)</f>
        <v>132830</v>
      </c>
      <c r="M44" s="1279">
        <f>D18</f>
        <v>0.5</v>
      </c>
      <c r="N44" s="1280"/>
      <c r="O44" s="1281"/>
      <c r="P44" s="2025"/>
      <c r="V44" s="2025"/>
    </row>
    <row r="45" spans="1:26" ht="15">
      <c r="A45" s="3328" t="str">
        <f>IF(项目基本情况!E8="已注销及未注销","4.抵押担保权已注销时的抵押价格",IF(项目基本情况!E8="已注销","3.抵押担保权已注销时的抵押价格","——"))</f>
        <v>——</v>
      </c>
      <c r="B45" s="332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24" t="str">
        <f>IF(项目基本情况!E9="抵押净值",IF(A45="——","4.抵押净值","5.抵押净值"),"——")</f>
        <v>——</v>
      </c>
      <c r="B46" s="3325"/>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366</v>
      </c>
      <c r="B47" s="1282"/>
      <c r="C47" s="321" t="s">
        <v>367</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368</v>
      </c>
      <c r="G53" s="336"/>
      <c r="H53" s="336"/>
      <c r="I53" s="337" t="s">
        <v>369</v>
      </c>
      <c r="J53" s="2028"/>
      <c r="K53" s="2025"/>
      <c r="L53" s="2025"/>
      <c r="M53" s="2025"/>
      <c r="N53" s="2025"/>
      <c r="O53" s="2025"/>
      <c r="P53" s="2025"/>
      <c r="Q53" s="2025"/>
      <c r="R53" s="2025"/>
      <c r="S53" s="2025"/>
      <c r="T53" s="2025"/>
      <c r="U53" s="2025"/>
      <c r="V53" s="2025"/>
    </row>
    <row r="54" spans="1:22" ht="12.75">
      <c r="A54" s="256"/>
      <c r="B54" s="338" t="s">
        <v>370</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371</v>
      </c>
      <c r="J56" s="2028"/>
      <c r="K56" s="2025"/>
      <c r="L56" s="2025"/>
      <c r="M56" s="2025"/>
      <c r="N56" s="2025"/>
      <c r="O56" s="2025"/>
      <c r="P56" s="2025"/>
      <c r="Q56" s="2025"/>
      <c r="R56" s="2025"/>
      <c r="S56" s="2025"/>
      <c r="T56" s="2025"/>
      <c r="U56" s="2025"/>
      <c r="V56" s="2025"/>
    </row>
    <row r="57" spans="1:22" ht="12.75">
      <c r="A57" s="256"/>
      <c r="B57" s="338" t="s">
        <v>372</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371</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6"/>
      <c r="E61" s="216"/>
      <c r="F61" s="252"/>
      <c r="G61" s="256"/>
      <c r="H61" s="256"/>
      <c r="I61" s="256"/>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69" t="s">
        <v>374</v>
      </c>
      <c r="B63" s="3370"/>
      <c r="C63" s="3371"/>
      <c r="D63" s="340">
        <f ca="1">ROUND(C42*F63,0)</f>
        <v>85658</v>
      </c>
      <c r="E63" s="301" t="s">
        <v>375</v>
      </c>
      <c r="F63" s="341">
        <v>0.6</v>
      </c>
      <c r="G63" s="342" t="s">
        <v>376</v>
      </c>
      <c r="H63" s="310"/>
      <c r="I63" s="310"/>
      <c r="J63" s="2025"/>
      <c r="K63" s="2025"/>
      <c r="L63" s="2025"/>
      <c r="M63" s="2025"/>
      <c r="N63" s="2025"/>
      <c r="O63" s="2025"/>
      <c r="P63" s="310"/>
      <c r="Q63" s="2025"/>
      <c r="R63" s="2025"/>
      <c r="S63" s="2025"/>
      <c r="T63" s="2025"/>
      <c r="U63" s="2025"/>
      <c r="V63" s="2025"/>
    </row>
    <row r="64" spans="1:22" ht="14.25" customHeight="1">
      <c r="A64" s="3330" t="s">
        <v>378</v>
      </c>
      <c r="B64" s="3331"/>
      <c r="C64" s="3331"/>
      <c r="D64" s="3331"/>
      <c r="E64" s="3331"/>
      <c r="F64" s="3331"/>
      <c r="G64" s="3332"/>
      <c r="H64" s="1287"/>
      <c r="I64" s="947"/>
      <c r="J64" s="1987"/>
      <c r="K64" s="1559" t="s">
        <v>377</v>
      </c>
      <c r="L64" s="11"/>
      <c r="M64" s="11"/>
      <c r="N64" s="11"/>
      <c r="O64" s="11"/>
      <c r="P64" s="310"/>
      <c r="Q64" s="2025"/>
      <c r="R64" s="2025"/>
      <c r="S64" s="2025"/>
      <c r="T64" s="2025"/>
      <c r="U64" s="2025"/>
      <c r="V64" s="2025"/>
    </row>
    <row r="65" spans="1:22" ht="12" customHeight="1">
      <c r="A65" s="343" t="s">
        <v>380</v>
      </c>
      <c r="B65" s="344"/>
      <c r="C65" s="345"/>
      <c r="D65" s="346" t="s">
        <v>381</v>
      </c>
      <c r="E65" s="53" t="s">
        <v>382</v>
      </c>
      <c r="F65" s="347" t="s">
        <v>383</v>
      </c>
      <c r="G65" s="348" t="s">
        <v>384</v>
      </c>
      <c r="H65" s="1287"/>
      <c r="I65" s="947"/>
      <c r="J65" s="1987"/>
      <c r="K65" s="1288"/>
      <c r="L65" s="1289"/>
      <c r="M65" s="1289"/>
      <c r="N65" s="1321" t="s">
        <v>379</v>
      </c>
      <c r="O65" s="1322"/>
      <c r="P65" s="1323"/>
      <c r="Q65" s="2025"/>
      <c r="R65" s="2025"/>
      <c r="S65" s="2025"/>
      <c r="T65" s="2025"/>
      <c r="U65" s="2025"/>
      <c r="V65" s="2025"/>
    </row>
    <row r="66" spans="1:22" ht="25.5">
      <c r="A66" s="3326" t="s">
        <v>386</v>
      </c>
      <c r="B66" s="3327"/>
      <c r="C66" s="3327"/>
      <c r="D66" s="260">
        <f ca="1">IF(H66="情况1",0,IF(H66="情况2",D70,IF(H66="情况3",D71,IF(H66="情况4",D72))))</f>
        <v>4568</v>
      </c>
      <c r="E66" s="992" t="str">
        <f>IF(H66="情况4","(销售额-原购置价)×税（费）率","销售额×税（费）率")</f>
        <v>销售额×税（费）率</v>
      </c>
      <c r="F66" s="349">
        <f>IF(H66="情况1","免征",'数据-取费表'!B41)</f>
        <v>5.6000000000000001E-2</v>
      </c>
      <c r="G66" s="350" t="s">
        <v>387</v>
      </c>
      <c r="H66" s="191" t="s">
        <v>388</v>
      </c>
      <c r="I66" s="1287"/>
      <c r="J66" s="2031"/>
      <c r="K66" s="1290">
        <v>1</v>
      </c>
      <c r="L66" s="3384" t="s">
        <v>385</v>
      </c>
      <c r="M66" s="3385"/>
      <c r="N66" s="2479"/>
      <c r="O66" s="2480"/>
      <c r="P66" s="2481"/>
      <c r="Q66" s="2025"/>
      <c r="R66" s="2025"/>
      <c r="S66" s="2025"/>
      <c r="T66" s="2025"/>
      <c r="U66" s="2025"/>
      <c r="V66" s="2025"/>
    </row>
    <row r="67" spans="1:22" ht="25.5" customHeight="1">
      <c r="A67" s="351" t="s">
        <v>390</v>
      </c>
      <c r="B67" s="3317" t="s">
        <v>391</v>
      </c>
      <c r="C67" s="3317"/>
      <c r="D67" s="352">
        <v>0</v>
      </c>
      <c r="E67" s="41" t="s">
        <v>392</v>
      </c>
      <c r="F67" s="62" t="s">
        <v>21</v>
      </c>
      <c r="G67" s="3372"/>
      <c r="H67" s="310"/>
      <c r="I67" s="1291"/>
      <c r="J67" s="2032"/>
      <c r="K67" s="1973">
        <v>2</v>
      </c>
      <c r="L67" s="3383" t="s">
        <v>389</v>
      </c>
      <c r="M67" s="3383"/>
      <c r="N67" s="1324">
        <f>'数据-取费表'!B2</f>
        <v>43238</v>
      </c>
      <c r="O67" s="1324"/>
      <c r="P67" s="1324"/>
      <c r="Q67" s="2025"/>
      <c r="R67" s="2025"/>
      <c r="S67" s="2025"/>
      <c r="T67" s="2025"/>
      <c r="U67" s="2025"/>
      <c r="V67" s="2025"/>
    </row>
    <row r="68" spans="1:22" ht="25.5" customHeight="1">
      <c r="A68" s="353"/>
      <c r="B68" s="3317" t="s">
        <v>394</v>
      </c>
      <c r="C68" s="3317"/>
      <c r="D68" s="354"/>
      <c r="E68" s="77"/>
      <c r="F68" s="355"/>
      <c r="G68" s="3373"/>
      <c r="H68" s="310"/>
      <c r="I68" s="1291"/>
      <c r="J68" s="2032"/>
      <c r="K68" s="1973">
        <v>3</v>
      </c>
      <c r="L68" s="3383" t="s">
        <v>393</v>
      </c>
      <c r="M68" s="3383"/>
      <c r="N68" s="1292">
        <f ca="1">C42</f>
        <v>142764</v>
      </c>
      <c r="O68" s="1292"/>
      <c r="P68" s="1292"/>
      <c r="Q68" s="2025"/>
      <c r="R68" s="2025"/>
      <c r="S68" s="2025"/>
      <c r="T68" s="2025"/>
      <c r="U68" s="2025"/>
      <c r="V68" s="2025"/>
    </row>
    <row r="69" spans="1:22" ht="12" customHeight="1">
      <c r="A69" s="356"/>
      <c r="B69" s="3317" t="s">
        <v>395</v>
      </c>
      <c r="C69" s="3317"/>
      <c r="D69" s="357"/>
      <c r="E69" s="73"/>
      <c r="F69" s="355"/>
      <c r="G69" s="3374"/>
      <c r="H69" s="310"/>
      <c r="I69" s="1291"/>
      <c r="J69" s="2032"/>
      <c r="K69" s="1293">
        <v>4</v>
      </c>
      <c r="L69" s="3388" t="s">
        <v>2883</v>
      </c>
      <c r="M69" s="3389"/>
      <c r="N69" s="1294">
        <f ca="1">C44</f>
        <v>142764</v>
      </c>
      <c r="O69" s="1294"/>
      <c r="P69" s="1294"/>
      <c r="Q69" s="2025"/>
      <c r="R69" s="2025"/>
      <c r="S69" s="2025"/>
      <c r="T69" s="2025"/>
      <c r="U69" s="2025"/>
      <c r="V69" s="2025"/>
    </row>
    <row r="70" spans="1:22" ht="24" customHeight="1">
      <c r="A70" s="358" t="s">
        <v>396</v>
      </c>
      <c r="B70" s="3317" t="s">
        <v>397</v>
      </c>
      <c r="C70" s="3317"/>
      <c r="D70" s="357">
        <f ca="1">ROUND(D63*'数据-取费表'!B41/(1+'数据-取费表'!C42),0)</f>
        <v>4568</v>
      </c>
      <c r="E70" s="17" t="s">
        <v>398</v>
      </c>
      <c r="F70" s="359">
        <f>'数据-取费表'!B41</f>
        <v>5.6000000000000001E-2</v>
      </c>
      <c r="G70" s="360"/>
      <c r="H70" s="310"/>
      <c r="I70" s="1291"/>
      <c r="J70" s="2032"/>
      <c r="K70" s="3081"/>
      <c r="L70" s="3082"/>
      <c r="M70" s="3082"/>
      <c r="N70" s="3083" t="s">
        <v>2888</v>
      </c>
      <c r="O70" s="3082"/>
      <c r="P70" s="3084"/>
      <c r="Q70" s="2025"/>
      <c r="R70" s="2025"/>
      <c r="S70" s="2025"/>
      <c r="T70" s="2025"/>
      <c r="U70" s="2025"/>
      <c r="V70" s="2025"/>
    </row>
    <row r="71" spans="1:22" ht="12" customHeight="1">
      <c r="A71" s="358" t="s">
        <v>404</v>
      </c>
      <c r="B71" s="3318" t="s">
        <v>405</v>
      </c>
      <c r="C71" s="3319"/>
      <c r="D71" s="357">
        <f ca="1">ROUND(D63*'数据-取费表'!B41/(1+'数据-取费表'!C42),0)</f>
        <v>4568</v>
      </c>
      <c r="E71" s="17" t="s">
        <v>398</v>
      </c>
      <c r="F71" s="359">
        <f>'数据-取费表'!B41</f>
        <v>5.6000000000000001E-2</v>
      </c>
      <c r="G71" s="360"/>
      <c r="H71" s="310"/>
      <c r="I71" s="1291"/>
      <c r="J71" s="2032"/>
      <c r="K71" s="3080" t="s">
        <v>399</v>
      </c>
      <c r="L71" s="3390" t="s">
        <v>400</v>
      </c>
      <c r="M71" s="3390"/>
      <c r="N71" s="3080" t="s">
        <v>401</v>
      </c>
      <c r="O71" s="3080" t="s">
        <v>402</v>
      </c>
      <c r="P71" s="3080" t="s">
        <v>403</v>
      </c>
      <c r="Q71" s="2025"/>
      <c r="R71" s="2025"/>
      <c r="S71" s="2025"/>
      <c r="T71" s="2025"/>
      <c r="U71" s="2025"/>
      <c r="V71" s="2025"/>
    </row>
    <row r="72" spans="1:22" ht="12" customHeight="1">
      <c r="A72" s="358" t="s">
        <v>407</v>
      </c>
      <c r="B72" s="3318" t="s">
        <v>408</v>
      </c>
      <c r="C72" s="3319"/>
      <c r="D72" s="357">
        <f ca="1">C86</f>
        <v>4456</v>
      </c>
      <c r="E72" s="73" t="s">
        <v>409</v>
      </c>
      <c r="F72" s="359">
        <f>'数据-取费表'!B41</f>
        <v>5.6000000000000001E-2</v>
      </c>
      <c r="G72" s="360"/>
      <c r="H72" s="1297"/>
      <c r="I72" s="1291"/>
      <c r="J72" s="2032"/>
      <c r="K72" s="1973">
        <v>1</v>
      </c>
      <c r="L72" s="3365" t="s">
        <v>406</v>
      </c>
      <c r="M72" s="3365"/>
      <c r="N72" s="1295">
        <f ca="1">D66</f>
        <v>4568</v>
      </c>
      <c r="O72" s="1856" t="str">
        <f>E66</f>
        <v>销售额×税（费）率</v>
      </c>
      <c r="P72" s="1296">
        <f>F66</f>
        <v>5.6000000000000001E-2</v>
      </c>
      <c r="Q72" s="2025"/>
      <c r="R72" s="2025"/>
      <c r="S72" s="2025"/>
      <c r="T72" s="2025"/>
      <c r="U72" s="2025"/>
      <c r="V72" s="2025"/>
    </row>
    <row r="73" spans="1:22" ht="24" customHeight="1">
      <c r="A73" s="3359" t="s">
        <v>411</v>
      </c>
      <c r="B73" s="3327"/>
      <c r="C73" s="3327"/>
      <c r="D73" s="361">
        <f>IF(H73="个人住宅",0,ROUND(D63*I73,0))</f>
        <v>0</v>
      </c>
      <c r="E73" s="17" t="s">
        <v>412</v>
      </c>
      <c r="F73" s="359" t="str">
        <f>IF(H73="正常",I73,"免征")</f>
        <v>免征</v>
      </c>
      <c r="G73" s="360"/>
      <c r="H73" s="191" t="s">
        <v>2456</v>
      </c>
      <c r="I73" s="359">
        <f>'数据-取费表'!B49</f>
        <v>5.0000000000000001E-4</v>
      </c>
      <c r="J73" s="2032"/>
      <c r="K73" s="1973">
        <v>2</v>
      </c>
      <c r="L73" s="3365" t="s">
        <v>410</v>
      </c>
      <c r="M73" s="3365"/>
      <c r="N73" s="1295">
        <f t="shared" ref="N73:P74" si="1">D73</f>
        <v>0</v>
      </c>
      <c r="O73" s="1856" t="str">
        <f t="shared" si="1"/>
        <v>销售额×税（费）率</v>
      </c>
      <c r="P73" s="1296" t="str">
        <f t="shared" si="1"/>
        <v>免征</v>
      </c>
      <c r="Q73" s="2025"/>
      <c r="R73" s="2025"/>
      <c r="S73" s="2025"/>
      <c r="T73" s="2025"/>
      <c r="U73" s="2025"/>
      <c r="V73" s="2025"/>
    </row>
    <row r="74" spans="1:22" ht="24.75">
      <c r="A74" s="3359" t="s">
        <v>415</v>
      </c>
      <c r="B74" s="3327"/>
      <c r="C74" s="3327"/>
      <c r="D74" s="361">
        <f ca="1">IF(H74="个人住宅",D75,D76)</f>
        <v>47827</v>
      </c>
      <c r="E74" s="17" t="s">
        <v>416</v>
      </c>
      <c r="F74" s="359" t="str">
        <f>IF(H74="正常",F76,"免征")</f>
        <v>——</v>
      </c>
      <c r="G74" s="982" t="s">
        <v>417</v>
      </c>
      <c r="H74" s="362" t="s">
        <v>413</v>
      </c>
      <c r="I74" s="42"/>
      <c r="J74" s="2032"/>
      <c r="K74" s="1973">
        <v>3</v>
      </c>
      <c r="L74" s="3365" t="s">
        <v>414</v>
      </c>
      <c r="M74" s="3365"/>
      <c r="N74" s="1295">
        <f t="shared" ca="1" si="1"/>
        <v>47827</v>
      </c>
      <c r="O74" s="1856" t="str">
        <f t="shared" si="1"/>
        <v>增值额×税（费）率</v>
      </c>
      <c r="P74" s="1298" t="str">
        <f t="shared" si="1"/>
        <v>——</v>
      </c>
      <c r="Q74" s="2025"/>
      <c r="R74" s="2025"/>
      <c r="S74" s="2025"/>
      <c r="T74" s="2025"/>
      <c r="U74" s="2025"/>
      <c r="V74" s="2025"/>
    </row>
    <row r="75" spans="1:22" ht="24">
      <c r="A75" s="358" t="s">
        <v>418</v>
      </c>
      <c r="B75" s="3315" t="s">
        <v>419</v>
      </c>
      <c r="C75" s="3345"/>
      <c r="D75" s="363">
        <v>0</v>
      </c>
      <c r="E75" s="41" t="s">
        <v>420</v>
      </c>
      <c r="F75" s="364"/>
      <c r="G75" s="360"/>
      <c r="H75" s="42"/>
      <c r="I75" s="42"/>
      <c r="J75" s="2032"/>
      <c r="K75" s="3073">
        <f>IF(H77="非个人房产","",4)</f>
        <v>4</v>
      </c>
      <c r="L75" s="3365" t="str">
        <f>IF(H77="非个人房产","——","个人所得税")</f>
        <v>个人所得税</v>
      </c>
      <c r="M75" s="3365"/>
      <c r="N75" s="1299">
        <f ca="1">D77</f>
        <v>857</v>
      </c>
      <c r="O75" s="1869" t="str">
        <f>E77</f>
        <v>销售额×税（费）率</v>
      </c>
      <c r="P75" s="1300">
        <f>F77</f>
        <v>0.01</v>
      </c>
      <c r="Q75" s="2025"/>
      <c r="R75" s="2025"/>
      <c r="S75" s="2025"/>
      <c r="T75" s="2025"/>
      <c r="U75" s="2025"/>
      <c r="V75" s="2025"/>
    </row>
    <row r="76" spans="1:22" ht="24.75">
      <c r="A76" s="358" t="s">
        <v>396</v>
      </c>
      <c r="B76" s="3315" t="s">
        <v>422</v>
      </c>
      <c r="C76" s="3316"/>
      <c r="D76" s="361">
        <f ca="1">IF(H76="转让取得",C99,C115)</f>
        <v>47827</v>
      </c>
      <c r="E76" s="17" t="s">
        <v>423</v>
      </c>
      <c r="F76" s="53" t="s">
        <v>21</v>
      </c>
      <c r="G76" s="360"/>
      <c r="H76" s="362" t="s">
        <v>424</v>
      </c>
      <c r="I76" s="42"/>
      <c r="J76" s="2032"/>
      <c r="K76" s="3073" t="str">
        <f>IF(项目基本情况!K6="上海银行",IF(K75="",4,K75+1),"")</f>
        <v/>
      </c>
      <c r="L76" s="3376" t="str">
        <f>IF(项目基本情况!K6="上海银行","其他处置费用","")</f>
        <v/>
      </c>
      <c r="M76" s="3377"/>
      <c r="N76" s="1295" t="str">
        <f>IF(项目基本情况!K6="上海银行",N89,"")</f>
        <v/>
      </c>
      <c r="O76" s="3378" t="str">
        <f>IF(项目基本情况!K6="上海银行","包含处置中涉及的律师、诉讼、拍卖、评估等费用","")</f>
        <v/>
      </c>
      <c r="P76" s="3379"/>
      <c r="Q76" s="2025"/>
      <c r="R76" s="2025"/>
      <c r="S76" s="2025"/>
      <c r="T76" s="2025"/>
      <c r="U76" s="2025"/>
      <c r="V76" s="2025"/>
    </row>
    <row r="77" spans="1:22" ht="26.25" thickBot="1">
      <c r="A77" s="3367" t="s">
        <v>426</v>
      </c>
      <c r="B77" s="3368"/>
      <c r="C77" s="3368"/>
      <c r="D77" s="365">
        <f ca="1">IF(H77="非个人房产","——",IF(H77="个人住宅",0,ROUND(D63*I77,0)))</f>
        <v>857</v>
      </c>
      <c r="E77" s="366" t="str">
        <f>IF(H77="非个人房产","——","销售额×税（费）率")</f>
        <v>销售额×税（费）率</v>
      </c>
      <c r="F77" s="367">
        <f>IF(H77="非个人房产","——",IF(H77="个人住宅","免征",I77))</f>
        <v>0.01</v>
      </c>
      <c r="G77" s="983" t="s">
        <v>417</v>
      </c>
      <c r="H77" s="362" t="s">
        <v>2884</v>
      </c>
      <c r="I77" s="368">
        <v>0.01</v>
      </c>
      <c r="J77" s="2032"/>
      <c r="K77" s="3366">
        <f>IF(AND(K75="",K76=""),4,IF(项目基本情况!K6="上海银行",K76+1,K75+1))</f>
        <v>5</v>
      </c>
      <c r="L77" s="3365" t="s">
        <v>2885</v>
      </c>
      <c r="M77" s="3079" t="s">
        <v>421</v>
      </c>
      <c r="N77" s="1301"/>
      <c r="O77" s="1302">
        <f ca="1">SUMIF(N72:N76,"&lt;9e307")</f>
        <v>53252</v>
      </c>
      <c r="P77" s="1303"/>
      <c r="Q77" s="3077">
        <f ca="1">O77/N69</f>
        <v>0.37300720069485305</v>
      </c>
      <c r="R77" s="2025"/>
      <c r="S77" s="2025"/>
      <c r="T77" s="2025"/>
      <c r="U77" s="2025"/>
      <c r="V77" s="2025"/>
    </row>
    <row r="78" spans="1:22" ht="12" customHeight="1">
      <c r="A78" s="1304"/>
      <c r="B78" s="310"/>
      <c r="C78" s="310"/>
      <c r="D78" s="310"/>
      <c r="E78" s="42"/>
      <c r="F78" s="42"/>
      <c r="G78" s="42"/>
      <c r="H78" s="1002"/>
      <c r="I78" s="310"/>
      <c r="J78" s="2032"/>
      <c r="K78" s="3366"/>
      <c r="L78" s="3365"/>
      <c r="M78" s="3079" t="s">
        <v>425</v>
      </c>
      <c r="N78" s="1301"/>
      <c r="O78" s="1302" t="str">
        <f ca="1">NUMBERSTRING(INT(O77*10000),2)&amp;"元整"</f>
        <v>伍亿叁仟贰佰伍拾贰万元整</v>
      </c>
      <c r="P78" s="1303"/>
      <c r="Q78" s="2025"/>
      <c r="R78" s="2025"/>
      <c r="S78" s="2025"/>
      <c r="T78" s="2025"/>
      <c r="U78" s="2025"/>
      <c r="V78" s="2025"/>
    </row>
    <row r="79" spans="1:22" ht="13.5" thickBot="1">
      <c r="A79" s="3360" t="s">
        <v>427</v>
      </c>
      <c r="B79" s="3360"/>
      <c r="C79" s="3360"/>
      <c r="D79" s="3360"/>
      <c r="E79" s="3360"/>
      <c r="F79" s="42"/>
      <c r="G79" s="42"/>
      <c r="H79" s="1002"/>
      <c r="I79" s="310"/>
      <c r="J79" s="2032"/>
      <c r="K79" s="3386">
        <f>K77+1</f>
        <v>6</v>
      </c>
      <c r="L79" s="3365" t="s">
        <v>2886</v>
      </c>
      <c r="M79" s="3079" t="s">
        <v>421</v>
      </c>
      <c r="N79" s="1301"/>
      <c r="O79" s="1302">
        <f ca="1">N69-O77</f>
        <v>89512</v>
      </c>
      <c r="P79" s="1303"/>
      <c r="Q79" s="2025"/>
      <c r="R79" s="2025"/>
      <c r="S79" s="2025"/>
      <c r="T79" s="2025"/>
      <c r="U79" s="2025"/>
      <c r="V79" s="2025"/>
    </row>
    <row r="80" spans="1:22" ht="25.5">
      <c r="A80" s="3355" t="s">
        <v>428</v>
      </c>
      <c r="B80" s="3356"/>
      <c r="C80" s="993"/>
      <c r="D80" s="993" t="s">
        <v>429</v>
      </c>
      <c r="E80" s="369" t="s">
        <v>430</v>
      </c>
      <c r="F80" s="42"/>
      <c r="G80" s="42"/>
      <c r="H80" s="1002"/>
      <c r="I80" s="310"/>
      <c r="J80" s="2025"/>
      <c r="K80" s="3387"/>
      <c r="L80" s="3365"/>
      <c r="M80" s="3079" t="s">
        <v>425</v>
      </c>
      <c r="N80" s="1301"/>
      <c r="O80" s="1302" t="str">
        <f ca="1">NUMBERSTRING(INT(O79*10000),2)&amp;"元整"</f>
        <v>捌亿玖仟伍佰壹拾贰万元整</v>
      </c>
      <c r="P80" s="1303"/>
      <c r="Q80" s="2025"/>
      <c r="R80" s="2025"/>
      <c r="S80" s="2025"/>
      <c r="T80" s="2025"/>
      <c r="U80" s="2025"/>
      <c r="V80" s="2025"/>
    </row>
    <row r="81" spans="1:26" ht="13.5" thickBot="1">
      <c r="A81" s="380" t="s">
        <v>1824</v>
      </c>
      <c r="B81" s="370" t="s">
        <v>431</v>
      </c>
      <c r="C81" s="371">
        <f ca="1">ROUND((C82+C83)/(1+'数据-取费表'!C42),0)</f>
        <v>81579</v>
      </c>
      <c r="D81" s="372"/>
      <c r="E81" s="373"/>
      <c r="F81" s="42"/>
      <c r="G81" s="42"/>
      <c r="H81" s="1002"/>
      <c r="I81" s="310"/>
      <c r="J81" s="2025"/>
      <c r="K81" s="3073">
        <f>K79+1</f>
        <v>7</v>
      </c>
      <c r="L81" s="3363" t="s">
        <v>2887</v>
      </c>
      <c r="M81" s="3364"/>
      <c r="N81" s="1305"/>
      <c r="O81" s="1306">
        <f ca="1">ROUND(O79*10000/'数据-汇总表'!E3,0)</f>
        <v>13840</v>
      </c>
      <c r="P81" s="1307"/>
      <c r="Q81" s="2025"/>
      <c r="R81" s="2025"/>
      <c r="S81" s="2025"/>
      <c r="T81" s="2025"/>
      <c r="U81" s="2025"/>
      <c r="V81" s="2025"/>
    </row>
    <row r="82" spans="1:26" ht="13.5" thickTop="1">
      <c r="A82" s="374" t="s">
        <v>1825</v>
      </c>
      <c r="B82" s="375" t="s">
        <v>432</v>
      </c>
      <c r="C82" s="376">
        <f ca="1">D63</f>
        <v>85658</v>
      </c>
      <c r="D82" s="377" t="s">
        <v>19</v>
      </c>
      <c r="E82" s="378"/>
      <c r="F82" s="42"/>
      <c r="G82" s="42"/>
      <c r="H82" s="1002"/>
      <c r="I82" s="310"/>
      <c r="J82" s="2025"/>
      <c r="K82" s="2025"/>
      <c r="L82" s="2025"/>
      <c r="M82" s="2025"/>
      <c r="N82" s="2025"/>
      <c r="O82" s="2025"/>
      <c r="P82" s="2025"/>
      <c r="Q82" s="2025"/>
      <c r="R82" s="2025"/>
      <c r="S82" s="2025"/>
      <c r="T82" s="2025"/>
      <c r="U82" s="2025"/>
      <c r="V82" s="2025"/>
    </row>
    <row r="83" spans="1:26" ht="12.75">
      <c r="A83" s="374" t="s">
        <v>1826</v>
      </c>
      <c r="B83" s="375" t="s">
        <v>433</v>
      </c>
      <c r="C83" s="379">
        <v>0</v>
      </c>
      <c r="D83" s="377"/>
      <c r="E83" s="378"/>
      <c r="F83" s="42"/>
      <c r="G83" s="42"/>
      <c r="H83" s="1002"/>
      <c r="I83" s="310"/>
      <c r="J83" s="2025"/>
      <c r="K83" s="3375" t="s">
        <v>2874</v>
      </c>
      <c r="L83" s="3085" t="s">
        <v>2875</v>
      </c>
      <c r="M83" s="3075">
        <f ca="1">IF(N69&gt;10000,N69*0.5%,IF(AND(N69&gt;1000,N69&lt;=10000),N69*1%,IF(AND(N69&gt;100,N69&lt;=1000),N69*3%,IF(AND(N69&gt;10,N69&lt;=100),N69*5%,N69*8%))))</f>
        <v>713.82</v>
      </c>
      <c r="N83" s="53">
        <f ca="1">ROUND(M83,1)</f>
        <v>713.8</v>
      </c>
      <c r="O83" s="3078"/>
      <c r="P83" s="2025"/>
      <c r="Q83" s="2025"/>
      <c r="R83" s="2025"/>
      <c r="S83" s="2025"/>
      <c r="T83" s="2025"/>
      <c r="U83" s="2025"/>
      <c r="V83" s="2025"/>
    </row>
    <row r="84" spans="1:26" ht="12.75">
      <c r="A84" s="380" t="s">
        <v>1827</v>
      </c>
      <c r="B84" s="381" t="s">
        <v>434</v>
      </c>
      <c r="C84" s="382">
        <v>2000</v>
      </c>
      <c r="D84" s="383" t="s">
        <v>19</v>
      </c>
      <c r="E84" s="3118" t="s">
        <v>2936</v>
      </c>
      <c r="F84" s="42"/>
      <c r="G84" s="42"/>
      <c r="H84" s="1002"/>
      <c r="I84" s="310"/>
      <c r="J84" s="2025"/>
      <c r="K84" s="3375"/>
      <c r="L84" s="3085" t="s">
        <v>2876</v>
      </c>
      <c r="M84" s="3075">
        <f ca="1">IF(N69&gt;2000,N69*0.5%,IF(AND(N69&gt;1000,N69&lt;=2000),N69*0.6%,IF(AND(N69&gt;500,N69&lt;=1000),N69*0.7%,IF(AND(N69&gt;200,N69&lt;=500),N69*0.8%,IF(AND(N69&gt;100,N69&lt;=200),N69*0.9%,IF(AND(N69&gt;50,N69&lt;=100),N69*1%,IF(AND(N69&gt;20,N69&lt;=50),N69*1.5%,IF(AND(N69&gt;10,N69&lt;=20),N69*2%,IF(AND(N69&gt;1,N69&lt;=10),N69*2.5%)))))))))</f>
        <v>713.82</v>
      </c>
      <c r="N84" s="53">
        <f t="shared" ref="N84:N85" ca="1" si="2">ROUND(M84,1)</f>
        <v>713.8</v>
      </c>
      <c r="O84" s="2025" t="s">
        <v>2877</v>
      </c>
      <c r="P84" s="2025"/>
      <c r="Q84" s="2025"/>
      <c r="R84" s="2025"/>
      <c r="S84" s="2025"/>
      <c r="T84" s="2025"/>
      <c r="U84" s="2025"/>
      <c r="V84" s="2025"/>
    </row>
    <row r="85" spans="1:26" ht="12.75">
      <c r="A85" s="380" t="s">
        <v>1828</v>
      </c>
      <c r="B85" s="381" t="s">
        <v>435</v>
      </c>
      <c r="C85" s="384">
        <f ca="1">C81-C84</f>
        <v>79579</v>
      </c>
      <c r="D85" s="377" t="s">
        <v>19</v>
      </c>
      <c r="E85" s="378"/>
      <c r="F85" s="42"/>
      <c r="G85" s="42"/>
      <c r="H85" s="1002"/>
      <c r="I85" s="310"/>
      <c r="J85" s="2025"/>
      <c r="K85" s="3375"/>
      <c r="L85" s="3085" t="s">
        <v>2878</v>
      </c>
      <c r="M85" s="3075">
        <f ca="1">IF(N69&gt;1000,N69*0.1%,IF(AND(N69&gt;500,N69&lt;=1000),N69*0.5%,IF(AND(N69&gt;50,N69&lt;=500),N69*1%,IF(AND(N69&gt;1,N69&lt;=50),N69*1.5%))))</f>
        <v>142.76400000000001</v>
      </c>
      <c r="N85" s="53">
        <f t="shared" ca="1" si="2"/>
        <v>142.80000000000001</v>
      </c>
      <c r="O85" s="2025" t="s">
        <v>2877</v>
      </c>
      <c r="P85" s="2025"/>
      <c r="Q85" s="2025"/>
      <c r="R85" s="2025"/>
      <c r="S85" s="2025"/>
      <c r="T85" s="2025"/>
      <c r="U85" s="2025"/>
      <c r="V85" s="2025"/>
    </row>
    <row r="86" spans="1:26" ht="13.5" thickBot="1">
      <c r="A86" s="385" t="s">
        <v>1829</v>
      </c>
      <c r="B86" s="386" t="s">
        <v>436</v>
      </c>
      <c r="C86" s="387">
        <f ca="1">IF(C85&lt;=0,0,ROUND(C85*D86,0))</f>
        <v>4456</v>
      </c>
      <c r="D86" s="388">
        <f>'数据-取费表'!B41</f>
        <v>5.6000000000000001E-2</v>
      </c>
      <c r="E86" s="389"/>
      <c r="F86" s="42"/>
      <c r="G86" s="42"/>
      <c r="H86" s="1002"/>
      <c r="I86" s="310"/>
      <c r="J86" s="2025"/>
      <c r="K86" s="3375"/>
      <c r="L86" s="3085" t="s">
        <v>2879</v>
      </c>
      <c r="M86" s="3075">
        <f ca="1">N69*0.5%</f>
        <v>713.82</v>
      </c>
      <c r="N86" s="53">
        <f ca="1">IF(M86&gt;0.5,0.5,ROUND(M86,0))</f>
        <v>0.5</v>
      </c>
      <c r="O86" s="2025" t="s">
        <v>2880</v>
      </c>
      <c r="P86" s="2025"/>
      <c r="Q86" s="2025"/>
      <c r="R86" s="2025"/>
      <c r="S86" s="2025"/>
      <c r="T86" s="2025"/>
      <c r="U86" s="2025"/>
      <c r="V86" s="2025"/>
    </row>
    <row r="87" spans="1:26" s="1253" customFormat="1" ht="14.25" customHeight="1">
      <c r="A87" s="1308"/>
      <c r="B87" s="1309"/>
      <c r="C87" s="1310"/>
      <c r="D87" s="1311"/>
      <c r="E87" s="1312"/>
      <c r="F87" s="42"/>
      <c r="G87" s="42"/>
      <c r="H87" s="1002"/>
      <c r="I87" s="310"/>
      <c r="J87" s="2025"/>
      <c r="K87" s="3375"/>
      <c r="L87" s="3085" t="s">
        <v>2881</v>
      </c>
      <c r="M87" s="3075">
        <f ca="1">IF(N69&gt;=10000,(8.25+(N69-10000)*0.01%),IF(AND(N69&gt;=8000,N69&lt;10000),(7.85+(N69-8000)*0.02%),IF(AND(N69&gt;=5000,N69&lt;8000),(6.65+(N69-5000)*0.04%),IF(AND(N69&gt;=2000,N69&lt;5000),(4.25+(PN69-2000)*0.08%),IF(AND(N69&gt;=1000,N69&lt;2000),(2.75+(N69-1000)*0.15%),IF(AND(N69&gt;=100,N69&lt;1000),(0.5+(N69-100)*0.25%),IF(AND(N69&gt;0,N69&lt;100),N69*0.5%)))))))</f>
        <v>21.526400000000002</v>
      </c>
      <c r="N87" s="53">
        <f ca="1">ROUND(M87*0.9,1)</f>
        <v>19.399999999999999</v>
      </c>
      <c r="O87" s="3078"/>
      <c r="P87" s="310"/>
      <c r="Q87" s="2025"/>
      <c r="R87" s="2025"/>
      <c r="S87" s="2025"/>
      <c r="T87" s="2025"/>
      <c r="U87" s="2025"/>
      <c r="V87" s="2025"/>
      <c r="W87" s="291"/>
      <c r="X87" s="291"/>
      <c r="Y87" s="291"/>
      <c r="Z87" s="291"/>
    </row>
    <row r="88" spans="1:26" s="1313" customFormat="1" ht="15" thickBot="1">
      <c r="A88" s="3357" t="s">
        <v>437</v>
      </c>
      <c r="B88" s="3358"/>
      <c r="C88" s="3358"/>
      <c r="D88" s="3358"/>
      <c r="E88" s="3358"/>
      <c r="F88" s="3358"/>
      <c r="G88" s="3358"/>
      <c r="H88" s="3358"/>
      <c r="I88" s="1314"/>
      <c r="J88" s="2033"/>
      <c r="K88" s="3375"/>
      <c r="L88" s="3085" t="s">
        <v>2882</v>
      </c>
      <c r="M88" s="3075">
        <f ca="1">IF(N69&gt;10000,N69*0.5%,IF(AND(N69&gt;5000,N69&lt;=10000),N69*1%,IF(AND(N69&gt;1000,N69&lt;=5000),N69*2%,IF(AND(N69&gt;200,N69&lt;=1000),N69*3%,N69*5%))))</f>
        <v>713.82</v>
      </c>
      <c r="N88" s="53">
        <f ca="1">ROUND(M88,1)</f>
        <v>713.8</v>
      </c>
      <c r="O88" s="3078"/>
      <c r="P88" s="11"/>
      <c r="Q88" s="2030"/>
      <c r="R88" s="2030"/>
      <c r="S88" s="2030"/>
      <c r="T88" s="2030"/>
      <c r="U88" s="2030"/>
      <c r="V88" s="2030"/>
      <c r="W88" s="2034"/>
      <c r="X88" s="2034"/>
      <c r="Y88" s="2034"/>
      <c r="Z88" s="2034"/>
    </row>
    <row r="89" spans="1:26" s="1313" customFormat="1" ht="14.25">
      <c r="A89" s="3355" t="s">
        <v>428</v>
      </c>
      <c r="B89" s="3356"/>
      <c r="C89" s="993"/>
      <c r="D89" s="993" t="s">
        <v>429</v>
      </c>
      <c r="E89" s="390" t="s">
        <v>438</v>
      </c>
      <c r="F89" s="391"/>
      <c r="G89" s="391"/>
      <c r="H89" s="392"/>
      <c r="I89" s="1315"/>
      <c r="J89" s="2035"/>
      <c r="K89" s="3375"/>
      <c r="L89" s="3085" t="s">
        <v>27</v>
      </c>
      <c r="M89" s="3076"/>
      <c r="N89" s="53">
        <f ca="1">ROUND(SUM(N83:N88),0)</f>
        <v>2304</v>
      </c>
      <c r="O89" s="3086">
        <f ca="1">N89/N69</f>
        <v>1.6138522316550392E-2</v>
      </c>
      <c r="P89" s="2030"/>
      <c r="Q89" s="2030"/>
      <c r="R89" s="2030"/>
      <c r="S89" s="2030"/>
      <c r="T89" s="2030"/>
      <c r="U89" s="2030"/>
      <c r="V89" s="2030"/>
      <c r="W89" s="2034"/>
      <c r="X89" s="2034"/>
      <c r="Y89" s="2034"/>
      <c r="Z89" s="2034"/>
    </row>
    <row r="90" spans="1:26" s="1313" customFormat="1" ht="14.25">
      <c r="A90" s="380" t="s">
        <v>1824</v>
      </c>
      <c r="B90" s="381" t="s">
        <v>439</v>
      </c>
      <c r="C90" s="384">
        <f ca="1">ROUND(D63/(1+'数据-取费表'!C42),0)</f>
        <v>81579</v>
      </c>
      <c r="D90" s="377" t="s">
        <v>19</v>
      </c>
      <c r="E90" s="990"/>
      <c r="F90" s="989"/>
      <c r="G90" s="989"/>
      <c r="H90" s="393"/>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0" t="s">
        <v>1830</v>
      </c>
      <c r="B91" s="347" t="s">
        <v>440</v>
      </c>
      <c r="C91" s="384">
        <f ca="1">C92+C96</f>
        <v>3050</v>
      </c>
      <c r="D91" s="377" t="s">
        <v>19</v>
      </c>
      <c r="E91" s="990"/>
      <c r="F91" s="989"/>
      <c r="G91" s="989"/>
      <c r="H91" s="393"/>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4" t="s">
        <v>1832</v>
      </c>
      <c r="B93" s="375" t="s">
        <v>442</v>
      </c>
      <c r="C93" s="395">
        <v>2000</v>
      </c>
      <c r="D93" s="377" t="s">
        <v>19</v>
      </c>
      <c r="E93" s="396" t="s">
        <v>443</v>
      </c>
      <c r="F93" s="397" t="s">
        <v>444</v>
      </c>
      <c r="G93" s="396" t="s">
        <v>445</v>
      </c>
      <c r="H93" s="398">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4" t="s">
        <v>1833</v>
      </c>
      <c r="B94" s="399" t="s">
        <v>446</v>
      </c>
      <c r="C94" s="377">
        <f>IF(F93="购房发票",ROUND(C93*H93*5%,0),0)</f>
        <v>500</v>
      </c>
      <c r="D94" s="400">
        <v>0.05</v>
      </c>
      <c r="E94" s="3318" t="s">
        <v>447</v>
      </c>
      <c r="F94" s="3317"/>
      <c r="G94" s="3317"/>
      <c r="H94" s="3354"/>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4" t="s">
        <v>1835</v>
      </c>
      <c r="B96" s="375" t="s">
        <v>450</v>
      </c>
      <c r="C96" s="404">
        <f ca="1">ROUND(D63*D96/(1+'数据-取费表'!C42),0)</f>
        <v>489</v>
      </c>
      <c r="D96" s="405">
        <f>'数据-取费表'!B43</f>
        <v>6.000000000000001E-3</v>
      </c>
      <c r="E96" s="3346" t="s">
        <v>2429</v>
      </c>
      <c r="F96" s="3347"/>
      <c r="G96" s="3347"/>
      <c r="H96" s="3348"/>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5" t="s">
        <v>1836</v>
      </c>
      <c r="B97" s="381" t="s">
        <v>451</v>
      </c>
      <c r="C97" s="384">
        <f ca="1">C90-C91</f>
        <v>78529</v>
      </c>
      <c r="D97" s="377" t="s">
        <v>19</v>
      </c>
      <c r="E97" s="990"/>
      <c r="F97" s="989"/>
      <c r="G97" s="989"/>
      <c r="H97" s="393"/>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5" t="s">
        <v>1837</v>
      </c>
      <c r="B98" s="381" t="s">
        <v>452</v>
      </c>
      <c r="C98" s="406">
        <f ca="1">IF(C97&lt;=0,0,C97/C91)</f>
        <v>25.7472131147541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6" t="s">
        <v>1838</v>
      </c>
      <c r="B99" s="386" t="s">
        <v>453</v>
      </c>
      <c r="C99" s="407">
        <f ca="1">ROUND(IF(C97&lt;=0,0,IF(C98&gt;=200%,C97*60%-C91*35%,IF(C98&gt;=100%,C97*50%-C91*15%,IF(C98&gt;=50%,C97*40%-C91*5%,IF(C98&lt;50%,C97*30%,0))))),0)</f>
        <v>46050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57" t="s">
        <v>454</v>
      </c>
      <c r="B101" s="3358"/>
      <c r="C101" s="3358"/>
      <c r="D101" s="3358"/>
      <c r="E101" s="3358"/>
      <c r="F101" s="3358"/>
      <c r="G101" s="3358"/>
      <c r="H101" s="3358"/>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55" t="s">
        <v>428</v>
      </c>
      <c r="B102" s="3356"/>
      <c r="C102" s="993"/>
      <c r="D102" s="993" t="s">
        <v>429</v>
      </c>
      <c r="E102" s="390" t="s">
        <v>438</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0" t="s">
        <v>1824</v>
      </c>
      <c r="B103" s="381" t="s">
        <v>439</v>
      </c>
      <c r="C103" s="384">
        <f ca="1">ROUND(D63/(1+'数据-取费表'!C42),0)</f>
        <v>81579</v>
      </c>
      <c r="D103" s="377" t="s">
        <v>19</v>
      </c>
      <c r="E103" s="990"/>
      <c r="F103" s="989"/>
      <c r="G103" s="989"/>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0" t="s">
        <v>1830</v>
      </c>
      <c r="B104" s="347" t="s">
        <v>440</v>
      </c>
      <c r="C104" s="384">
        <f ca="1">IF(H106="仅含出让金",C105+C108+C109+C110+C111+C112,C105+C109+C110+C111+C112)</f>
        <v>1179</v>
      </c>
      <c r="D104" s="414"/>
      <c r="E104" s="990"/>
      <c r="F104" s="989"/>
      <c r="G104" s="989"/>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4" t="s">
        <v>1831</v>
      </c>
      <c r="B105" s="375" t="s">
        <v>455</v>
      </c>
      <c r="C105" s="404">
        <f>C106+C107</f>
        <v>572</v>
      </c>
      <c r="D105" s="405"/>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4" t="s">
        <v>1832</v>
      </c>
      <c r="B106" s="375" t="s">
        <v>456</v>
      </c>
      <c r="C106" s="415">
        <v>555</v>
      </c>
      <c r="D106" s="405"/>
      <c r="E106" s="416" t="s">
        <v>457</v>
      </c>
      <c r="F106" s="985"/>
      <c r="G106" s="417" t="s">
        <v>458</v>
      </c>
      <c r="H106" s="418"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7" t="s">
        <v>1839</v>
      </c>
      <c r="B109" s="375" t="s">
        <v>461</v>
      </c>
      <c r="C109" s="404">
        <f>IF(H109="——",IF(F1="现房",'剩余法-现房'!C18,'剩余法-待开发'!C18),I109)</f>
        <v>55</v>
      </c>
      <c r="D109" s="405"/>
      <c r="E109" s="3349" t="s">
        <v>462</v>
      </c>
      <c r="F109" s="3347"/>
      <c r="G109" s="3347"/>
      <c r="H109" s="1938" t="s">
        <v>2279</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7" t="s">
        <v>1840</v>
      </c>
      <c r="B110" s="375" t="s">
        <v>463</v>
      </c>
      <c r="C110" s="404">
        <f>ROUND((C105+C108+C109)*D110,0)</f>
        <v>63</v>
      </c>
      <c r="D110" s="405">
        <v>0.1</v>
      </c>
      <c r="E110" s="3349" t="s">
        <v>464</v>
      </c>
      <c r="F110" s="3347"/>
      <c r="G110" s="3347"/>
      <c r="H110" s="3348"/>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7" t="s">
        <v>1841</v>
      </c>
      <c r="B111" s="375" t="s">
        <v>450</v>
      </c>
      <c r="C111" s="404">
        <f ca="1">ROUND(D63*D111/(1+'数据-取费表'!C42),0)</f>
        <v>489</v>
      </c>
      <c r="D111" s="405">
        <f>'数据-取费表'!B43</f>
        <v>6.000000000000001E-3</v>
      </c>
      <c r="E111" s="3346" t="s">
        <v>2429</v>
      </c>
      <c r="F111" s="3347"/>
      <c r="G111" s="3347"/>
      <c r="H111" s="3348"/>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7" t="s">
        <v>1842</v>
      </c>
      <c r="B112" s="375" t="s">
        <v>465</v>
      </c>
      <c r="C112" s="404">
        <f>ROUND(C108*D112,0)</f>
        <v>0</v>
      </c>
      <c r="D112" s="405">
        <v>0.2</v>
      </c>
      <c r="E112" s="3349" t="s">
        <v>2454</v>
      </c>
      <c r="F112" s="3347"/>
      <c r="G112" s="3347"/>
      <c r="H112" s="3348"/>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5" t="s">
        <v>1836</v>
      </c>
      <c r="B113" s="381" t="s">
        <v>451</v>
      </c>
      <c r="C113" s="384">
        <f ca="1">ROUND(C103-C104,0)</f>
        <v>80400</v>
      </c>
      <c r="D113" s="377" t="s">
        <v>19</v>
      </c>
      <c r="E113" s="990"/>
      <c r="F113" s="989"/>
      <c r="G113" s="989"/>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5" t="s">
        <v>1837</v>
      </c>
      <c r="B114" s="381" t="s">
        <v>452</v>
      </c>
      <c r="C114" s="406">
        <f ca="1">IF(C113&lt;=0,0,C113/C104)</f>
        <v>68.193384223918571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6" t="s">
        <v>1838</v>
      </c>
      <c r="B115" s="386" t="s">
        <v>453</v>
      </c>
      <c r="C115" s="407">
        <f ca="1">ROUND(IF(C113&lt;=0,0,IF(C114&gt;=200%,C113*60%-C104*35%,IF(C114&gt;=100%,C113*50%-C104*15%,IF(C114&gt;=50%,C113*40%-C104*5%,IF(C114&lt;50%,C113*30%,0))))),0)</f>
        <v>47827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9" zoomScale="80" zoomScaleNormal="95" zoomScaleSheetLayoutView="80" workbookViewId="0">
      <selection activeCell="D41" sqref="D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152698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23610</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124783</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8319</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7"/>
    </row>
    <row r="6" spans="1:30" ht="20.25">
      <c r="A6" s="511" t="s">
        <v>521</v>
      </c>
      <c r="B6" s="512"/>
      <c r="C6" s="3400" t="s">
        <v>522</v>
      </c>
      <c r="D6" s="3401"/>
      <c r="E6" s="3400" t="s">
        <v>523</v>
      </c>
      <c r="F6" s="3401"/>
      <c r="G6" s="3400" t="s">
        <v>524</v>
      </c>
      <c r="H6" s="3401"/>
      <c r="I6" s="3400" t="s">
        <v>525</v>
      </c>
      <c r="J6" s="3401"/>
      <c r="K6" s="513" t="s">
        <v>526</v>
      </c>
      <c r="L6" s="2130"/>
      <c r="M6" s="2129"/>
      <c r="N6" s="2129"/>
      <c r="O6" s="2131"/>
      <c r="P6" s="3402" t="s">
        <v>527</v>
      </c>
      <c r="Q6" s="3403"/>
      <c r="R6" s="3408" t="s">
        <v>523</v>
      </c>
      <c r="S6" s="3409"/>
      <c r="T6" s="3408" t="s">
        <v>524</v>
      </c>
      <c r="U6" s="3409"/>
      <c r="V6" s="3395" t="s">
        <v>525</v>
      </c>
      <c r="W6" s="3395"/>
      <c r="X6" s="1565"/>
      <c r="Y6" s="3408" t="s">
        <v>527</v>
      </c>
      <c r="Z6" s="3409"/>
      <c r="AA6" s="3397" t="s">
        <v>523</v>
      </c>
      <c r="AB6" s="3398" t="s">
        <v>524</v>
      </c>
      <c r="AC6" s="3397" t="s">
        <v>525</v>
      </c>
    </row>
    <row r="7" spans="1:30" ht="20.25">
      <c r="A7" s="514"/>
      <c r="B7" s="515"/>
      <c r="C7" s="3418" t="s">
        <v>3052</v>
      </c>
      <c r="D7" s="3417"/>
      <c r="E7" s="3416" t="s">
        <v>3053</v>
      </c>
      <c r="F7" s="3417"/>
      <c r="G7" s="3416" t="s">
        <v>3054</v>
      </c>
      <c r="H7" s="3417"/>
      <c r="I7" s="3416" t="s">
        <v>3055</v>
      </c>
      <c r="J7" s="3417"/>
      <c r="K7" s="513"/>
      <c r="L7" s="2130"/>
      <c r="M7" s="2129"/>
      <c r="N7" s="2129"/>
      <c r="O7" s="2131"/>
      <c r="P7" s="3404"/>
      <c r="Q7" s="3405"/>
      <c r="R7" s="3410"/>
      <c r="S7" s="3411"/>
      <c r="T7" s="3410"/>
      <c r="U7" s="3411"/>
      <c r="V7" s="3395"/>
      <c r="W7" s="3395"/>
      <c r="X7" s="1565"/>
      <c r="Y7" s="3410"/>
      <c r="Z7" s="3411"/>
      <c r="AA7" s="3398"/>
      <c r="AB7" s="3398"/>
      <c r="AC7" s="3398"/>
    </row>
    <row r="8" spans="1:30" ht="55.5" customHeight="1" thickBot="1">
      <c r="A8" s="514"/>
      <c r="B8" s="515"/>
      <c r="C8" s="3419" t="s">
        <v>3285</v>
      </c>
      <c r="D8" s="3420"/>
      <c r="E8" s="3419" t="s">
        <v>3056</v>
      </c>
      <c r="F8" s="3420"/>
      <c r="G8" s="3414" t="s">
        <v>3057</v>
      </c>
      <c r="H8" s="3415"/>
      <c r="I8" s="3414" t="s">
        <v>3058</v>
      </c>
      <c r="J8" s="3415"/>
      <c r="K8" s="513" t="s">
        <v>528</v>
      </c>
      <c r="L8" s="2130"/>
      <c r="M8" s="2129"/>
      <c r="N8" s="2129"/>
      <c r="O8" s="2131"/>
      <c r="P8" s="3406"/>
      <c r="Q8" s="3407"/>
      <c r="R8" s="3410"/>
      <c r="S8" s="3411"/>
      <c r="T8" s="3412"/>
      <c r="U8" s="3413"/>
      <c r="V8" s="3395"/>
      <c r="W8" s="3395"/>
      <c r="X8" s="1565"/>
      <c r="Y8" s="3412"/>
      <c r="Z8" s="3413"/>
      <c r="AA8" s="3399"/>
      <c r="AB8" s="3399"/>
      <c r="AC8" s="3399"/>
    </row>
    <row r="9" spans="1:30" s="1219" customFormat="1" ht="21" thickBot="1">
      <c r="A9" s="2933"/>
      <c r="B9" s="2940" t="s">
        <v>529</v>
      </c>
      <c r="C9" s="2932">
        <f>'数据-取费表'!B2</f>
        <v>43238</v>
      </c>
      <c r="D9" s="519">
        <v>100</v>
      </c>
      <c r="E9" s="520">
        <v>43053</v>
      </c>
      <c r="F9" s="521">
        <f>SUMIF(72:72,YEAR(E9)&amp;"-"&amp;INT((MONTH(E9)+2)/3),73:73)</f>
        <v>99</v>
      </c>
      <c r="G9" s="522">
        <v>42395</v>
      </c>
      <c r="H9" s="519">
        <f>SUMIF(72:72,YEAR(G9)&amp;"-"&amp;INT((MONTH(G9)+2)/3),73:73)</f>
        <v>95.5</v>
      </c>
      <c r="I9" s="522">
        <v>42836</v>
      </c>
      <c r="J9" s="519">
        <f>SUMIF(72:72,YEAR(I9)&amp;"-"&amp;INT((MONTH(I9)+2)/3),73:73)</f>
        <v>98</v>
      </c>
      <c r="K9" s="523"/>
      <c r="L9" s="2132"/>
      <c r="M9" s="2129"/>
      <c r="N9" s="2129"/>
      <c r="O9" s="2133"/>
      <c r="P9" s="3426" t="s">
        <v>530</v>
      </c>
      <c r="Q9" s="3428"/>
      <c r="R9" s="1566" t="s">
        <v>8</v>
      </c>
      <c r="S9" s="1567">
        <f t="shared" ref="S9:S17" si="0">F9</f>
        <v>99</v>
      </c>
      <c r="T9" s="1566" t="s">
        <v>8</v>
      </c>
      <c r="U9" s="1567">
        <f t="shared" ref="U9:U17" si="1">H9</f>
        <v>95.5</v>
      </c>
      <c r="V9" s="1566" t="s">
        <v>8</v>
      </c>
      <c r="W9" s="1567">
        <f t="shared" ref="W9:W17" si="2">J9</f>
        <v>98</v>
      </c>
      <c r="X9" s="1568"/>
      <c r="Y9" s="3426" t="s">
        <v>530</v>
      </c>
      <c r="Z9" s="3427"/>
      <c r="AA9" s="1569">
        <f>D9/F9</f>
        <v>1.0101010101010102</v>
      </c>
      <c r="AB9" s="1569">
        <f>D9/H9</f>
        <v>1.0471204188481675</v>
      </c>
      <c r="AC9" s="1569">
        <f>D9/J9</f>
        <v>1.0204081632653061</v>
      </c>
    </row>
    <row r="10" spans="1:30" s="1219" customFormat="1" ht="21" thickBot="1">
      <c r="A10" s="2934"/>
      <c r="B10" s="294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2"/>
      <c r="M10" s="2129"/>
      <c r="N10" s="2129"/>
      <c r="O10" s="2133"/>
      <c r="P10" s="3426" t="s">
        <v>533</v>
      </c>
      <c r="Q10" s="3427"/>
      <c r="R10" s="1566" t="s">
        <v>8</v>
      </c>
      <c r="S10" s="1567">
        <f t="shared" si="0"/>
        <v>100</v>
      </c>
      <c r="T10" s="1566" t="s">
        <v>8</v>
      </c>
      <c r="U10" s="1567">
        <f t="shared" si="1"/>
        <v>100</v>
      </c>
      <c r="V10" s="1566" t="s">
        <v>8</v>
      </c>
      <c r="W10" s="1567">
        <f t="shared" si="2"/>
        <v>100</v>
      </c>
      <c r="X10" s="1568"/>
      <c r="Y10" s="3426" t="s">
        <v>533</v>
      </c>
      <c r="Z10" s="3427"/>
      <c r="AA10" s="1569">
        <f t="shared" ref="AA10:AA47" si="3">D10/F10</f>
        <v>1</v>
      </c>
      <c r="AB10" s="1569">
        <f t="shared" ref="AB10:AB47" si="4">D10/H10</f>
        <v>1</v>
      </c>
      <c r="AC10" s="1569">
        <f t="shared" ref="AC10:AC47" si="5">D10/J10</f>
        <v>1</v>
      </c>
    </row>
    <row r="11" spans="1:30" s="1219" customFormat="1" ht="20.25">
      <c r="A11" s="2935"/>
      <c r="B11" s="2942" t="s">
        <v>2756</v>
      </c>
      <c r="C11" s="2929"/>
      <c r="D11" s="253">
        <v>100</v>
      </c>
      <c r="E11" s="525"/>
      <c r="F11" s="253">
        <f>SUMIF(77:77,E11,78:78)-SUMIF(77:77,C11,78:78)+100</f>
        <v>100</v>
      </c>
      <c r="G11" s="525"/>
      <c r="H11" s="253">
        <f>SUMIF(77:77,G11,78:78)-SUMIF(77:77,C11,78:78)+100</f>
        <v>100</v>
      </c>
      <c r="I11" s="525"/>
      <c r="J11" s="253">
        <f>SUMIF(77:77,I11,78:78)-SUMIF(77:77,C11,78:78)+100</f>
        <v>100</v>
      </c>
      <c r="K11" s="523"/>
      <c r="L11" s="2132"/>
      <c r="M11" s="2129"/>
      <c r="N11" s="2129"/>
      <c r="O11" s="2134"/>
      <c r="P11" s="3394" t="s">
        <v>535</v>
      </c>
      <c r="Q11" s="1150" t="str">
        <f t="shared" ref="Q11:Q17" si="6">B11</f>
        <v>用途</v>
      </c>
      <c r="R11" s="1566" t="s">
        <v>8</v>
      </c>
      <c r="S11" s="1567">
        <f t="shared" si="0"/>
        <v>100</v>
      </c>
      <c r="T11" s="1566" t="s">
        <v>8</v>
      </c>
      <c r="U11" s="1567">
        <f t="shared" si="1"/>
        <v>100</v>
      </c>
      <c r="V11" s="1566" t="s">
        <v>8</v>
      </c>
      <c r="W11" s="1567">
        <f t="shared" si="2"/>
        <v>100</v>
      </c>
      <c r="X11" s="1568"/>
      <c r="Y11" s="3340" t="s">
        <v>536</v>
      </c>
      <c r="Z11" s="1149" t="str">
        <f t="shared" ref="Z11:Z17" si="7">Q11</f>
        <v>用途</v>
      </c>
      <c r="AA11" s="1569">
        <f t="shared" si="3"/>
        <v>1</v>
      </c>
      <c r="AB11" s="1569">
        <f t="shared" si="4"/>
        <v>1</v>
      </c>
      <c r="AC11" s="1569">
        <f t="shared" si="5"/>
        <v>1</v>
      </c>
    </row>
    <row r="12" spans="1:30" s="1337" customFormat="1" ht="28.5">
      <c r="A12" s="2936"/>
      <c r="B12" s="2941" t="s">
        <v>2757</v>
      </c>
      <c r="C12" s="909" t="s">
        <v>3139</v>
      </c>
      <c r="D12" s="254">
        <v>100</v>
      </c>
      <c r="E12" s="528" t="s">
        <v>3140</v>
      </c>
      <c r="F12" s="254">
        <f>ROUND(100/'数据-取费表'!G16,0)</f>
        <v>101</v>
      </c>
      <c r="G12" s="529" t="s">
        <v>3141</v>
      </c>
      <c r="H12" s="254">
        <f>ROUND(100/'数据-取费表'!G16,0)</f>
        <v>101</v>
      </c>
      <c r="I12" s="529" t="s">
        <v>3141</v>
      </c>
      <c r="J12" s="254">
        <f>ROUND(100/'数据-取费表'!G16,0)</f>
        <v>101</v>
      </c>
      <c r="K12" s="530"/>
      <c r="L12" s="2135"/>
      <c r="M12" s="2129"/>
      <c r="N12" s="2129"/>
      <c r="O12" s="2136"/>
      <c r="P12" s="3394"/>
      <c r="Q12" s="1150" t="str">
        <f t="shared" si="6"/>
        <v>土地使用年限（年）</v>
      </c>
      <c r="R12" s="1566" t="s">
        <v>8</v>
      </c>
      <c r="S12" s="1567">
        <f t="shared" si="0"/>
        <v>101</v>
      </c>
      <c r="T12" s="1566" t="s">
        <v>8</v>
      </c>
      <c r="U12" s="1567">
        <f t="shared" si="1"/>
        <v>101</v>
      </c>
      <c r="V12" s="1566" t="s">
        <v>8</v>
      </c>
      <c r="W12" s="1567">
        <f t="shared" si="2"/>
        <v>101</v>
      </c>
      <c r="X12" s="1568"/>
      <c r="Y12" s="3340"/>
      <c r="Z12" s="1149" t="str">
        <f t="shared" si="7"/>
        <v>土地使用年限（年）</v>
      </c>
      <c r="AA12" s="1569">
        <f t="shared" si="3"/>
        <v>0.99009900990099009</v>
      </c>
      <c r="AB12" s="1569">
        <f t="shared" si="4"/>
        <v>0.99009900990099009</v>
      </c>
      <c r="AC12" s="1569">
        <f t="shared" si="5"/>
        <v>0.99009900990099009</v>
      </c>
    </row>
    <row r="13" spans="1:30" ht="21" thickBot="1">
      <c r="A13" s="2937"/>
      <c r="B13" s="2941" t="s">
        <v>2758</v>
      </c>
      <c r="C13" s="533">
        <v>3.5</v>
      </c>
      <c r="D13" s="254">
        <v>100</v>
      </c>
      <c r="E13" s="532">
        <v>7.45</v>
      </c>
      <c r="F13" s="254">
        <f>LOOKUP(E13,82:82,83:83)-LOOKUP(C13,82:82,83:83)+100</f>
        <v>98</v>
      </c>
      <c r="G13" s="533">
        <v>6.52</v>
      </c>
      <c r="H13" s="254">
        <f>LOOKUP(G13,82:82,83:83)-LOOKUP(C13,82:82,83:83)+100</f>
        <v>98.5</v>
      </c>
      <c r="I13" s="532">
        <v>1</v>
      </c>
      <c r="J13" s="254">
        <f>LOOKUP(I13,82:82,83:83)-LOOKUP(C13,82:82,83:83)+100</f>
        <v>101</v>
      </c>
      <c r="K13" s="3215">
        <v>0.5</v>
      </c>
      <c r="L13" s="2137"/>
      <c r="M13" s="2129"/>
      <c r="N13" s="2129"/>
      <c r="O13" s="2138"/>
      <c r="P13" s="3394"/>
      <c r="Q13" s="1150" t="str">
        <f t="shared" si="6"/>
        <v>容积率</v>
      </c>
      <c r="R13" s="1566" t="s">
        <v>8</v>
      </c>
      <c r="S13" s="1567">
        <f t="shared" si="0"/>
        <v>98</v>
      </c>
      <c r="T13" s="1566" t="s">
        <v>8</v>
      </c>
      <c r="U13" s="1567">
        <f t="shared" si="1"/>
        <v>98.5</v>
      </c>
      <c r="V13" s="1566" t="s">
        <v>8</v>
      </c>
      <c r="W13" s="1567">
        <f t="shared" si="2"/>
        <v>101</v>
      </c>
      <c r="X13" s="1568"/>
      <c r="Y13" s="3340"/>
      <c r="Z13" s="1149" t="str">
        <f t="shared" si="7"/>
        <v>容积率</v>
      </c>
      <c r="AA13" s="1569">
        <f t="shared" si="3"/>
        <v>1.0204081632653061</v>
      </c>
      <c r="AB13" s="1569">
        <f t="shared" si="4"/>
        <v>1.015228426395939</v>
      </c>
      <c r="AC13" s="1569">
        <f t="shared" si="5"/>
        <v>0.99009900990099009</v>
      </c>
    </row>
    <row r="14" spans="1:30" s="1219" customFormat="1" ht="21" hidden="1" thickBot="1">
      <c r="A14" s="2934"/>
      <c r="B14" s="2943" t="s">
        <v>2759</v>
      </c>
      <c r="C14" s="2930"/>
      <c r="D14" s="537">
        <v>100</v>
      </c>
      <c r="E14" s="1373"/>
      <c r="F14" s="254">
        <f>SUMIF(84:84,E14,85:85)-SUMIF(84:84,C14,85:85)+100</f>
        <v>100</v>
      </c>
      <c r="G14" s="529"/>
      <c r="H14" s="254">
        <f>SUMIF(84:84,G14,85:85)-SUMIF(84:84,C14,85:85)+100</f>
        <v>100</v>
      </c>
      <c r="I14" s="528"/>
      <c r="J14" s="254">
        <f>SUMIF(84:84,I14,85:85)-SUMIF(84:84,C14,85:85)+100</f>
        <v>100</v>
      </c>
      <c r="K14" s="530"/>
      <c r="L14" s="2132"/>
      <c r="M14" s="2129"/>
      <c r="N14" s="2129"/>
      <c r="O14" s="2134"/>
      <c r="P14" s="3394"/>
      <c r="Q14" s="1150" t="str">
        <f t="shared" si="6"/>
        <v>配建</v>
      </c>
      <c r="R14" s="1566" t="s">
        <v>8</v>
      </c>
      <c r="S14" s="1567">
        <f t="shared" si="0"/>
        <v>100</v>
      </c>
      <c r="T14" s="1566" t="s">
        <v>8</v>
      </c>
      <c r="U14" s="1567">
        <f t="shared" si="1"/>
        <v>100</v>
      </c>
      <c r="V14" s="1566" t="s">
        <v>8</v>
      </c>
      <c r="W14" s="1567">
        <f t="shared" si="2"/>
        <v>100</v>
      </c>
      <c r="X14" s="1568"/>
      <c r="Y14" s="3340"/>
      <c r="Z14" s="1149" t="str">
        <f t="shared" si="7"/>
        <v>配建</v>
      </c>
      <c r="AA14" s="1569">
        <f>D14/F14</f>
        <v>1</v>
      </c>
      <c r="AB14" s="1569">
        <f>D14/H14</f>
        <v>1</v>
      </c>
      <c r="AC14" s="1569">
        <f>D14/J14</f>
        <v>1</v>
      </c>
    </row>
    <row r="15" spans="1:30" ht="20.25" hidden="1">
      <c r="A15" s="2938"/>
      <c r="B15" s="2944">
        <v>111</v>
      </c>
      <c r="C15" s="911"/>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94"/>
      <c r="Q15" s="1150">
        <f t="shared" si="6"/>
        <v>111</v>
      </c>
      <c r="R15" s="1566" t="s">
        <v>8</v>
      </c>
      <c r="S15" s="1567">
        <f t="shared" si="0"/>
        <v>100</v>
      </c>
      <c r="T15" s="1566" t="s">
        <v>8</v>
      </c>
      <c r="U15" s="1567">
        <f t="shared" si="1"/>
        <v>100</v>
      </c>
      <c r="V15" s="1566" t="s">
        <v>8</v>
      </c>
      <c r="W15" s="1567">
        <f t="shared" si="2"/>
        <v>100</v>
      </c>
      <c r="X15" s="1568"/>
      <c r="Y15" s="3340"/>
      <c r="Z15" s="1149">
        <f t="shared" si="7"/>
        <v>111</v>
      </c>
      <c r="AA15" s="1569">
        <f>D15/F15</f>
        <v>1</v>
      </c>
      <c r="AB15" s="1569">
        <f>D15/H15</f>
        <v>1</v>
      </c>
      <c r="AC15" s="1569">
        <f>D15/J15</f>
        <v>1</v>
      </c>
    </row>
    <row r="16" spans="1:30" ht="21" hidden="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4"/>
      <c r="Q16" s="1150">
        <f t="shared" si="6"/>
        <v>111</v>
      </c>
      <c r="R16" s="1566" t="s">
        <v>8</v>
      </c>
      <c r="S16" s="1567">
        <f t="shared" si="0"/>
        <v>100</v>
      </c>
      <c r="T16" s="1566" t="s">
        <v>8</v>
      </c>
      <c r="U16" s="1567">
        <f t="shared" si="1"/>
        <v>100</v>
      </c>
      <c r="V16" s="1566" t="s">
        <v>8</v>
      </c>
      <c r="W16" s="1567">
        <f t="shared" si="2"/>
        <v>100</v>
      </c>
      <c r="X16" s="1568"/>
      <c r="Y16" s="3340"/>
      <c r="Z16" s="1149">
        <f t="shared" si="7"/>
        <v>111</v>
      </c>
      <c r="AA16" s="1569">
        <f>D16/F16</f>
        <v>1</v>
      </c>
      <c r="AB16" s="1569">
        <f>D16/H16</f>
        <v>1</v>
      </c>
      <c r="AC16" s="1569">
        <f>D16/J16</f>
        <v>1</v>
      </c>
    </row>
    <row r="17" spans="1:29" ht="20.25" customHeight="1">
      <c r="A17" s="2931" t="s">
        <v>2754</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9"/>
      <c r="M17" s="2129"/>
      <c r="N17" s="2129"/>
      <c r="O17" s="2138"/>
      <c r="P17" s="3429" t="s">
        <v>540</v>
      </c>
      <c r="Q17" s="1570" t="str">
        <f t="shared" si="6"/>
        <v>居住社区成熟度</v>
      </c>
      <c r="R17" s="1571" t="s">
        <v>8</v>
      </c>
      <c r="S17" s="1572">
        <f t="shared" si="0"/>
        <v>100</v>
      </c>
      <c r="T17" s="1571" t="s">
        <v>8</v>
      </c>
      <c r="U17" s="1572">
        <f t="shared" si="1"/>
        <v>100</v>
      </c>
      <c r="V17" s="1571" t="s">
        <v>8</v>
      </c>
      <c r="W17" s="1572">
        <f t="shared" si="2"/>
        <v>100</v>
      </c>
      <c r="X17" s="1565"/>
      <c r="Y17" s="3429" t="s">
        <v>540</v>
      </c>
      <c r="Z17" s="1573" t="str">
        <f t="shared" si="7"/>
        <v>居住社区成熟度</v>
      </c>
      <c r="AA17" s="1574">
        <f t="shared" si="3"/>
        <v>1</v>
      </c>
      <c r="AB17" s="1574">
        <f t="shared" si="4"/>
        <v>1</v>
      </c>
      <c r="AC17" s="1574">
        <f t="shared" si="5"/>
        <v>1</v>
      </c>
    </row>
    <row r="18" spans="1:29" ht="20.25">
      <c r="A18" s="531"/>
      <c r="B18" s="552"/>
      <c r="C18" s="553"/>
      <c r="D18" s="556"/>
      <c r="E18" s="557"/>
      <c r="F18" s="554"/>
      <c r="G18" s="555"/>
      <c r="H18" s="558"/>
      <c r="I18" s="557"/>
      <c r="J18" s="554"/>
      <c r="K18" s="530"/>
      <c r="L18" s="2139"/>
      <c r="M18" s="2129"/>
      <c r="N18" s="2129"/>
      <c r="O18" s="2138"/>
      <c r="P18" s="3430"/>
      <c r="Q18" s="1570"/>
      <c r="R18" s="1571"/>
      <c r="S18" s="1572"/>
      <c r="T18" s="1571"/>
      <c r="U18" s="1572"/>
      <c r="V18" s="1571"/>
      <c r="W18" s="1572"/>
      <c r="X18" s="1565"/>
      <c r="Y18" s="3430"/>
      <c r="Z18" s="1573"/>
      <c r="AA18" s="1574">
        <v>1</v>
      </c>
      <c r="AB18" s="1574">
        <v>1</v>
      </c>
      <c r="AC18" s="1574">
        <v>1</v>
      </c>
    </row>
    <row r="19" spans="1:29" ht="93" customHeight="1">
      <c r="A19" s="531"/>
      <c r="B19" s="3208" t="s">
        <v>541</v>
      </c>
      <c r="C19" s="560" t="str">
        <f>估价对象房地状况!C16</f>
        <v>估价对象位于中关村环保科技园，周边商业氛围成熟度一般，人流量一般，商业繁华度一般。</v>
      </c>
      <c r="D19" s="562">
        <v>100</v>
      </c>
      <c r="E19" s="3185" t="s">
        <v>3111</v>
      </c>
      <c r="F19" s="558">
        <f>SUMIF(92:92,E20,93:93)-SUMIF(92:92,C20,93:93)+100</f>
        <v>103</v>
      </c>
      <c r="G19" s="3184" t="s">
        <v>3128</v>
      </c>
      <c r="H19" s="564">
        <f>SUMIF(92:92,G20,93:93)-SUMIF(92:92,C20,93:93)+100</f>
        <v>100</v>
      </c>
      <c r="I19" s="3184" t="s">
        <v>3134</v>
      </c>
      <c r="J19" s="564">
        <f>SUMIF(92:92,I20,93:93)-SUMIF(92:92,C20,93:93)+100</f>
        <v>103</v>
      </c>
      <c r="K19" s="534">
        <v>3</v>
      </c>
      <c r="L19" s="2139"/>
      <c r="M19" s="2129"/>
      <c r="N19" s="2129"/>
      <c r="O19" s="2138"/>
      <c r="P19" s="3430"/>
      <c r="Q19" s="1570" t="str">
        <f>B19</f>
        <v>商业繁华度</v>
      </c>
      <c r="R19" s="1571" t="s">
        <v>8</v>
      </c>
      <c r="S19" s="1572">
        <f>F19</f>
        <v>103</v>
      </c>
      <c r="T19" s="1571" t="s">
        <v>8</v>
      </c>
      <c r="U19" s="1572">
        <f>H19</f>
        <v>100</v>
      </c>
      <c r="V19" s="1571" t="s">
        <v>8</v>
      </c>
      <c r="W19" s="1572">
        <f>J19</f>
        <v>103</v>
      </c>
      <c r="X19" s="1565"/>
      <c r="Y19" s="3430"/>
      <c r="Z19" s="1573" t="str">
        <f>Q19</f>
        <v>商业繁华度</v>
      </c>
      <c r="AA19" s="1574">
        <f t="shared" si="3"/>
        <v>0.970873786407767</v>
      </c>
      <c r="AB19" s="1574">
        <f t="shared" si="4"/>
        <v>1</v>
      </c>
      <c r="AC19" s="1574">
        <f t="shared" si="5"/>
        <v>0.970873786407767</v>
      </c>
    </row>
    <row r="20" spans="1:29" ht="20.25">
      <c r="A20" s="531"/>
      <c r="B20" s="565"/>
      <c r="C20" s="566" t="s">
        <v>3091</v>
      </c>
      <c r="D20" s="562"/>
      <c r="E20" s="566" t="s">
        <v>3087</v>
      </c>
      <c r="F20" s="558"/>
      <c r="G20" s="567" t="s">
        <v>3091</v>
      </c>
      <c r="H20" s="554"/>
      <c r="I20" s="566" t="s">
        <v>3087</v>
      </c>
      <c r="J20" s="554"/>
      <c r="K20" s="530"/>
      <c r="L20" s="2139"/>
      <c r="M20" s="2129"/>
      <c r="N20" s="2129"/>
      <c r="O20" s="2138"/>
      <c r="P20" s="3430"/>
      <c r="Q20" s="1570"/>
      <c r="R20" s="1571"/>
      <c r="S20" s="1572"/>
      <c r="T20" s="1571"/>
      <c r="U20" s="1572"/>
      <c r="V20" s="1571"/>
      <c r="W20" s="1572"/>
      <c r="X20" s="1565"/>
      <c r="Y20" s="3430"/>
      <c r="Z20" s="1573"/>
      <c r="AA20" s="1574">
        <v>1</v>
      </c>
      <c r="AB20" s="1574">
        <v>1</v>
      </c>
      <c r="AC20" s="1574">
        <v>1</v>
      </c>
    </row>
    <row r="21" spans="1:29" ht="119.25" customHeight="1">
      <c r="A21" s="531"/>
      <c r="B21" s="559" t="s">
        <v>542</v>
      </c>
      <c r="C21" s="560" t="str">
        <f>估价对象房地状况!C17</f>
        <v>估价对象位于中关村环保科技园，周边办公楼项目较多，有百卓大厦、同有科技大厦等，入驻率较高，办公集聚程度较好。</v>
      </c>
      <c r="D21" s="570">
        <v>100</v>
      </c>
      <c r="E21" s="3185" t="s">
        <v>3109</v>
      </c>
      <c r="F21" s="564">
        <f>SUMIF(94:94,E22,95:95)-SUMIF(94:94,C22,95:95)+100</f>
        <v>100</v>
      </c>
      <c r="G21" s="3209" t="s">
        <v>3126</v>
      </c>
      <c r="H21" s="558">
        <f>SUMIF(94:94,G22,95:95)-SUMIF(94:94,C22,95:95)+100</f>
        <v>100</v>
      </c>
      <c r="I21" s="3210" t="s">
        <v>3135</v>
      </c>
      <c r="J21" s="558">
        <f>SUMIF(94:94,I22,95:95)-SUMIF(94:94,C22,95:95)+100</f>
        <v>100</v>
      </c>
      <c r="K21" s="534">
        <v>3</v>
      </c>
      <c r="L21" s="2139"/>
      <c r="M21" s="2129"/>
      <c r="N21" s="2129"/>
      <c r="O21" s="2138"/>
      <c r="P21" s="3430"/>
      <c r="Q21" s="1570" t="str">
        <f>B21</f>
        <v>办公集聚程度</v>
      </c>
      <c r="R21" s="1571" t="s">
        <v>8</v>
      </c>
      <c r="S21" s="1572">
        <f>F21</f>
        <v>100</v>
      </c>
      <c r="T21" s="1571" t="s">
        <v>8</v>
      </c>
      <c r="U21" s="1572">
        <f>H21</f>
        <v>100</v>
      </c>
      <c r="V21" s="1571" t="s">
        <v>8</v>
      </c>
      <c r="W21" s="1572">
        <f>J21</f>
        <v>100</v>
      </c>
      <c r="X21" s="1565"/>
      <c r="Y21" s="3430"/>
      <c r="Z21" s="1573" t="str">
        <f>Q21</f>
        <v>办公集聚程度</v>
      </c>
      <c r="AA21" s="1574">
        <f t="shared" si="3"/>
        <v>1</v>
      </c>
      <c r="AB21" s="1574">
        <f t="shared" si="4"/>
        <v>1</v>
      </c>
      <c r="AC21" s="1574">
        <f t="shared" si="5"/>
        <v>1</v>
      </c>
    </row>
    <row r="22" spans="1:29" ht="20.25">
      <c r="A22" s="531"/>
      <c r="B22" s="565"/>
      <c r="C22" s="566" t="s">
        <v>3087</v>
      </c>
      <c r="D22" s="556"/>
      <c r="E22" s="566" t="s">
        <v>3087</v>
      </c>
      <c r="F22" s="554"/>
      <c r="G22" s="555" t="s">
        <v>3087</v>
      </c>
      <c r="H22" s="554"/>
      <c r="I22" s="566" t="s">
        <v>3087</v>
      </c>
      <c r="J22" s="554"/>
      <c r="K22" s="530"/>
      <c r="L22" s="2139"/>
      <c r="M22" s="2129"/>
      <c r="N22" s="2129"/>
      <c r="O22" s="2138"/>
      <c r="P22" s="3430"/>
      <c r="Q22" s="1570"/>
      <c r="R22" s="1571"/>
      <c r="S22" s="1572"/>
      <c r="T22" s="1571"/>
      <c r="U22" s="1572"/>
      <c r="V22" s="1571"/>
      <c r="W22" s="1572"/>
      <c r="X22" s="1565"/>
      <c r="Y22" s="3430"/>
      <c r="Z22" s="1573"/>
      <c r="AA22" s="1574">
        <v>1</v>
      </c>
      <c r="AB22" s="1574">
        <v>1</v>
      </c>
      <c r="AC22" s="1574">
        <v>1</v>
      </c>
    </row>
    <row r="23" spans="1:29" ht="156.75" customHeight="1">
      <c r="A23" s="531"/>
      <c r="B23" s="559" t="s">
        <v>543</v>
      </c>
      <c r="C23" s="572" t="str">
        <f>估价对象房地状况!C18</f>
        <v>估价对象临近城市主干道——北清路，公共交通通达情况较好，有543路、633路、642路等公交线路及地铁16号线，停车便捷程度较好，综合评价交通便捷度较好。</v>
      </c>
      <c r="D23" s="562">
        <v>100</v>
      </c>
      <c r="E23" s="563" t="s">
        <v>3112</v>
      </c>
      <c r="F23" s="564">
        <f>SUMIF(96:96,E24,97:97)-SUMIF(96:96,C24,97:97)+100</f>
        <v>100</v>
      </c>
      <c r="G23" s="563" t="s">
        <v>3129</v>
      </c>
      <c r="H23" s="558">
        <f>SUMIF(96:96,G24,97:97)-SUMIF(96:96,C24,97:97)+100</f>
        <v>100</v>
      </c>
      <c r="I23" s="563" t="s">
        <v>3136</v>
      </c>
      <c r="J23" s="558">
        <f>SUMIF(96:96,I24,97:97)-SUMIF(96:96,C24,97:97)+100</f>
        <v>100</v>
      </c>
      <c r="K23" s="534"/>
      <c r="L23" s="2139"/>
      <c r="M23" s="2129"/>
      <c r="N23" s="2129"/>
      <c r="O23" s="2138"/>
      <c r="P23" s="3430"/>
      <c r="Q23" s="1570" t="str">
        <f>B23</f>
        <v>交通便捷度</v>
      </c>
      <c r="R23" s="1571" t="s">
        <v>8</v>
      </c>
      <c r="S23" s="1572">
        <f>F23</f>
        <v>100</v>
      </c>
      <c r="T23" s="1571" t="s">
        <v>8</v>
      </c>
      <c r="U23" s="1572">
        <f>H23</f>
        <v>100</v>
      </c>
      <c r="V23" s="1571" t="s">
        <v>8</v>
      </c>
      <c r="W23" s="1572">
        <f>J23</f>
        <v>100</v>
      </c>
      <c r="X23" s="1565"/>
      <c r="Y23" s="3430"/>
      <c r="Z23" s="1573" t="str">
        <f>Q23</f>
        <v>交通便捷度</v>
      </c>
      <c r="AA23" s="1574">
        <f t="shared" si="3"/>
        <v>1</v>
      </c>
      <c r="AB23" s="1574">
        <f t="shared" si="4"/>
        <v>1</v>
      </c>
      <c r="AC23" s="1574">
        <f t="shared" si="5"/>
        <v>1</v>
      </c>
    </row>
    <row r="24" spans="1:29" ht="20.25">
      <c r="A24" s="531"/>
      <c r="B24" s="577"/>
      <c r="C24" s="553" t="s">
        <v>3087</v>
      </c>
      <c r="D24" s="556"/>
      <c r="E24" s="557" t="s">
        <v>3087</v>
      </c>
      <c r="F24" s="554"/>
      <c r="G24" s="555" t="s">
        <v>3087</v>
      </c>
      <c r="H24" s="554"/>
      <c r="I24" s="557" t="s">
        <v>3087</v>
      </c>
      <c r="J24" s="554"/>
      <c r="K24" s="530"/>
      <c r="L24" s="2139"/>
      <c r="M24" s="2129"/>
      <c r="N24" s="2129"/>
      <c r="O24" s="2138"/>
      <c r="P24" s="3430"/>
      <c r="Q24" s="1570"/>
      <c r="R24" s="1571"/>
      <c r="S24" s="1572"/>
      <c r="T24" s="1571"/>
      <c r="U24" s="1572"/>
      <c r="V24" s="1571"/>
      <c r="W24" s="1572"/>
      <c r="X24" s="1565"/>
      <c r="Y24" s="3430"/>
      <c r="Z24" s="1573"/>
      <c r="AA24" s="1574">
        <v>1</v>
      </c>
      <c r="AB24" s="1574">
        <v>1</v>
      </c>
      <c r="AC24" s="1574">
        <v>1</v>
      </c>
    </row>
    <row r="25" spans="1:29" ht="57">
      <c r="A25" s="514"/>
      <c r="B25" s="258" t="s">
        <v>544</v>
      </c>
      <c r="C25" s="572" t="str">
        <f>估价对象房地状况!C19</f>
        <v>区域内多为商业办公用地，土地利用方向较一致。</v>
      </c>
      <c r="D25" s="562">
        <v>100</v>
      </c>
      <c r="E25" s="3185" t="s">
        <v>3116</v>
      </c>
      <c r="F25" s="564">
        <f>SUMIF(98:98,E26,99:99)-SUMIF(98:98,C26,99:99)+100</f>
        <v>100</v>
      </c>
      <c r="G25" s="3184" t="s">
        <v>3116</v>
      </c>
      <c r="H25" s="558">
        <f>SUMIF(98:98,G26,99:99)-SUMIF(98:98,C26,99:99)+100</f>
        <v>100</v>
      </c>
      <c r="I25" s="3185" t="s">
        <v>3116</v>
      </c>
      <c r="J25" s="558">
        <f>SUMIF(98:98,I26,99:99)-SUMIF(98:98,C26,99:99)+100</f>
        <v>100</v>
      </c>
      <c r="K25" s="534"/>
      <c r="L25" s="2139"/>
      <c r="M25" s="2129"/>
      <c r="N25" s="2129"/>
      <c r="O25" s="2138"/>
      <c r="P25" s="3430"/>
      <c r="Q25" s="1570" t="str">
        <f t="shared" ref="Q25:Q39" si="8">B25</f>
        <v>区域土地利用方向</v>
      </c>
      <c r="R25" s="1571" t="s">
        <v>8</v>
      </c>
      <c r="S25" s="1572">
        <f>F25</f>
        <v>100</v>
      </c>
      <c r="T25" s="1571" t="s">
        <v>8</v>
      </c>
      <c r="U25" s="1572">
        <f>H25</f>
        <v>100</v>
      </c>
      <c r="V25" s="1571" t="s">
        <v>8</v>
      </c>
      <c r="W25" s="1572">
        <f>J25</f>
        <v>100</v>
      </c>
      <c r="X25" s="1565"/>
      <c r="Y25" s="3430"/>
      <c r="Z25" s="1573" t="str">
        <f>Q25</f>
        <v>区域土地利用方向</v>
      </c>
      <c r="AA25" s="1574">
        <f t="shared" si="3"/>
        <v>1</v>
      </c>
      <c r="AB25" s="1574">
        <f t="shared" si="4"/>
        <v>1</v>
      </c>
      <c r="AC25" s="1574">
        <f t="shared" si="5"/>
        <v>1</v>
      </c>
    </row>
    <row r="26" spans="1:29" ht="20.25">
      <c r="A26" s="514"/>
      <c r="B26" s="1006"/>
      <c r="C26" s="553" t="s">
        <v>3087</v>
      </c>
      <c r="D26" s="556"/>
      <c r="E26" s="553" t="s">
        <v>3087</v>
      </c>
      <c r="F26" s="554"/>
      <c r="G26" s="553" t="s">
        <v>3087</v>
      </c>
      <c r="H26" s="554"/>
      <c r="I26" s="553" t="s">
        <v>3087</v>
      </c>
      <c r="J26" s="554"/>
      <c r="K26" s="530"/>
      <c r="L26" s="2139"/>
      <c r="M26" s="2129"/>
      <c r="N26" s="2129"/>
      <c r="O26" s="2138"/>
      <c r="P26" s="3430"/>
      <c r="Q26" s="1570"/>
      <c r="R26" s="1571"/>
      <c r="S26" s="1572"/>
      <c r="T26" s="1571"/>
      <c r="U26" s="1572"/>
      <c r="V26" s="1571"/>
      <c r="W26" s="1572"/>
      <c r="X26" s="1565"/>
      <c r="Y26" s="3430"/>
      <c r="Z26" s="1573"/>
      <c r="AA26" s="1574"/>
      <c r="AB26" s="1574"/>
      <c r="AC26" s="1574"/>
    </row>
    <row r="27" spans="1:29" ht="102.75" customHeight="1">
      <c r="A27" s="514"/>
      <c r="B27" s="577" t="s">
        <v>545</v>
      </c>
      <c r="C27" s="560" t="str">
        <f>估价对象房地状况!C20</f>
        <v>区域自然环境：东埠头沟公园；人文环境：无博物馆、展览馆等人文景观；综合评价环境状况一般。</v>
      </c>
      <c r="D27" s="562">
        <v>100</v>
      </c>
      <c r="E27" s="3185" t="s">
        <v>3130</v>
      </c>
      <c r="F27" s="558">
        <f>SUMIF(100:100,E28,101:101)-SUMIF(100:100,C28,101:101)+100</f>
        <v>102</v>
      </c>
      <c r="G27" s="3185" t="s">
        <v>3131</v>
      </c>
      <c r="H27" s="558">
        <f>SUMIF(100:100,G28,101:101)-SUMIF(100:100,C28,101:101)+100</f>
        <v>102</v>
      </c>
      <c r="I27" s="3185" t="s">
        <v>3137</v>
      </c>
      <c r="J27" s="558">
        <f>SUMIF(100:100,I28,101:101)-SUMIF(100:100,C28,101:101)+100</f>
        <v>102</v>
      </c>
      <c r="K27" s="534">
        <v>2</v>
      </c>
      <c r="L27" s="2139"/>
      <c r="M27" s="2129"/>
      <c r="N27" s="2129"/>
      <c r="O27" s="2138"/>
      <c r="P27" s="3430"/>
      <c r="Q27" s="1570" t="str">
        <f t="shared" si="8"/>
        <v>自然及人文环境状况</v>
      </c>
      <c r="R27" s="1571" t="s">
        <v>8</v>
      </c>
      <c r="S27" s="1572">
        <f>F27</f>
        <v>102</v>
      </c>
      <c r="T27" s="1571" t="s">
        <v>8</v>
      </c>
      <c r="U27" s="1572">
        <f>H27</f>
        <v>102</v>
      </c>
      <c r="V27" s="1571" t="s">
        <v>8</v>
      </c>
      <c r="W27" s="1572">
        <f>J27</f>
        <v>102</v>
      </c>
      <c r="X27" s="1565"/>
      <c r="Y27" s="3430"/>
      <c r="Z27" s="1573" t="str">
        <f>Q27</f>
        <v>自然及人文环境状况</v>
      </c>
      <c r="AA27" s="1574">
        <f t="shared" si="3"/>
        <v>0.98039215686274506</v>
      </c>
      <c r="AB27" s="1574">
        <f t="shared" si="4"/>
        <v>0.98039215686274506</v>
      </c>
      <c r="AC27" s="1574">
        <f t="shared" si="5"/>
        <v>0.98039215686274506</v>
      </c>
    </row>
    <row r="28" spans="1:29" ht="20.25">
      <c r="A28" s="514"/>
      <c r="B28" s="565"/>
      <c r="C28" s="553" t="s">
        <v>3091</v>
      </c>
      <c r="D28" s="556"/>
      <c r="E28" s="575" t="s">
        <v>3087</v>
      </c>
      <c r="F28" s="554"/>
      <c r="G28" s="553" t="s">
        <v>3087</v>
      </c>
      <c r="H28" s="554"/>
      <c r="I28" s="575" t="s">
        <v>3087</v>
      </c>
      <c r="J28" s="554"/>
      <c r="K28" s="530"/>
      <c r="L28" s="2139"/>
      <c r="M28" s="2129"/>
      <c r="N28" s="2129"/>
      <c r="O28" s="2138"/>
      <c r="P28" s="3430"/>
      <c r="Q28" s="1570"/>
      <c r="R28" s="1571"/>
      <c r="S28" s="1572"/>
      <c r="T28" s="1571"/>
      <c r="U28" s="1572"/>
      <c r="V28" s="1571"/>
      <c r="W28" s="1572"/>
      <c r="X28" s="1565"/>
      <c r="Y28" s="3430"/>
      <c r="Z28" s="1573"/>
      <c r="AA28" s="1574">
        <v>1</v>
      </c>
      <c r="AB28" s="1574">
        <v>1</v>
      </c>
      <c r="AC28" s="1574">
        <v>1</v>
      </c>
    </row>
    <row r="29" spans="1:29" s="1219" customFormat="1" ht="187.5" customHeight="1">
      <c r="A29" s="576"/>
      <c r="B29" s="2612" t="s">
        <v>2549</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3117</v>
      </c>
      <c r="F29" s="558">
        <f>SUMIF(102:102,E30,103:103)-SUMIF(102:102,C30,103:103)+100</f>
        <v>100</v>
      </c>
      <c r="G29" s="3211" t="s">
        <v>3132</v>
      </c>
      <c r="H29" s="558">
        <f>SUMIF(102:102,G30,103:103)-SUMIF(102:102,C30,103:103)+100</f>
        <v>100</v>
      </c>
      <c r="I29" s="3211" t="s">
        <v>3138</v>
      </c>
      <c r="J29" s="558">
        <f>SUMIF(102:102,I30,103:103)-SUMIF(102:102,C30,103:103)+100</f>
        <v>102</v>
      </c>
      <c r="K29" s="534">
        <v>2</v>
      </c>
      <c r="L29" s="2132"/>
      <c r="M29" s="2129"/>
      <c r="N29" s="2129"/>
      <c r="O29" s="2134"/>
      <c r="P29" s="3430"/>
      <c r="Q29" s="1150" t="str">
        <f t="shared" si="8"/>
        <v>公共配套设施</v>
      </c>
      <c r="R29" s="1566" t="s">
        <v>8</v>
      </c>
      <c r="S29" s="1567">
        <f>F29</f>
        <v>100</v>
      </c>
      <c r="T29" s="1566" t="s">
        <v>8</v>
      </c>
      <c r="U29" s="1567">
        <f>H29</f>
        <v>100</v>
      </c>
      <c r="V29" s="1566" t="s">
        <v>8</v>
      </c>
      <c r="W29" s="1567">
        <f>J29</f>
        <v>102</v>
      </c>
      <c r="X29" s="1568"/>
      <c r="Y29" s="3430"/>
      <c r="Z29" s="1149" t="str">
        <f>Q29</f>
        <v>公共配套设施</v>
      </c>
      <c r="AA29" s="1574">
        <f>D29/F29</f>
        <v>1</v>
      </c>
      <c r="AB29" s="1574">
        <f>D29/H29</f>
        <v>1</v>
      </c>
      <c r="AC29" s="1574">
        <f>D29/J29</f>
        <v>0.98039215686274506</v>
      </c>
    </row>
    <row r="30" spans="1:29" s="1219" customFormat="1" ht="20.25">
      <c r="A30" s="576"/>
      <c r="B30" s="565"/>
      <c r="C30" s="578" t="s">
        <v>3091</v>
      </c>
      <c r="D30" s="556"/>
      <c r="E30" s="575" t="s">
        <v>3091</v>
      </c>
      <c r="F30" s="554"/>
      <c r="G30" s="553" t="s">
        <v>3091</v>
      </c>
      <c r="H30" s="554"/>
      <c r="I30" s="575" t="s">
        <v>3087</v>
      </c>
      <c r="J30" s="554"/>
      <c r="K30" s="530"/>
      <c r="L30" s="2132"/>
      <c r="M30" s="2129"/>
      <c r="N30" s="2129"/>
      <c r="O30" s="2134"/>
      <c r="P30" s="3430"/>
      <c r="Q30" s="1150"/>
      <c r="R30" s="1566"/>
      <c r="S30" s="1567"/>
      <c r="T30" s="1566"/>
      <c r="U30" s="1567"/>
      <c r="V30" s="1566"/>
      <c r="W30" s="1567"/>
      <c r="X30" s="1568"/>
      <c r="Y30" s="3430"/>
      <c r="Z30" s="1149"/>
      <c r="AA30" s="1574">
        <v>1</v>
      </c>
      <c r="AB30" s="1574">
        <v>1</v>
      </c>
      <c r="AC30" s="1574">
        <v>1</v>
      </c>
    </row>
    <row r="31" spans="1:29" s="1219" customFormat="1" ht="46.5" customHeight="1">
      <c r="A31" s="576"/>
      <c r="B31" s="2612" t="s">
        <v>2550</v>
      </c>
      <c r="C31" s="572" t="str">
        <f>估价对象房地状况!C22</f>
        <v>估价对象所在区域基础设施水平达到“七通”。</v>
      </c>
      <c r="D31" s="562">
        <v>100</v>
      </c>
      <c r="E31" s="563" t="s">
        <v>3113</v>
      </c>
      <c r="F31" s="558">
        <f>SUMIF(104:104,E32,105:105)-SUMIF(104:104,C32,105:105)+100</f>
        <v>100</v>
      </c>
      <c r="G31" s="561" t="s">
        <v>3113</v>
      </c>
      <c r="H31" s="558">
        <f>SUMIF(104:104,G32,105:105)-SUMIF(104:104,C32,105:105)+100</f>
        <v>100</v>
      </c>
      <c r="I31" s="563" t="s">
        <v>3114</v>
      </c>
      <c r="J31" s="558">
        <f>SUMIF(104:104,I32,105:105)-SUMIF(104:104,C32,105:105)+100</f>
        <v>100</v>
      </c>
      <c r="K31" s="534"/>
      <c r="L31" s="2132"/>
      <c r="M31" s="2129"/>
      <c r="N31" s="2129"/>
      <c r="O31" s="2134"/>
      <c r="P31" s="3430"/>
      <c r="Q31" s="2599" t="str">
        <f t="shared" ref="Q31" si="9">B31</f>
        <v>基础设施水平</v>
      </c>
      <c r="R31" s="1566" t="s">
        <v>8</v>
      </c>
      <c r="S31" s="1567">
        <f>F31</f>
        <v>100</v>
      </c>
      <c r="T31" s="1566" t="s">
        <v>8</v>
      </c>
      <c r="U31" s="1567">
        <f>H31</f>
        <v>100</v>
      </c>
      <c r="V31" s="1566" t="s">
        <v>8</v>
      </c>
      <c r="W31" s="1567">
        <f>J31</f>
        <v>100</v>
      </c>
      <c r="X31" s="1568"/>
      <c r="Y31" s="3430"/>
      <c r="Z31" s="2596" t="str">
        <f>Q31</f>
        <v>基础设施水平</v>
      </c>
      <c r="AA31" s="1574">
        <f>D31/F31</f>
        <v>1</v>
      </c>
      <c r="AB31" s="1574">
        <f>D31/H31</f>
        <v>1</v>
      </c>
      <c r="AC31" s="1574">
        <f>D31/J31</f>
        <v>1</v>
      </c>
    </row>
    <row r="32" spans="1:29" s="1219" customFormat="1" ht="20.25">
      <c r="A32" s="576"/>
      <c r="B32" s="565"/>
      <c r="C32" s="578" t="s">
        <v>3108</v>
      </c>
      <c r="D32" s="556"/>
      <c r="E32" s="578" t="s">
        <v>3108</v>
      </c>
      <c r="F32" s="554"/>
      <c r="G32" s="578" t="s">
        <v>3108</v>
      </c>
      <c r="H32" s="554"/>
      <c r="I32" s="578" t="s">
        <v>3108</v>
      </c>
      <c r="J32" s="554"/>
      <c r="K32" s="530"/>
      <c r="L32" s="2132"/>
      <c r="M32" s="2129"/>
      <c r="N32" s="2129"/>
      <c r="O32" s="2134"/>
      <c r="P32" s="3430"/>
      <c r="Q32" s="2599"/>
      <c r="R32" s="1566"/>
      <c r="S32" s="1567"/>
      <c r="T32" s="1566"/>
      <c r="U32" s="1567"/>
      <c r="V32" s="1566"/>
      <c r="W32" s="1567"/>
      <c r="X32" s="1568"/>
      <c r="Y32" s="3430"/>
      <c r="Z32" s="2596"/>
      <c r="AA32" s="1574">
        <v>1</v>
      </c>
      <c r="AB32" s="1574">
        <v>1</v>
      </c>
      <c r="AC32" s="1574">
        <v>1</v>
      </c>
    </row>
    <row r="33" spans="1:29" ht="20.25">
      <c r="A33" s="531"/>
      <c r="B33" s="565" t="s">
        <v>547</v>
      </c>
      <c r="C33" s="579" t="s">
        <v>3090</v>
      </c>
      <c r="D33" s="574">
        <v>100</v>
      </c>
      <c r="E33" s="582" t="s">
        <v>3089</v>
      </c>
      <c r="F33" s="539">
        <f>SUMIF(106:106,E33,107:107)-SUMIF(106:106,C33,107:107)+100</f>
        <v>103</v>
      </c>
      <c r="G33" s="579" t="s">
        <v>3089</v>
      </c>
      <c r="H33" s="539">
        <f>SUMIF(106:106,G33,107:107)-SUMIF(106:106,C33,107:107)+100</f>
        <v>103</v>
      </c>
      <c r="I33" s="579" t="s">
        <v>3133</v>
      </c>
      <c r="J33" s="539">
        <f>SUMIF(106:106,I33,107:107)-SUMIF(106:106,C33,107:107)+100</f>
        <v>97</v>
      </c>
      <c r="K33" s="534">
        <v>3</v>
      </c>
      <c r="L33" s="2139"/>
      <c r="M33" s="2129"/>
      <c r="N33" s="2129"/>
      <c r="O33" s="2138"/>
      <c r="P33" s="3430"/>
      <c r="Q33" s="1570" t="str">
        <f t="shared" si="8"/>
        <v>临街状况</v>
      </c>
      <c r="R33" s="1571" t="s">
        <v>8</v>
      </c>
      <c r="S33" s="1572">
        <f t="shared" ref="S33:S47" si="10">F33</f>
        <v>103</v>
      </c>
      <c r="T33" s="1571" t="s">
        <v>8</v>
      </c>
      <c r="U33" s="1572">
        <f t="shared" ref="U33:U47" si="11">H33</f>
        <v>103</v>
      </c>
      <c r="V33" s="1571" t="s">
        <v>8</v>
      </c>
      <c r="W33" s="1572">
        <f t="shared" ref="W33:W47" si="12">J33</f>
        <v>97</v>
      </c>
      <c r="X33" s="1565"/>
      <c r="Y33" s="3430"/>
      <c r="Z33" s="1573" t="str">
        <f t="shared" ref="Z33:Z47" si="13">Q33</f>
        <v>临街状况</v>
      </c>
      <c r="AA33" s="1574">
        <f t="shared" si="3"/>
        <v>0.970873786407767</v>
      </c>
      <c r="AB33" s="1574">
        <f t="shared" si="4"/>
        <v>0.970873786407767</v>
      </c>
      <c r="AC33" s="1574">
        <f t="shared" si="5"/>
        <v>1.0309278350515463</v>
      </c>
    </row>
    <row r="34" spans="1:29" ht="27">
      <c r="A34" s="531"/>
      <c r="B34" s="577" t="s">
        <v>548</v>
      </c>
      <c r="C34" s="3184" t="s">
        <v>3107</v>
      </c>
      <c r="D34" s="562">
        <v>100</v>
      </c>
      <c r="E34" s="3185" t="s">
        <v>3118</v>
      </c>
      <c r="F34" s="558">
        <f>SUMIF(108:108,E35,109:109)-SUMIF(108:108,C35,109:109)+100</f>
        <v>103</v>
      </c>
      <c r="G34" s="3184" t="s">
        <v>3127</v>
      </c>
      <c r="H34" s="558">
        <f>SUMIF(108:108,G35,109:109)-SUMIF(108:108,C35,109:109)+100</f>
        <v>97</v>
      </c>
      <c r="I34" s="3184" t="s">
        <v>3127</v>
      </c>
      <c r="J34" s="558">
        <f>SUMIF(108:108,I35,109:109)-SUMIF(108:108,C35,109:109)+100</f>
        <v>97</v>
      </c>
      <c r="K34" s="534">
        <v>3</v>
      </c>
      <c r="L34" s="2139"/>
      <c r="M34" s="2129"/>
      <c r="N34" s="2129"/>
      <c r="O34" s="2138"/>
      <c r="P34" s="3430"/>
      <c r="Q34" s="1570" t="str">
        <f t="shared" si="8"/>
        <v>毗邻道路的类型与等级</v>
      </c>
      <c r="R34" s="1571" t="s">
        <v>8</v>
      </c>
      <c r="S34" s="1572">
        <f t="shared" si="10"/>
        <v>103</v>
      </c>
      <c r="T34" s="1571" t="s">
        <v>8</v>
      </c>
      <c r="U34" s="1572">
        <f t="shared" si="11"/>
        <v>97</v>
      </c>
      <c r="V34" s="1571" t="s">
        <v>8</v>
      </c>
      <c r="W34" s="1572">
        <f t="shared" si="12"/>
        <v>97</v>
      </c>
      <c r="X34" s="1565"/>
      <c r="Y34" s="3430"/>
      <c r="Z34" s="1573" t="str">
        <f t="shared" si="13"/>
        <v>毗邻道路的类型与等级</v>
      </c>
      <c r="AA34" s="1574">
        <f t="shared" si="3"/>
        <v>0.970873786407767</v>
      </c>
      <c r="AB34" s="1574">
        <f t="shared" si="4"/>
        <v>1.0309278350515463</v>
      </c>
      <c r="AC34" s="1574">
        <f t="shared" si="5"/>
        <v>1.0309278350515463</v>
      </c>
    </row>
    <row r="35" spans="1:29" ht="20.25">
      <c r="A35" s="531"/>
      <c r="B35" s="565"/>
      <c r="C35" s="553" t="s">
        <v>3103</v>
      </c>
      <c r="D35" s="556"/>
      <c r="E35" s="575" t="s">
        <v>3101</v>
      </c>
      <c r="F35" s="554"/>
      <c r="G35" s="553" t="s">
        <v>3105</v>
      </c>
      <c r="H35" s="554"/>
      <c r="I35" s="575" t="s">
        <v>3105</v>
      </c>
      <c r="J35" s="554"/>
      <c r="K35" s="580"/>
      <c r="L35" s="2139"/>
      <c r="M35" s="2129"/>
      <c r="N35" s="2129"/>
      <c r="O35" s="2138"/>
      <c r="P35" s="3430"/>
      <c r="Q35" s="1570"/>
      <c r="R35" s="1571"/>
      <c r="S35" s="1572"/>
      <c r="T35" s="1571"/>
      <c r="U35" s="1572"/>
      <c r="V35" s="1571"/>
      <c r="W35" s="1572"/>
      <c r="X35" s="1565"/>
      <c r="Y35" s="3430"/>
      <c r="Z35" s="1573"/>
      <c r="AA35" s="1574">
        <v>1</v>
      </c>
      <c r="AB35" s="1574">
        <v>1</v>
      </c>
      <c r="AC35" s="1574">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0"/>
      <c r="Q36" s="1570" t="str">
        <f t="shared" si="8"/>
        <v>土地级别</v>
      </c>
      <c r="R36" s="1571" t="s">
        <v>8</v>
      </c>
      <c r="S36" s="1572">
        <f t="shared" si="10"/>
        <v>100</v>
      </c>
      <c r="T36" s="1571" t="s">
        <v>8</v>
      </c>
      <c r="U36" s="1572">
        <f t="shared" si="11"/>
        <v>100</v>
      </c>
      <c r="V36" s="1571" t="s">
        <v>8</v>
      </c>
      <c r="W36" s="1572">
        <f t="shared" si="12"/>
        <v>100</v>
      </c>
      <c r="X36" s="1565"/>
      <c r="Y36" s="3430"/>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0"/>
      <c r="Q37" s="1570">
        <f t="shared" si="8"/>
        <v>111</v>
      </c>
      <c r="R37" s="1571" t="s">
        <v>8</v>
      </c>
      <c r="S37" s="1572">
        <f t="shared" si="10"/>
        <v>100</v>
      </c>
      <c r="T37" s="1571" t="s">
        <v>8</v>
      </c>
      <c r="U37" s="1572">
        <f t="shared" si="11"/>
        <v>100</v>
      </c>
      <c r="V37" s="1571" t="s">
        <v>8</v>
      </c>
      <c r="W37" s="1572">
        <f t="shared" si="12"/>
        <v>100</v>
      </c>
      <c r="X37" s="1565"/>
      <c r="Y37" s="3430"/>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1" t="s">
        <v>550</v>
      </c>
      <c r="Q38" s="1570">
        <f t="shared" si="8"/>
        <v>111</v>
      </c>
      <c r="R38" s="1571" t="s">
        <v>8</v>
      </c>
      <c r="S38" s="1572">
        <f t="shared" si="10"/>
        <v>100</v>
      </c>
      <c r="T38" s="1571" t="s">
        <v>8</v>
      </c>
      <c r="U38" s="1572">
        <f t="shared" si="11"/>
        <v>100</v>
      </c>
      <c r="V38" s="1571" t="s">
        <v>8</v>
      </c>
      <c r="W38" s="1572">
        <f t="shared" si="12"/>
        <v>100</v>
      </c>
      <c r="X38" s="1565"/>
      <c r="Y38" s="3432" t="s">
        <v>550</v>
      </c>
      <c r="Z38" s="1573">
        <f t="shared" si="13"/>
        <v>111</v>
      </c>
      <c r="AA38" s="1574">
        <f t="shared" si="3"/>
        <v>1</v>
      </c>
      <c r="AB38" s="1574">
        <f t="shared" si="4"/>
        <v>1</v>
      </c>
      <c r="AC38" s="157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2"/>
      <c r="Q39" s="1570">
        <f t="shared" si="8"/>
        <v>111</v>
      </c>
      <c r="R39" s="1575" t="s">
        <v>8</v>
      </c>
      <c r="S39" s="1576">
        <f t="shared" si="10"/>
        <v>100</v>
      </c>
      <c r="T39" s="1575" t="s">
        <v>8</v>
      </c>
      <c r="U39" s="1576">
        <f t="shared" si="11"/>
        <v>100</v>
      </c>
      <c r="V39" s="1575" t="s">
        <v>8</v>
      </c>
      <c r="W39" s="1576">
        <f t="shared" si="12"/>
        <v>100</v>
      </c>
      <c r="X39" s="1577"/>
      <c r="Y39" s="3432"/>
      <c r="Z39" s="1578">
        <f t="shared" si="13"/>
        <v>111</v>
      </c>
      <c r="AA39" s="1574">
        <f t="shared" si="3"/>
        <v>1</v>
      </c>
      <c r="AB39" s="1574">
        <f t="shared" si="4"/>
        <v>1</v>
      </c>
      <c r="AC39" s="1574">
        <f t="shared" si="5"/>
        <v>1</v>
      </c>
    </row>
    <row r="40" spans="1:29" ht="20.25">
      <c r="A40" s="2928" t="s">
        <v>2755</v>
      </c>
      <c r="B40" s="594" t="s">
        <v>552</v>
      </c>
      <c r="C40" s="595">
        <f>'数据-基础表'!A3</f>
        <v>13326.99</v>
      </c>
      <c r="D40" s="596">
        <v>100</v>
      </c>
      <c r="E40" s="595">
        <v>14089.17</v>
      </c>
      <c r="F40" s="596">
        <f>LOOKUP(E40,119:119,120:120)-LOOKUP(C40,119:119,120:120)+100</f>
        <v>100</v>
      </c>
      <c r="G40" s="595">
        <v>18313.7</v>
      </c>
      <c r="H40" s="596">
        <f>LOOKUP(G40,119:119,120:120)-LOOKUP(C40,119:119,120:120)+100</f>
        <v>100</v>
      </c>
      <c r="I40" s="597">
        <v>92055.95</v>
      </c>
      <c r="J40" s="596">
        <f>LOOKUP(I40,119:119,120:120)-LOOKUP(C40,119:119,120:120)+100</f>
        <v>98</v>
      </c>
      <c r="K40" s="580"/>
      <c r="L40" s="2139"/>
      <c r="M40" s="2129"/>
      <c r="N40" s="2129"/>
      <c r="O40" s="2138"/>
      <c r="P40" s="3432"/>
      <c r="Q40" s="1570" t="str">
        <f>B40</f>
        <v>宗地面积</v>
      </c>
      <c r="R40" s="1571" t="s">
        <v>8</v>
      </c>
      <c r="S40" s="1572">
        <f t="shared" si="10"/>
        <v>100</v>
      </c>
      <c r="T40" s="1571" t="s">
        <v>8</v>
      </c>
      <c r="U40" s="1572">
        <f t="shared" si="11"/>
        <v>100</v>
      </c>
      <c r="V40" s="1571" t="s">
        <v>8</v>
      </c>
      <c r="W40" s="1572">
        <f t="shared" si="12"/>
        <v>98</v>
      </c>
      <c r="X40" s="1565"/>
      <c r="Y40" s="3432"/>
      <c r="Z40" s="1573" t="str">
        <f t="shared" si="13"/>
        <v>宗地面积</v>
      </c>
      <c r="AA40" s="1574">
        <f t="shared" si="3"/>
        <v>1</v>
      </c>
      <c r="AB40" s="1574">
        <f t="shared" si="4"/>
        <v>1</v>
      </c>
      <c r="AC40" s="1574">
        <f t="shared" si="5"/>
        <v>1.0204081632653061</v>
      </c>
    </row>
    <row r="41" spans="1:29" ht="20.25">
      <c r="A41" s="593"/>
      <c r="B41" s="526" t="s">
        <v>553</v>
      </c>
      <c r="C41" s="3213" t="s">
        <v>3122</v>
      </c>
      <c r="D41" s="539">
        <v>100</v>
      </c>
      <c r="E41" s="598" t="s">
        <v>3120</v>
      </c>
      <c r="F41" s="539">
        <f>SUMIF(121:121,E41,122:122)-SUMIF(121:121,C41,122:122)+100</f>
        <v>105</v>
      </c>
      <c r="G41" s="3213" t="s">
        <v>3120</v>
      </c>
      <c r="H41" s="539">
        <f>SUMIF(121:121,G41,122:122)-SUMIF(121:121,C41,122:122)+100</f>
        <v>105</v>
      </c>
      <c r="I41" s="3213" t="s">
        <v>3124</v>
      </c>
      <c r="J41" s="539">
        <f>SUMIF(121:121,I41,122:122)-SUMIF(121:121,C41,122:122)+100</f>
        <v>95</v>
      </c>
      <c r="K41" s="583">
        <v>5</v>
      </c>
      <c r="L41" s="2139"/>
      <c r="M41" s="2129"/>
      <c r="N41" s="2129"/>
      <c r="O41" s="2138"/>
      <c r="P41" s="3432"/>
      <c r="Q41" s="1570" t="str">
        <f t="shared" ref="Q41:Q47" si="14">B41</f>
        <v>宗地形状</v>
      </c>
      <c r="R41" s="1571" t="s">
        <v>8</v>
      </c>
      <c r="S41" s="1572">
        <f t="shared" si="10"/>
        <v>105</v>
      </c>
      <c r="T41" s="1571" t="s">
        <v>8</v>
      </c>
      <c r="U41" s="1572">
        <f t="shared" si="11"/>
        <v>105</v>
      </c>
      <c r="V41" s="1571" t="s">
        <v>8</v>
      </c>
      <c r="W41" s="1572">
        <f t="shared" si="12"/>
        <v>95</v>
      </c>
      <c r="X41" s="1565"/>
      <c r="Y41" s="3432"/>
      <c r="Z41" s="1573" t="str">
        <f t="shared" si="13"/>
        <v>宗地形状</v>
      </c>
      <c r="AA41" s="1574">
        <f t="shared" si="3"/>
        <v>0.95238095238095233</v>
      </c>
      <c r="AB41" s="1574">
        <f t="shared" si="4"/>
        <v>0.95238095238095233</v>
      </c>
      <c r="AC41" s="1574">
        <f t="shared" si="5"/>
        <v>1.0526315789473684</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9"/>
      <c r="M42" s="2129"/>
      <c r="N42" s="2129"/>
      <c r="O42" s="2138"/>
      <c r="P42" s="3432"/>
      <c r="Q42" s="1570" t="str">
        <f t="shared" si="14"/>
        <v>临街宽度及深度</v>
      </c>
      <c r="R42" s="1571" t="s">
        <v>8</v>
      </c>
      <c r="S42" s="1572">
        <f t="shared" si="10"/>
        <v>100</v>
      </c>
      <c r="T42" s="1571" t="s">
        <v>8</v>
      </c>
      <c r="U42" s="1572">
        <f t="shared" si="11"/>
        <v>100</v>
      </c>
      <c r="V42" s="1571" t="s">
        <v>8</v>
      </c>
      <c r="W42" s="1572">
        <f t="shared" si="12"/>
        <v>100</v>
      </c>
      <c r="X42" s="1565"/>
      <c r="Y42" s="3432"/>
      <c r="Z42" s="1573" t="str">
        <f t="shared" si="13"/>
        <v>临街宽度及深度</v>
      </c>
      <c r="AA42" s="1574">
        <f t="shared" si="3"/>
        <v>1</v>
      </c>
      <c r="AB42" s="1574">
        <f t="shared" si="4"/>
        <v>1</v>
      </c>
      <c r="AC42" s="1574">
        <f t="shared" si="5"/>
        <v>1</v>
      </c>
    </row>
    <row r="43" spans="1:29" s="1219" customFormat="1" ht="20.25">
      <c r="A43" s="599"/>
      <c r="B43" s="1892" t="s">
        <v>2425</v>
      </c>
      <c r="C43" s="600" t="s">
        <v>3092</v>
      </c>
      <c r="D43" s="254">
        <v>100</v>
      </c>
      <c r="E43" s="600" t="s">
        <v>3098</v>
      </c>
      <c r="F43" s="539">
        <f>SUMIF(125:125,E43,126:126)-SUMIF(125:125,C43,126:126)+100</f>
        <v>96</v>
      </c>
      <c r="G43" s="3212" t="s">
        <v>3094</v>
      </c>
      <c r="H43" s="539">
        <f>SUMIF(125:125,G43,126:126)-SUMIF(125:125,C43,126:126)+100</f>
        <v>99</v>
      </c>
      <c r="I43" s="3212" t="s">
        <v>3092</v>
      </c>
      <c r="J43" s="539">
        <f>SUMIF(125:125,I43,126:126)-SUMIF(125:125,C43,126:126)+100</f>
        <v>100</v>
      </c>
      <c r="K43" s="583">
        <v>1</v>
      </c>
      <c r="L43" s="2132"/>
      <c r="M43" s="2129"/>
      <c r="N43" s="2129"/>
      <c r="O43" s="2134"/>
      <c r="P43" s="3432"/>
      <c r="Q43" s="1570" t="str">
        <f t="shared" si="14"/>
        <v>宗地开发程度</v>
      </c>
      <c r="R43" s="1566" t="s">
        <v>8</v>
      </c>
      <c r="S43" s="1567">
        <f t="shared" si="10"/>
        <v>96</v>
      </c>
      <c r="T43" s="1566" t="s">
        <v>8</v>
      </c>
      <c r="U43" s="1567">
        <f t="shared" si="11"/>
        <v>99</v>
      </c>
      <c r="V43" s="1566" t="s">
        <v>8</v>
      </c>
      <c r="W43" s="1567">
        <f t="shared" si="12"/>
        <v>100</v>
      </c>
      <c r="X43" s="1568"/>
      <c r="Y43" s="3432"/>
      <c r="Z43" s="1149" t="str">
        <f t="shared" si="13"/>
        <v>宗地开发程度</v>
      </c>
      <c r="AA43" s="1569">
        <f t="shared" si="3"/>
        <v>1.0416666666666667</v>
      </c>
      <c r="AB43" s="1569">
        <f t="shared" si="4"/>
        <v>1.0101010101010102</v>
      </c>
      <c r="AC43" s="1569">
        <f t="shared" si="5"/>
        <v>1</v>
      </c>
    </row>
    <row r="44" spans="1:29" ht="2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9"/>
      <c r="M44" s="2129"/>
      <c r="N44" s="2129"/>
      <c r="O44" s="2138"/>
      <c r="P44" s="3432" t="s">
        <v>550</v>
      </c>
      <c r="Q44" s="1570" t="str">
        <f t="shared" si="14"/>
        <v>工程地质条件</v>
      </c>
      <c r="R44" s="1571" t="s">
        <v>8</v>
      </c>
      <c r="S44" s="1572">
        <f t="shared" si="10"/>
        <v>100</v>
      </c>
      <c r="T44" s="1571" t="s">
        <v>8</v>
      </c>
      <c r="U44" s="1572">
        <f t="shared" si="11"/>
        <v>100</v>
      </c>
      <c r="V44" s="1571" t="s">
        <v>8</v>
      </c>
      <c r="W44" s="1572">
        <f t="shared" si="12"/>
        <v>100</v>
      </c>
      <c r="X44" s="1565"/>
      <c r="Y44" s="3432"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2"/>
      <c r="Q45" s="1570">
        <f t="shared" si="14"/>
        <v>111</v>
      </c>
      <c r="R45" s="1571" t="s">
        <v>8</v>
      </c>
      <c r="S45" s="1572">
        <f t="shared" si="10"/>
        <v>100</v>
      </c>
      <c r="T45" s="1571" t="s">
        <v>8</v>
      </c>
      <c r="U45" s="1572">
        <f t="shared" si="11"/>
        <v>100</v>
      </c>
      <c r="V45" s="1571" t="s">
        <v>8</v>
      </c>
      <c r="W45" s="1572">
        <f t="shared" si="12"/>
        <v>100</v>
      </c>
      <c r="X45" s="1565"/>
      <c r="Y45" s="3432"/>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2"/>
      <c r="Q46" s="1570">
        <f t="shared" si="14"/>
        <v>111</v>
      </c>
      <c r="R46" s="1571" t="s">
        <v>8</v>
      </c>
      <c r="S46" s="1572">
        <f t="shared" si="10"/>
        <v>100</v>
      </c>
      <c r="T46" s="1571" t="s">
        <v>8</v>
      </c>
      <c r="U46" s="1572">
        <f t="shared" si="11"/>
        <v>100</v>
      </c>
      <c r="V46" s="1571" t="s">
        <v>8</v>
      </c>
      <c r="W46" s="1572">
        <f t="shared" si="12"/>
        <v>100</v>
      </c>
      <c r="X46" s="1565"/>
      <c r="Y46" s="3432"/>
      <c r="Z46" s="1573">
        <f t="shared" si="13"/>
        <v>111</v>
      </c>
      <c r="AA46" s="1574">
        <f t="shared" si="3"/>
        <v>1</v>
      </c>
      <c r="AB46" s="1574">
        <f t="shared" si="4"/>
        <v>1</v>
      </c>
      <c r="AC46" s="157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2"/>
      <c r="Q47" s="1570">
        <f t="shared" si="14"/>
        <v>111</v>
      </c>
      <c r="R47" s="1575" t="s">
        <v>8</v>
      </c>
      <c r="S47" s="1576">
        <f t="shared" si="10"/>
        <v>100</v>
      </c>
      <c r="T47" s="1575" t="s">
        <v>8</v>
      </c>
      <c r="U47" s="1576">
        <f t="shared" si="11"/>
        <v>100</v>
      </c>
      <c r="V47" s="1575" t="s">
        <v>8</v>
      </c>
      <c r="W47" s="1576">
        <f t="shared" si="12"/>
        <v>100</v>
      </c>
      <c r="X47" s="1577"/>
      <c r="Y47" s="3432"/>
      <c r="Z47" s="1578">
        <f t="shared" si="13"/>
        <v>111</v>
      </c>
      <c r="AA47" s="1574">
        <f t="shared" si="3"/>
        <v>1</v>
      </c>
      <c r="AB47" s="1574">
        <f t="shared" si="4"/>
        <v>1</v>
      </c>
      <c r="AC47" s="1574">
        <f t="shared" si="5"/>
        <v>1</v>
      </c>
    </row>
    <row r="48" spans="1:29" ht="20.25">
      <c r="A48" s="606" t="s">
        <v>556</v>
      </c>
      <c r="B48" s="607" t="s">
        <v>2976</v>
      </c>
      <c r="C48" s="608" t="s">
        <v>1</v>
      </c>
      <c r="D48" s="609"/>
      <c r="E48" s="610">
        <v>33810</v>
      </c>
      <c r="F48" s="611"/>
      <c r="G48" s="612">
        <v>34757</v>
      </c>
      <c r="H48" s="613"/>
      <c r="I48" s="610">
        <v>31000</v>
      </c>
      <c r="J48" s="613"/>
      <c r="K48" s="1339"/>
      <c r="L48" s="2141"/>
      <c r="M48" s="2129"/>
      <c r="N48" s="2129"/>
      <c r="O48" s="2142"/>
      <c r="P48" s="3394" t="str">
        <f>A48</f>
        <v>成交单价</v>
      </c>
      <c r="Q48" s="3394"/>
      <c r="R48" s="3395">
        <f>E48</f>
        <v>33810</v>
      </c>
      <c r="S48" s="3395"/>
      <c r="T48" s="3395">
        <f>G48</f>
        <v>34757</v>
      </c>
      <c r="U48" s="3395"/>
      <c r="V48" s="3395">
        <f>I48</f>
        <v>31000</v>
      </c>
      <c r="W48" s="3395"/>
      <c r="X48" s="1557"/>
      <c r="Y48" s="1579"/>
      <c r="Z48" s="1557"/>
      <c r="AA48" s="1557"/>
      <c r="AB48" s="1557"/>
      <c r="AC48" s="1557"/>
    </row>
    <row r="49" spans="1:29" ht="21" thickBot="1">
      <c r="A49" s="614" t="s">
        <v>2693</v>
      </c>
      <c r="B49" s="615"/>
      <c r="C49" s="616">
        <f>R50</f>
        <v>32760</v>
      </c>
      <c r="D49" s="617"/>
      <c r="E49" s="616">
        <f>R49</f>
        <v>30711</v>
      </c>
      <c r="F49" s="618"/>
      <c r="G49" s="619">
        <f>T49</f>
        <v>34534</v>
      </c>
      <c r="H49" s="617"/>
      <c r="I49" s="616">
        <f>V49</f>
        <v>33034</v>
      </c>
      <c r="J49" s="617"/>
      <c r="K49" s="1340"/>
      <c r="L49" s="2141"/>
      <c r="M49" s="2129"/>
      <c r="N49" s="2129"/>
      <c r="O49" s="2142"/>
      <c r="P49" s="3394" t="str">
        <f>A49</f>
        <v>比较价格（元/平方米）</v>
      </c>
      <c r="Q49" s="3394"/>
      <c r="R49" s="3396">
        <f>ROUND(PRODUCT(R48,AA9:AA47),0)</f>
        <v>30711</v>
      </c>
      <c r="S49" s="3396"/>
      <c r="T49" s="3396">
        <f>ROUND(PRODUCT(T48,AB9:AB47),0)</f>
        <v>34534</v>
      </c>
      <c r="U49" s="3396"/>
      <c r="V49" s="3396">
        <f>ROUND(PRODUCT(V48,AC9:AC47),0)</f>
        <v>33034</v>
      </c>
      <c r="W49" s="3396"/>
      <c r="X49" s="1557"/>
      <c r="Y49" s="1557"/>
      <c r="Z49" s="1557"/>
      <c r="AA49" s="1557"/>
      <c r="AB49" s="1557"/>
      <c r="AC49" s="1557"/>
    </row>
    <row r="50" spans="1:29" ht="21" thickBot="1">
      <c r="A50" s="620" t="s">
        <v>2929</v>
      </c>
      <c r="B50" s="621"/>
      <c r="C50" s="622">
        <f>R50</f>
        <v>32760</v>
      </c>
      <c r="D50" s="622"/>
      <c r="E50" s="622"/>
      <c r="F50" s="622"/>
      <c r="G50" s="622"/>
      <c r="H50" s="622"/>
      <c r="I50" s="622"/>
      <c r="J50" s="622"/>
      <c r="K50" s="1341"/>
      <c r="L50" s="2141"/>
      <c r="M50" s="2129"/>
      <c r="N50" s="2129"/>
      <c r="O50" s="2142"/>
      <c r="P50" s="3391" t="str">
        <f>A50</f>
        <v>估价对象XX用房的比较价格（楼面单价，元/平方米）</v>
      </c>
      <c r="Q50" s="3392"/>
      <c r="R50" s="3393">
        <f>ROUND(AVERAGE(R49:V49),0)</f>
        <v>32760</v>
      </c>
      <c r="S50" s="3393"/>
      <c r="T50" s="3393"/>
      <c r="U50" s="3393"/>
      <c r="V50" s="3393"/>
      <c r="W50" s="3393"/>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f>IF(E48&lt;E49,E49/E48-1,E48/E49-1)</f>
        <v>0.10090846927810881</v>
      </c>
      <c r="F53" s="626" t="str">
        <f>IF(OR(E53&gt;=0.3,E53&lt;=-0.3),"超过30%","")</f>
        <v/>
      </c>
      <c r="G53" s="625">
        <f>IF(G48&lt;G49,G49/G48-1,G48/G49-1)</f>
        <v>6.4574042972143086E-3</v>
      </c>
      <c r="H53" s="626" t="str">
        <f>IF(OR(G53&gt;=0.3,G53&lt;=-0.3),"超过30%","")</f>
        <v/>
      </c>
      <c r="I53" s="625">
        <f>IF(I48&lt;I49,I49/I48-1,I48/I49-1)</f>
        <v>6.5612903225806374E-2</v>
      </c>
      <c r="J53" s="626"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f>IF(E49&lt;G49,G49/E49-1,E49/G49-1)</f>
        <v>0.12448308423691845</v>
      </c>
      <c r="F54" s="626" t="str">
        <f>IF(OR(E54&gt;=0.2,E54&lt;=-0.2),"超过20%","")</f>
        <v/>
      </c>
      <c r="G54" s="625">
        <f>IF(G49&lt;I49,I49/G49-1,G49/I49-1)</f>
        <v>4.5407761700066551E-2</v>
      </c>
      <c r="H54" s="626" t="str">
        <f>IF(OR(G54&gt;=0.2,G54&lt;=-0.2),"超过20%","")</f>
        <v/>
      </c>
      <c r="I54" s="625">
        <f>IF(I49&lt;E49,E49/I49-1,I49/E49-1)</f>
        <v>7.5640649929992421E-2</v>
      </c>
      <c r="J54" s="626"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4" customFormat="1" ht="13.5" customHeight="1">
      <c r="A55" s="2143"/>
      <c r="B55" s="2143"/>
      <c r="C55" s="623" t="s">
        <v>559</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8" t="s">
        <v>560</v>
      </c>
      <c r="B57" s="629" t="s">
        <v>561</v>
      </c>
      <c r="C57" s="1558" t="s">
        <v>1725</v>
      </c>
      <c r="D57" s="2224" t="s">
        <v>2293</v>
      </c>
      <c r="E57" s="630" t="s">
        <v>562</v>
      </c>
      <c r="F57" s="631" t="s">
        <v>563</v>
      </c>
      <c r="G57" s="3421" t="s">
        <v>2281</v>
      </c>
      <c r="H57" s="3422"/>
      <c r="I57" s="1553" t="s">
        <v>1723</v>
      </c>
      <c r="J57" s="1553">
        <f>项目基本情况!F41</f>
        <v>0</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564</v>
      </c>
      <c r="B58" s="633">
        <f>C50</f>
        <v>32760</v>
      </c>
      <c r="C58" s="634">
        <v>1</v>
      </c>
      <c r="D58" s="2225">
        <v>1</v>
      </c>
      <c r="E58" s="634">
        <f>'数据-汇总表'!E8+'数据-汇总表'!E9</f>
        <v>46611</v>
      </c>
      <c r="F58" s="635">
        <f t="shared" ref="F58:F67" si="15">ROUND(B58*E58/10000,0)</f>
        <v>152698</v>
      </c>
      <c r="G58" s="3423"/>
      <c r="H58" s="3424"/>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565</v>
      </c>
      <c r="B59" s="637">
        <f>ROUND($C$50*C59*D59,0)</f>
        <v>0</v>
      </c>
      <c r="C59" s="377">
        <f t="shared" ref="C59:C67" si="16">IF($C$57="北京市系数",I59,J59)</f>
        <v>0</v>
      </c>
      <c r="D59" s="2226">
        <v>0.25</v>
      </c>
      <c r="E59" s="638">
        <v>0</v>
      </c>
      <c r="F59" s="635">
        <f t="shared" si="15"/>
        <v>0</v>
      </c>
      <c r="G59" s="3425" t="s">
        <v>2282</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566</v>
      </c>
      <c r="B60" s="637">
        <f t="shared" ref="B60:B67" si="17">ROUND($C$50*C60*D60,0)</f>
        <v>0</v>
      </c>
      <c r="C60" s="377">
        <f t="shared" si="16"/>
        <v>0</v>
      </c>
      <c r="D60" s="2226">
        <v>0.25</v>
      </c>
      <c r="E60" s="638">
        <v>0</v>
      </c>
      <c r="F60" s="635">
        <f t="shared" si="15"/>
        <v>0</v>
      </c>
      <c r="G60" s="3425"/>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567</v>
      </c>
      <c r="B61" s="637">
        <f t="shared" si="17"/>
        <v>0</v>
      </c>
      <c r="C61" s="377">
        <f t="shared" si="16"/>
        <v>0</v>
      </c>
      <c r="D61" s="2226">
        <v>0.25</v>
      </c>
      <c r="E61" s="638">
        <v>0</v>
      </c>
      <c r="F61" s="635">
        <f t="shared" si="15"/>
        <v>0</v>
      </c>
      <c r="G61" s="3425"/>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568</v>
      </c>
      <c r="B62" s="637">
        <f t="shared" si="17"/>
        <v>0</v>
      </c>
      <c r="C62" s="377">
        <f t="shared" si="16"/>
        <v>0</v>
      </c>
      <c r="D62" s="2226">
        <v>0.25</v>
      </c>
      <c r="E62" s="638">
        <v>0</v>
      </c>
      <c r="F62" s="635">
        <f t="shared" si="15"/>
        <v>0</v>
      </c>
      <c r="G62" s="3425"/>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2328</v>
      </c>
      <c r="B63" s="637">
        <f t="shared" si="17"/>
        <v>0</v>
      </c>
      <c r="C63" s="377">
        <f t="shared" si="16"/>
        <v>0</v>
      </c>
      <c r="D63" s="2226">
        <v>0.25</v>
      </c>
      <c r="E63" s="640">
        <f>'数据-汇总表'!E11</f>
        <v>1924</v>
      </c>
      <c r="F63" s="3214">
        <f t="shared" si="15"/>
        <v>0</v>
      </c>
      <c r="G63" s="1942" t="s">
        <v>2283</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569</v>
      </c>
      <c r="B64" s="637">
        <f t="shared" si="17"/>
        <v>0</v>
      </c>
      <c r="C64" s="377">
        <f t="shared" si="16"/>
        <v>0</v>
      </c>
      <c r="D64" s="2226">
        <v>0.25</v>
      </c>
      <c r="E64" s="640">
        <f>'数据-汇总表'!E12</f>
        <v>1755</v>
      </c>
      <c r="F64" s="3214">
        <f t="shared" si="15"/>
        <v>0</v>
      </c>
      <c r="G64" s="1943" t="s">
        <v>1678</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570</v>
      </c>
      <c r="B65" s="637">
        <f t="shared" si="17"/>
        <v>0</v>
      </c>
      <c r="C65" s="377">
        <f t="shared" si="16"/>
        <v>0</v>
      </c>
      <c r="D65" s="2226">
        <v>0.25</v>
      </c>
      <c r="E65" s="640">
        <f>'数据-汇总表'!E13</f>
        <v>9122</v>
      </c>
      <c r="F65" s="3214">
        <f t="shared" si="15"/>
        <v>0</v>
      </c>
      <c r="G65" s="1943" t="s">
        <v>923</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571</v>
      </c>
      <c r="B66" s="637">
        <f t="shared" si="17"/>
        <v>0</v>
      </c>
      <c r="C66" s="377">
        <f t="shared" si="16"/>
        <v>0</v>
      </c>
      <c r="D66" s="2226">
        <v>0.25</v>
      </c>
      <c r="E66" s="640">
        <f>'数据-汇总表'!E14</f>
        <v>0</v>
      </c>
      <c r="F66" s="635">
        <f t="shared" si="15"/>
        <v>0</v>
      </c>
      <c r="G66" s="1942" t="s">
        <v>2282</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572</v>
      </c>
      <c r="B67" s="637">
        <f t="shared" si="17"/>
        <v>0</v>
      </c>
      <c r="C67" s="377">
        <f t="shared" si="16"/>
        <v>0</v>
      </c>
      <c r="D67" s="2226">
        <v>0.25</v>
      </c>
      <c r="E67" s="640">
        <f>'数据-汇总表'!E15</f>
        <v>0</v>
      </c>
      <c r="F67" s="635">
        <f t="shared" si="15"/>
        <v>0</v>
      </c>
      <c r="G67" s="1944" t="s">
        <v>2283</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573</v>
      </c>
      <c r="B68" s="642" t="s">
        <v>17</v>
      </c>
      <c r="C68" s="642" t="s">
        <v>18</v>
      </c>
      <c r="D68" s="642" t="s">
        <v>2294</v>
      </c>
      <c r="E68" s="642">
        <f>IF(B48="楼面地价",SUM(E58:E67),'数据-汇总表'!D3)</f>
        <v>59412</v>
      </c>
      <c r="F68" s="643">
        <f>IF(B48="楼面地价",SUM(F58:F67),ROUND(C50*E68/10000,0))</f>
        <v>152698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6" customFormat="1" ht="15">
      <c r="A72" s="2589" t="s">
        <v>2533</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1678</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2647</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531</v>
      </c>
      <c r="B75" s="647"/>
      <c r="C75" s="659" t="s">
        <v>576</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577</v>
      </c>
      <c r="B77" s="664" t="s">
        <v>534</v>
      </c>
      <c r="C77" s="597"/>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537</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v>6</v>
      </c>
      <c r="J82" s="540">
        <v>7</v>
      </c>
      <c r="K82" s="683">
        <v>8</v>
      </c>
      <c r="L82" s="683">
        <v>9</v>
      </c>
      <c r="M82" s="685">
        <v>10</v>
      </c>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99.5</v>
      </c>
      <c r="E83" s="678">
        <f t="shared" ref="E83:M83" si="21">IF($B$48="单位面积地价",D83+$K13,D83-$K13)</f>
        <v>99</v>
      </c>
      <c r="F83" s="678">
        <f t="shared" si="21"/>
        <v>98.5</v>
      </c>
      <c r="G83" s="678">
        <f t="shared" si="21"/>
        <v>98</v>
      </c>
      <c r="H83" s="678">
        <f t="shared" si="21"/>
        <v>97.5</v>
      </c>
      <c r="I83" s="678">
        <f t="shared" si="21"/>
        <v>97</v>
      </c>
      <c r="J83" s="678">
        <f t="shared" si="21"/>
        <v>96.5</v>
      </c>
      <c r="K83" s="678">
        <f t="shared" si="21"/>
        <v>96</v>
      </c>
      <c r="L83" s="678">
        <f t="shared" si="21"/>
        <v>95.5</v>
      </c>
      <c r="M83" s="678">
        <f t="shared" si="21"/>
        <v>95</v>
      </c>
      <c r="N83" s="2163"/>
      <c r="O83" s="2163"/>
      <c r="P83" s="2162"/>
      <c r="Q83" s="2155"/>
      <c r="R83" s="2142"/>
      <c r="S83" s="2142"/>
      <c r="T83" s="2142"/>
      <c r="U83" s="2142"/>
      <c r="V83" s="2142"/>
      <c r="W83" s="2142"/>
      <c r="X83" s="2142"/>
      <c r="Y83" s="2142"/>
      <c r="Z83" s="2142"/>
      <c r="AA83" s="2142"/>
      <c r="AB83" s="2142"/>
      <c r="AC83" s="2142"/>
    </row>
    <row r="84" spans="1:29" s="1338" customFormat="1" ht="15.75" thickTop="1">
      <c r="A84" s="686"/>
      <c r="B84" s="672" t="str">
        <f>B14</f>
        <v>配建</v>
      </c>
      <c r="C84" s="687"/>
      <c r="D84" s="1374"/>
      <c r="E84" s="1375"/>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539</v>
      </c>
      <c r="B90" s="664" t="s">
        <v>578</v>
      </c>
      <c r="C90" s="702" t="s">
        <v>579</v>
      </c>
      <c r="D90" s="702" t="s">
        <v>580</v>
      </c>
      <c r="E90" s="702" t="s">
        <v>581</v>
      </c>
      <c r="F90" s="702" t="s">
        <v>582</v>
      </c>
      <c r="G90" s="702" t="s">
        <v>583</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584</v>
      </c>
      <c r="C92" s="707" t="s">
        <v>579</v>
      </c>
      <c r="D92" s="707" t="s">
        <v>580</v>
      </c>
      <c r="E92" s="707" t="s">
        <v>581</v>
      </c>
      <c r="F92" s="707" t="s">
        <v>582</v>
      </c>
      <c r="G92" s="707" t="s">
        <v>583</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585</v>
      </c>
      <c r="C94" s="707" t="s">
        <v>579</v>
      </c>
      <c r="D94" s="707" t="s">
        <v>580</v>
      </c>
      <c r="E94" s="707" t="s">
        <v>581</v>
      </c>
      <c r="F94" s="707" t="s">
        <v>582</v>
      </c>
      <c r="G94" s="707" t="s">
        <v>583</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97</v>
      </c>
      <c r="E95" s="678">
        <f>D95-$K21</f>
        <v>94</v>
      </c>
      <c r="F95" s="678">
        <f>E95-$K21</f>
        <v>91</v>
      </c>
      <c r="G95" s="678">
        <f>F95-$K21</f>
        <v>88</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586</v>
      </c>
      <c r="C96" s="707" t="s">
        <v>579</v>
      </c>
      <c r="D96" s="707" t="s">
        <v>580</v>
      </c>
      <c r="E96" s="707" t="s">
        <v>581</v>
      </c>
      <c r="F96" s="707" t="s">
        <v>582</v>
      </c>
      <c r="G96" s="707" t="s">
        <v>583</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2549</v>
      </c>
      <c r="C102" s="702" t="s">
        <v>579</v>
      </c>
      <c r="D102" s="702" t="s">
        <v>580</v>
      </c>
      <c r="E102" s="702" t="s">
        <v>581</v>
      </c>
      <c r="F102" s="702" t="s">
        <v>582</v>
      </c>
      <c r="G102" s="702" t="s">
        <v>583</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2551</v>
      </c>
      <c r="C104" s="2619" t="s">
        <v>2552</v>
      </c>
      <c r="D104" s="2619" t="s">
        <v>2553</v>
      </c>
      <c r="E104" s="2619" t="s">
        <v>2554</v>
      </c>
      <c r="F104" s="2619" t="s">
        <v>2555</v>
      </c>
      <c r="G104" s="2619" t="s">
        <v>2556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548</v>
      </c>
      <c r="C108" s="3183" t="s">
        <v>3100</v>
      </c>
      <c r="D108" s="3183" t="s">
        <v>3102</v>
      </c>
      <c r="E108" s="3183" t="s">
        <v>3104</v>
      </c>
      <c r="F108" s="3183" t="s">
        <v>3106</v>
      </c>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549</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10" t="str">
        <f t="shared" si="25"/>
        <v>(含)-</v>
      </c>
      <c r="K118" s="3110" t="str">
        <f t="shared" si="25"/>
        <v>(含)-</v>
      </c>
      <c r="L118" s="3111" t="str">
        <f t="shared" si="25"/>
        <v>(含)-</v>
      </c>
      <c r="M118" s="311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50000</v>
      </c>
      <c r="E119" s="729">
        <v>100000</v>
      </c>
      <c r="F119" s="729"/>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98</v>
      </c>
      <c r="E120" s="725">
        <v>96</v>
      </c>
      <c r="F120" s="725"/>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594</v>
      </c>
      <c r="C121" s="3186" t="s">
        <v>3119</v>
      </c>
      <c r="D121" s="3186" t="s">
        <v>3121</v>
      </c>
      <c r="E121" s="3186" t="s">
        <v>3123</v>
      </c>
      <c r="F121" s="3186" t="s">
        <v>3125</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95</v>
      </c>
      <c r="E122" s="678">
        <f t="shared" si="26"/>
        <v>90</v>
      </c>
      <c r="F122" s="678">
        <f t="shared" si="26"/>
        <v>85</v>
      </c>
      <c r="G122" s="678">
        <f t="shared" si="26"/>
        <v>80</v>
      </c>
      <c r="H122" s="678">
        <f t="shared" si="26"/>
        <v>75</v>
      </c>
      <c r="I122" s="678">
        <f t="shared" si="26"/>
        <v>70</v>
      </c>
      <c r="J122" s="678">
        <f t="shared" si="26"/>
        <v>65</v>
      </c>
      <c r="K122" s="678">
        <f t="shared" si="26"/>
        <v>60</v>
      </c>
      <c r="L122" s="678">
        <f t="shared" si="26"/>
        <v>55</v>
      </c>
      <c r="M122" s="679">
        <f t="shared" si="26"/>
        <v>50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595</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2426</v>
      </c>
      <c r="C125" s="1374" t="s">
        <v>3093</v>
      </c>
      <c r="D125" s="1374" t="s">
        <v>3095</v>
      </c>
      <c r="E125" s="1374" t="s">
        <v>3096</v>
      </c>
      <c r="F125" s="1374" t="s">
        <v>3097</v>
      </c>
      <c r="G125" s="1374" t="s">
        <v>3099</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596</v>
      </c>
      <c r="C127" s="687"/>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9" sqref="F1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0"/>
      <c r="C1" s="2101"/>
      <c r="D1" s="2101"/>
      <c r="E1" s="2101"/>
      <c r="F1" s="2101"/>
      <c r="G1" s="2101"/>
      <c r="H1" s="2101"/>
      <c r="I1" s="2101"/>
      <c r="J1" s="2101"/>
      <c r="K1" s="421">
        <f>MATCH(B1,'数据-取费表'!A6:A16,0)+5</f>
        <v>7</v>
      </c>
    </row>
    <row r="2" spans="1:31" s="2038" customFormat="1" ht="18" customHeight="1">
      <c r="A2" s="2098" t="s">
        <v>467</v>
      </c>
      <c r="B2" s="2102">
        <f ca="1">C36</f>
        <v>132830</v>
      </c>
      <c r="C2" s="2101"/>
      <c r="D2" s="2101"/>
      <c r="E2" s="2101"/>
      <c r="F2" s="2101"/>
      <c r="G2" s="2101"/>
      <c r="H2" s="2101"/>
      <c r="I2" s="2101"/>
      <c r="J2" s="2101"/>
      <c r="K2" s="2101"/>
    </row>
    <row r="3" spans="1:31" s="2038" customFormat="1" ht="18" customHeight="1">
      <c r="A3" s="2103" t="s">
        <v>1685</v>
      </c>
      <c r="B3" s="2104">
        <f ca="1">ROUND(B2*10000/IF(B1="",'数据-汇总表'!E3,INDIRECT("'数据-取费表'!K"&amp;$K$1)),0)</f>
        <v>20538</v>
      </c>
      <c r="C3" s="2101"/>
      <c r="D3" s="2101"/>
      <c r="E3" s="2101"/>
      <c r="F3" s="2101"/>
      <c r="G3" s="2101"/>
      <c r="H3" s="2101"/>
      <c r="I3" s="2101"/>
      <c r="J3" s="2101"/>
      <c r="K3" s="2101"/>
    </row>
    <row r="4" spans="1:31" s="2038" customFormat="1" ht="18" customHeight="1">
      <c r="A4" s="425" t="s">
        <v>468</v>
      </c>
      <c r="B4" s="426">
        <f ca="1">ROUND(B2*10000/IF(B1="",'数据-汇总表'!D3,INDIRECT("'数据-取费表'!R"&amp;$K$1)),0)</f>
        <v>108547</v>
      </c>
      <c r="C4" s="427"/>
      <c r="D4" s="421"/>
      <c r="E4" s="421"/>
      <c r="F4" s="421"/>
      <c r="G4" s="421"/>
      <c r="H4" s="421"/>
      <c r="I4" s="421"/>
      <c r="J4" s="421"/>
      <c r="K4" s="421"/>
    </row>
    <row r="5" spans="1:31" s="2038" customFormat="1" ht="18" customHeight="1" thickBot="1">
      <c r="A5" s="428"/>
      <c r="B5" s="429">
        <f ca="1">ROUND(B2/(IF(B1="",'数据-汇总表'!D3,INDIRECT("'数据-取费表'!R"&amp;$K$1))/666.67),0)</f>
        <v>7236</v>
      </c>
      <c r="C5" s="430" t="s">
        <v>469</v>
      </c>
      <c r="D5" s="421"/>
      <c r="E5" s="421"/>
      <c r="F5" s="421"/>
      <c r="G5" s="421"/>
      <c r="H5" s="421"/>
      <c r="I5" s="421"/>
      <c r="J5" s="421"/>
      <c r="K5" s="421"/>
    </row>
    <row r="6" spans="1:31" s="2108" customFormat="1" ht="16.5" customHeight="1">
      <c r="A6" s="2849" t="s">
        <v>1843</v>
      </c>
      <c r="B6" s="2850"/>
      <c r="C6" s="2851">
        <f ca="1">SUM(C10:K10)</f>
        <v>209424.38920000001</v>
      </c>
      <c r="D6" s="2850"/>
      <c r="E6" s="2850"/>
      <c r="F6" s="2850"/>
      <c r="G6" s="2850"/>
      <c r="H6" s="2850"/>
      <c r="I6" s="2850"/>
      <c r="J6" s="2850"/>
      <c r="K6" s="2852"/>
    </row>
    <row r="7" spans="1:31" s="2110" customFormat="1" ht="15">
      <c r="A7" s="2853" t="s">
        <v>470</v>
      </c>
      <c r="B7" s="2854" t="s">
        <v>471</v>
      </c>
      <c r="C7" s="435" t="s">
        <v>1678</v>
      </c>
      <c r="D7" s="435" t="s">
        <v>35</v>
      </c>
      <c r="E7" s="435" t="s">
        <v>3082</v>
      </c>
      <c r="F7" s="435" t="s">
        <v>3142</v>
      </c>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1846</v>
      </c>
      <c r="B8" s="260" t="s">
        <v>472</v>
      </c>
      <c r="C8" s="2855">
        <f>'不动产比较法-办公'!B3</f>
        <v>41055</v>
      </c>
      <c r="D8" s="2855">
        <f>'不动产比较法-车位'!B3</f>
        <v>12199</v>
      </c>
      <c r="E8" s="2855">
        <f ca="1">不动产收益法!B3</f>
        <v>12513</v>
      </c>
      <c r="F8" s="2855">
        <f>C8*0.6</f>
        <v>24633</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1847</v>
      </c>
      <c r="B9" s="260" t="s">
        <v>473</v>
      </c>
      <c r="C9" s="440">
        <f>SUMIF('数据-汇总表'!$C19:$C33,'剩余法-待开发'!C7,'数据-汇总表'!$E19:$E33)</f>
        <v>46611</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1848</v>
      </c>
      <c r="B10" s="2843" t="s">
        <v>474</v>
      </c>
      <c r="C10" s="3048">
        <f>'不动产比较法-办公'!B2</f>
        <v>191361</v>
      </c>
      <c r="D10" s="3048">
        <f>'不动产比较法-车位'!B2</f>
        <v>11128</v>
      </c>
      <c r="E10" s="3048">
        <f ca="1">不动产收益法!B2</f>
        <v>2196</v>
      </c>
      <c r="F10" s="2858">
        <f>F8*F9/10000</f>
        <v>4739.3891999999996</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1844</v>
      </c>
      <c r="B11" s="2850"/>
      <c r="C11" s="2850"/>
      <c r="D11" s="2850"/>
      <c r="E11" s="2850"/>
      <c r="F11" s="2850"/>
      <c r="G11" s="2850"/>
      <c r="H11" s="2850"/>
      <c r="I11" s="2850"/>
      <c r="J11" s="2850"/>
      <c r="K11" s="2852"/>
    </row>
    <row r="12" spans="1:31" s="2082" customFormat="1" ht="13.5" customHeight="1">
      <c r="A12" s="2861" t="s">
        <v>470</v>
      </c>
      <c r="B12" s="2833" t="s">
        <v>471</v>
      </c>
      <c r="C12" s="2862" t="s">
        <v>475</v>
      </c>
      <c r="D12" s="2829" t="s">
        <v>476</v>
      </c>
      <c r="E12" s="2829" t="s">
        <v>477</v>
      </c>
      <c r="F12" s="2829" t="s">
        <v>478</v>
      </c>
      <c r="G12" s="2833"/>
      <c r="H12" s="2834"/>
      <c r="I12" s="2834"/>
      <c r="J12" s="2834"/>
      <c r="K12" s="2835"/>
    </row>
    <row r="13" spans="1:31" s="2113" customFormat="1" ht="13.5" customHeight="1">
      <c r="A13" s="2863" t="s">
        <v>1849</v>
      </c>
      <c r="B13" s="2864" t="s">
        <v>479</v>
      </c>
      <c r="C13" s="449">
        <f ca="1">IF(B1="",'数据-取费表'!P16,INDIRECT("'数据-取费表'!p"&amp;$K$1)+INDIRECT("'数据-取费表'!t"&amp;$K$1))</f>
        <v>18361</v>
      </c>
      <c r="D13" s="2865"/>
      <c r="E13" s="2866"/>
      <c r="F13" s="2867"/>
      <c r="G13" s="2833"/>
      <c r="H13" s="2834"/>
      <c r="I13" s="2834"/>
      <c r="J13" s="2834"/>
      <c r="K13" s="2835"/>
    </row>
    <row r="14" spans="1:31" s="2113" customFormat="1" ht="13.5" customHeight="1">
      <c r="A14" s="2863" t="s">
        <v>1850</v>
      </c>
      <c r="B14" s="2864" t="s">
        <v>480</v>
      </c>
      <c r="C14" s="53">
        <f ca="1">ROUND(C13*F14,0)</f>
        <v>551</v>
      </c>
      <c r="D14" s="2865"/>
      <c r="E14" s="2866"/>
      <c r="F14" s="2868">
        <f>'数据-取费表'!B33</f>
        <v>0.03</v>
      </c>
      <c r="G14" s="2833" t="s">
        <v>481</v>
      </c>
      <c r="H14" s="2834"/>
      <c r="I14" s="2834"/>
      <c r="J14" s="2834"/>
      <c r="K14" s="2835"/>
    </row>
    <row r="15" spans="1:31" s="2113" customFormat="1" ht="13.5" customHeight="1">
      <c r="A15" s="2863" t="s">
        <v>1851</v>
      </c>
      <c r="B15" s="2864" t="s">
        <v>482</v>
      </c>
      <c r="C15" s="53">
        <f ca="1">ROUND(IF(B1="",SUMIF('数据-取费表'!C:C,"住宅",'数据-取费表'!P:P)*F15,IF(INDIRECT("'数据-取费表'!c"&amp;$K$1)="住宅",INDIRECT("'数据-取费表'!P"&amp;$K$1)*F15,0)),0)</f>
        <v>0</v>
      </c>
      <c r="D15" s="2865"/>
      <c r="E15" s="2866"/>
      <c r="F15" s="2868">
        <f>'数据-取费表'!B34</f>
        <v>0</v>
      </c>
      <c r="G15" s="2833" t="s">
        <v>483</v>
      </c>
      <c r="H15" s="2834"/>
      <c r="I15" s="2834"/>
      <c r="J15" s="2834"/>
      <c r="K15" s="2835"/>
    </row>
    <row r="16" spans="1:31" s="2114" customFormat="1" ht="13.5" customHeight="1">
      <c r="A16" s="2863" t="s">
        <v>1852</v>
      </c>
      <c r="B16" s="2864" t="s">
        <v>484</v>
      </c>
      <c r="C16" s="53">
        <f ca="1">ROUND(D16*E16/10000,0)</f>
        <v>1293</v>
      </c>
      <c r="D16" s="2865">
        <f ca="1">IF(B1="",'数据-汇总表'!E3,INDIRECT("'数据-取费表'!K"&amp;$K$1)+INDIRECT("'数据-取费表'!S"&amp;$K$1))</f>
        <v>64674</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1853</v>
      </c>
      <c r="B17" s="2864" t="s">
        <v>485</v>
      </c>
      <c r="C17" s="2869">
        <f ca="1">ROUND(C13*F17,0)</f>
        <v>275</v>
      </c>
      <c r="D17" s="474"/>
      <c r="E17" s="2869"/>
      <c r="F17" s="2870">
        <f>'数据-取费表'!B36</f>
        <v>1.4999999999999999E-2</v>
      </c>
      <c r="G17" s="260" t="s">
        <v>486</v>
      </c>
      <c r="H17" s="2836"/>
      <c r="I17" s="2836"/>
      <c r="J17" s="2836"/>
      <c r="K17" s="278"/>
    </row>
    <row r="18" spans="1:14" s="2113" customFormat="1" ht="13.5" customHeight="1">
      <c r="A18" s="2871" t="s">
        <v>1854</v>
      </c>
      <c r="B18" s="2872" t="s">
        <v>487</v>
      </c>
      <c r="C18" s="2873">
        <f ca="1">SUM(C13:C17)</f>
        <v>20480</v>
      </c>
      <c r="D18" s="2874"/>
      <c r="E18" s="467"/>
      <c r="F18" s="467"/>
      <c r="G18" s="2837" t="s">
        <v>2431</v>
      </c>
      <c r="H18" s="2838"/>
      <c r="I18" s="2838"/>
      <c r="J18" s="2838"/>
      <c r="K18" s="2839"/>
    </row>
    <row r="19" spans="1:14" s="2113" customFormat="1" ht="13.5" customHeight="1">
      <c r="A19" s="2871" t="s">
        <v>1855</v>
      </c>
      <c r="B19" s="2872" t="s">
        <v>488</v>
      </c>
      <c r="C19" s="2829">
        <f ca="1">ROUND(D19*E19/10000,0)</f>
        <v>1293</v>
      </c>
      <c r="D19" s="2875">
        <f ca="1">D16</f>
        <v>64674</v>
      </c>
      <c r="E19" s="2829">
        <f>'数据-取费表'!B32</f>
        <v>200</v>
      </c>
      <c r="F19" s="467"/>
      <c r="G19" s="2833" t="s">
        <v>489</v>
      </c>
      <c r="H19" s="2834"/>
      <c r="I19" s="2838"/>
      <c r="J19" s="2838"/>
      <c r="K19" s="2839"/>
    </row>
    <row r="20" spans="1:14" s="2113" customFormat="1" ht="13.5" customHeight="1">
      <c r="A20" s="2871" t="s">
        <v>1856</v>
      </c>
      <c r="B20" s="2872" t="s">
        <v>490</v>
      </c>
      <c r="C20" s="2829">
        <f ca="1">C21+C22-IF(B1="",'数据-取费表'!B29,IF(G20="已全部缴纳",C21+C22,H20))</f>
        <v>1293</v>
      </c>
      <c r="D20" s="2875"/>
      <c r="E20" s="2829"/>
      <c r="F20" s="2876"/>
      <c r="G20" s="3106"/>
      <c r="H20" s="2831"/>
      <c r="I20" s="2832" t="s">
        <v>2651</v>
      </c>
      <c r="J20" s="2838"/>
      <c r="K20" s="2839"/>
    </row>
    <row r="21" spans="1:14" s="2113" customFormat="1" ht="13.5" customHeight="1">
      <c r="A21" s="2863" t="s">
        <v>1857</v>
      </c>
      <c r="B21" s="2864" t="s">
        <v>491</v>
      </c>
      <c r="C21" s="53">
        <f ca="1">ROUND(D21*E21/10000,0)</f>
        <v>0</v>
      </c>
      <c r="D21" s="2865">
        <f ca="1">IF(B1="",'数据-汇总表'!E5,IF(INDIRECT("'数据-取费表'!c"&amp;$K$1)="住宅",INDIRECT("'数据-取费表'!k"&amp;$K$1),0))</f>
        <v>0</v>
      </c>
      <c r="E21" s="53">
        <f>'数据-取费表'!B27</f>
        <v>0</v>
      </c>
      <c r="F21" s="2868"/>
      <c r="G21" s="26"/>
      <c r="H21" s="51"/>
      <c r="I21" s="51"/>
      <c r="J21" s="51"/>
      <c r="K21" s="2840"/>
    </row>
    <row r="22" spans="1:14" s="2113" customFormat="1" ht="13.5" customHeight="1">
      <c r="A22" s="2863" t="s">
        <v>1858</v>
      </c>
      <c r="B22" s="2864" t="s">
        <v>492</v>
      </c>
      <c r="C22" s="53">
        <f ca="1">ROUND(D22*E22/10000,0)</f>
        <v>1293</v>
      </c>
      <c r="D22" s="2865">
        <f ca="1">IF(B1="",'数据-汇总表'!E6,IF(INDIRECT("'数据-取费表'!c"&amp;$K$1)="住宅",INDIRECT("'数据-取费表'!s"&amp;$K$1),INDIRECT("'数据-取费表'!k"&amp;$K$1)+INDIRECT("'数据-取费表'!s"&amp;$K$1)))</f>
        <v>64674</v>
      </c>
      <c r="E22" s="53">
        <f>'数据-取费表'!B28</f>
        <v>200</v>
      </c>
      <c r="F22" s="2868"/>
      <c r="G22" s="26"/>
      <c r="H22" s="51"/>
      <c r="I22" s="51"/>
      <c r="J22" s="51"/>
      <c r="K22" s="2840"/>
    </row>
    <row r="23" spans="1:14" s="2113" customFormat="1" ht="13.5" customHeight="1">
      <c r="A23" s="2871" t="s">
        <v>1859</v>
      </c>
      <c r="B23" s="3054" t="s">
        <v>2834</v>
      </c>
      <c r="C23" s="2873">
        <f ca="1">ROUND((C18+C19+C20)*F23,0)</f>
        <v>461</v>
      </c>
      <c r="D23" s="467"/>
      <c r="E23" s="467"/>
      <c r="F23" s="2877">
        <f>'数据-取费表'!B37</f>
        <v>0.02</v>
      </c>
      <c r="G23" s="2833" t="s">
        <v>2432</v>
      </c>
      <c r="H23" s="2834"/>
      <c r="I23" s="2834"/>
      <c r="J23" s="2834"/>
      <c r="K23" s="2835"/>
      <c r="L23" s="2115"/>
      <c r="M23" s="2115"/>
      <c r="N23" s="2115"/>
    </row>
    <row r="24" spans="1:14" s="2113" customFormat="1" ht="13.5" customHeight="1">
      <c r="A24" s="2871" t="s">
        <v>1860</v>
      </c>
      <c r="B24" s="3054" t="s">
        <v>2837</v>
      </c>
      <c r="C24" s="2873">
        <f ca="1">ROUND(C6*F24,0)</f>
        <v>4188</v>
      </c>
      <c r="D24" s="474"/>
      <c r="E24" s="472"/>
      <c r="F24" s="2877">
        <f>'数据-取费表'!B38</f>
        <v>0.02</v>
      </c>
      <c r="G24" s="2842" t="s">
        <v>499</v>
      </c>
      <c r="H24" s="2836"/>
      <c r="I24" s="2836"/>
      <c r="J24" s="2836"/>
      <c r="K24" s="278"/>
      <c r="L24" s="2115"/>
      <c r="M24" s="2115"/>
      <c r="N24" s="2115"/>
    </row>
    <row r="25" spans="1:14" s="2116" customFormat="1" ht="13.5" customHeight="1">
      <c r="A25" s="2871" t="s">
        <v>1861</v>
      </c>
      <c r="B25" s="3054" t="s">
        <v>2835</v>
      </c>
      <c r="C25" s="466">
        <f>ROUND(F25/(1+'数据-取费表'!C42),4)</f>
        <v>2.9000000000000001E-2</v>
      </c>
      <c r="D25" s="461" t="s">
        <v>2829</v>
      </c>
      <c r="E25" s="468"/>
      <c r="F25" s="2877">
        <f>'数据-取费表'!B48+'数据-取费表'!B49</f>
        <v>3.0499999999999999E-2</v>
      </c>
      <c r="G25" s="2841" t="s">
        <v>2289</v>
      </c>
      <c r="H25" s="2834"/>
      <c r="I25" s="2834"/>
      <c r="J25" s="2834"/>
      <c r="K25" s="2835"/>
    </row>
    <row r="26" spans="1:14" s="2115" customFormat="1" ht="13.5" customHeight="1">
      <c r="A26" s="2871" t="s">
        <v>1862</v>
      </c>
      <c r="B26" s="3055" t="s">
        <v>2836</v>
      </c>
      <c r="C26" s="2878">
        <f ca="1">C28</f>
        <v>982</v>
      </c>
      <c r="D26" s="466">
        <f ca="1">C27</f>
        <v>7.4200000000000002E-2</v>
      </c>
      <c r="E26" s="468" t="s">
        <v>495</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1857</v>
      </c>
      <c r="B27" s="2879" t="s">
        <v>496</v>
      </c>
      <c r="C27" s="2880">
        <f ca="1">ROUND(IF('数据-取费表'!B22&lt;=1,(1+C25)*F26*'数据-取费表'!B24,(1+C25)*(POWER((1+F26),'数据-取费表'!B24)-1)),4)</f>
        <v>7.4200000000000002E-2</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1858</v>
      </c>
      <c r="B28" s="2879" t="s">
        <v>2838</v>
      </c>
      <c r="C28" s="2881">
        <f ca="1">ROUND(IF('数据-取费表'!B22&lt;=1,(C18+C19+C20+C23+C24)*F26*'数据-取费表'!B24/2,(C18+C19+C20+C23+C24)*(POWER((1+F26),'数据-取费表'!B24/2)-1)),0)</f>
        <v>982</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1863</v>
      </c>
      <c r="B29" s="2872" t="s">
        <v>497</v>
      </c>
      <c r="C29" s="2873">
        <f ca="1">ROUND(C6*F29/(1+'数据-取费表'!C42),0)</f>
        <v>11169</v>
      </c>
      <c r="D29" s="467"/>
      <c r="E29" s="467"/>
      <c r="F29" s="3056">
        <f>'数据-取费表'!B41</f>
        <v>5.6000000000000001E-2</v>
      </c>
      <c r="G29" s="2842" t="s">
        <v>498</v>
      </c>
      <c r="H29" s="2834"/>
      <c r="I29" s="2834"/>
      <c r="J29" s="2834"/>
      <c r="K29" s="2835"/>
    </row>
    <row r="30" spans="1:14" s="2118" customFormat="1" ht="13.5" customHeight="1">
      <c r="A30" s="1633" t="s">
        <v>1864</v>
      </c>
      <c r="B30" s="2883" t="s">
        <v>500</v>
      </c>
      <c r="C30" s="2878">
        <f ca="1">C31</f>
        <v>39866</v>
      </c>
      <c r="D30" s="476">
        <f ca="1">C32</f>
        <v>0.1032</v>
      </c>
      <c r="E30" s="468" t="s">
        <v>495</v>
      </c>
      <c r="F30" s="470"/>
      <c r="G30" s="2841" t="s">
        <v>2969</v>
      </c>
      <c r="H30" s="2834"/>
      <c r="I30" s="2834"/>
      <c r="J30" s="2834"/>
      <c r="K30" s="2835"/>
    </row>
    <row r="31" spans="1:14" s="2117" customFormat="1" ht="13.5" customHeight="1">
      <c r="A31" s="802" t="s">
        <v>1857</v>
      </c>
      <c r="B31" s="2879"/>
      <c r="C31" s="449">
        <f ca="1">C18+C19+C20+C23+C24+C26+C29</f>
        <v>39866</v>
      </c>
      <c r="D31" s="471"/>
      <c r="E31" s="472"/>
      <c r="F31" s="473"/>
      <c r="G31" s="260"/>
      <c r="H31" s="2836"/>
      <c r="I31" s="2836"/>
      <c r="J31" s="2836"/>
      <c r="K31" s="278"/>
    </row>
    <row r="32" spans="1:14" s="2117" customFormat="1" ht="13.5" customHeight="1">
      <c r="A32" s="802" t="s">
        <v>1858</v>
      </c>
      <c r="B32" s="2879"/>
      <c r="C32" s="53">
        <f ca="1">ROUND(C25+D26,4)</f>
        <v>0.1032</v>
      </c>
      <c r="D32" s="471"/>
      <c r="E32" s="472"/>
      <c r="F32" s="473"/>
      <c r="G32" s="260"/>
      <c r="H32" s="2836"/>
      <c r="I32" s="2836"/>
      <c r="J32" s="2836"/>
      <c r="K32" s="278"/>
    </row>
    <row r="33" spans="1:11" s="2119" customFormat="1" ht="13.5" customHeight="1">
      <c r="A33" s="3053" t="s">
        <v>2833</v>
      </c>
      <c r="B33" s="3051" t="s">
        <v>2831</v>
      </c>
      <c r="C33" s="477">
        <f ca="1">C35</f>
        <v>3880</v>
      </c>
      <c r="D33" s="466">
        <f ca="1">C34</f>
        <v>0.14410000000000001</v>
      </c>
      <c r="E33" s="468" t="s">
        <v>495</v>
      </c>
      <c r="F33" s="478">
        <f ca="1">IF(B1="",'数据-取费表'!Q16,INDIRECT("'数据-取费表'!q"&amp;$K$1))</f>
        <v>0.14000000000000001</v>
      </c>
      <c r="G33" s="2837"/>
      <c r="H33" s="2838"/>
      <c r="I33" s="2838"/>
      <c r="J33" s="2838"/>
      <c r="K33" s="2839"/>
    </row>
    <row r="34" spans="1:11" s="2120" customFormat="1" ht="13.5" customHeight="1">
      <c r="A34" s="374" t="s">
        <v>1857</v>
      </c>
      <c r="B34" s="2884" t="s">
        <v>501</v>
      </c>
      <c r="C34" s="471">
        <f ca="1">ROUND((1+C25)*F33,4)</f>
        <v>0.14410000000000001</v>
      </c>
      <c r="D34" s="471"/>
      <c r="E34" s="472"/>
      <c r="F34" s="479"/>
      <c r="G34" s="260" t="s">
        <v>2290</v>
      </c>
      <c r="H34" s="2836"/>
      <c r="I34" s="2836"/>
      <c r="J34" s="2836"/>
      <c r="K34" s="278"/>
    </row>
    <row r="35" spans="1:11" s="2120" customFormat="1" ht="13.5" customHeight="1" thickBot="1">
      <c r="A35" s="1634" t="s">
        <v>1858</v>
      </c>
      <c r="B35" s="3052" t="s">
        <v>2839</v>
      </c>
      <c r="C35" s="1626">
        <f ca="1">ROUND((C18+C19+C20+C23+C24)*F33,0)</f>
        <v>3880</v>
      </c>
      <c r="D35" s="1627"/>
      <c r="E35" s="2885"/>
      <c r="F35" s="1628"/>
      <c r="G35" s="2843"/>
      <c r="H35" s="2844"/>
      <c r="I35" s="2844"/>
      <c r="J35" s="2844"/>
      <c r="K35" s="2845"/>
    </row>
    <row r="36" spans="1:11" s="2082" customFormat="1" ht="13.5" customHeight="1" thickBot="1">
      <c r="A36" s="283" t="s">
        <v>1845</v>
      </c>
      <c r="B36" s="2847"/>
      <c r="C36" s="2886">
        <f ca="1">ROUND((C6-C30-C33)/(1+D30+D33),0)</f>
        <v>132830</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26" t="str">
        <f>项目基本情况!B1</f>
        <v>北京市海淀区“海淀北部地区整体开发”中关村环保科技园HD-0303-0071地块出让国有建设用地使用权抵押价格预评估</v>
      </c>
      <c r="C37" s="3226"/>
      <c r="D37" s="3226"/>
      <c r="E37" s="3226"/>
      <c r="F37" s="3226"/>
      <c r="G37" s="3226"/>
      <c r="H37" s="3226"/>
      <c r="I37" s="3226"/>
    </row>
    <row r="38" spans="1:9">
      <c r="A38" s="1654"/>
      <c r="B38" s="1654"/>
    </row>
    <row r="39" spans="1:9">
      <c r="A39" s="1652" t="s">
        <v>1902</v>
      </c>
      <c r="B39" s="1652" t="s">
        <v>2046</v>
      </c>
    </row>
    <row r="40" spans="1:9">
      <c r="A40" s="1652"/>
      <c r="B40" s="1652" t="str">
        <f>项目基本情况!B5</f>
        <v>北京龙湖京佰置业有限公司</v>
      </c>
    </row>
    <row r="41" spans="1:9">
      <c r="A41" s="1652"/>
      <c r="B41" s="1652"/>
    </row>
    <row r="42" spans="1:9">
      <c r="A42" s="1652" t="s">
        <v>1902</v>
      </c>
      <c r="B42" s="1652" t="s">
        <v>2047</v>
      </c>
    </row>
    <row r="43" spans="1:9">
      <c r="A43" s="1652"/>
      <c r="B43" s="1652" t="s">
        <v>1904</v>
      </c>
    </row>
    <row r="44" spans="1:9">
      <c r="A44" s="1652"/>
      <c r="B44" s="1652"/>
    </row>
    <row r="45" spans="1:9">
      <c r="A45" s="1652" t="s">
        <v>1902</v>
      </c>
      <c r="B45" s="1652" t="s">
        <v>2045</v>
      </c>
    </row>
    <row r="46" spans="1:9" s="1652" customFormat="1" ht="12.75">
      <c r="B46" s="1652" t="str">
        <f>项目基本情况!K4</f>
        <v>刘梅、吴薇</v>
      </c>
    </row>
    <row r="47" spans="1:9">
      <c r="A47" s="1652"/>
      <c r="B47" s="1652"/>
    </row>
    <row r="48" spans="1:9">
      <c r="A48" s="1652" t="s">
        <v>1902</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466</v>
      </c>
      <c r="B1" s="2830"/>
      <c r="C1" s="2101"/>
      <c r="D1" s="2101"/>
      <c r="E1" s="2101"/>
      <c r="F1" s="2101"/>
      <c r="G1" s="2101"/>
      <c r="H1" s="2101"/>
      <c r="I1" s="2101"/>
      <c r="J1" s="2101"/>
      <c r="K1" s="421">
        <f>MATCH(B1,'数据-取费表'!A6:A16,0)+5</f>
        <v>7</v>
      </c>
    </row>
    <row r="2" spans="1:41" s="2038" customFormat="1" ht="18" customHeight="1">
      <c r="A2" s="422" t="s">
        <v>467</v>
      </c>
      <c r="B2" s="423">
        <f ca="1">C32</f>
        <v>0</v>
      </c>
      <c r="C2" s="2101"/>
      <c r="D2" s="2101"/>
      <c r="E2" s="2101"/>
      <c r="F2" s="2101"/>
      <c r="G2" s="2101"/>
      <c r="H2" s="2101"/>
      <c r="I2" s="2101"/>
      <c r="J2" s="2101"/>
      <c r="K2" s="2101"/>
    </row>
    <row r="3" spans="1:41" s="2038" customFormat="1" ht="18" customHeight="1">
      <c r="A3" s="1377" t="s">
        <v>1685</v>
      </c>
      <c r="B3" s="424">
        <f ca="1">ROUND(B2*10000/IF(B1="",'数据-汇总表'!E3,INDIRECT("'数据-取费表'!K"&amp;$K$1)),0)</f>
        <v>0</v>
      </c>
      <c r="C3" s="2101"/>
      <c r="D3" s="2101"/>
      <c r="E3" s="2101"/>
      <c r="F3" s="2101"/>
      <c r="G3" s="2101"/>
      <c r="H3" s="2101"/>
      <c r="I3" s="2101"/>
      <c r="J3" s="2101"/>
      <c r="K3" s="2101"/>
    </row>
    <row r="4" spans="1:41" s="2038" customFormat="1" ht="18" customHeight="1">
      <c r="A4" s="425" t="s">
        <v>468</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469</v>
      </c>
      <c r="D5" s="2101"/>
      <c r="E5" s="2101"/>
      <c r="F5" s="2101"/>
      <c r="G5" s="2101"/>
      <c r="H5" s="2101"/>
      <c r="I5" s="2101"/>
      <c r="J5" s="2101"/>
      <c r="K5" s="2101"/>
    </row>
    <row r="6" spans="1:41" s="2108" customFormat="1" ht="16.5" customHeight="1">
      <c r="A6" s="431" t="s">
        <v>2652</v>
      </c>
      <c r="B6" s="432"/>
      <c r="C6" s="1621">
        <f>SUM(C10:K10)</f>
        <v>0</v>
      </c>
      <c r="D6" s="2106"/>
      <c r="E6" s="2106"/>
      <c r="F6" s="2106"/>
      <c r="G6" s="2106"/>
      <c r="H6" s="2106"/>
      <c r="I6" s="2106"/>
      <c r="J6" s="2106"/>
      <c r="K6" s="2107"/>
    </row>
    <row r="7" spans="1:41" s="2110" customFormat="1" ht="15">
      <c r="A7" s="433" t="s">
        <v>470</v>
      </c>
      <c r="B7" s="434" t="s">
        <v>471</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1846</v>
      </c>
      <c r="B8" s="437" t="s">
        <v>472</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1848</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1865</v>
      </c>
      <c r="B11" s="1619"/>
      <c r="C11" s="1619"/>
      <c r="D11" s="1619"/>
      <c r="E11" s="1619"/>
      <c r="F11" s="1619"/>
      <c r="G11" s="1619"/>
      <c r="H11" s="1619"/>
      <c r="I11" s="1619"/>
      <c r="J11" s="1619"/>
      <c r="K11" s="1620"/>
    </row>
    <row r="12" spans="1:41" s="2082" customFormat="1" ht="13.5" customHeight="1">
      <c r="A12" s="433" t="s">
        <v>470</v>
      </c>
      <c r="B12" s="443" t="s">
        <v>471</v>
      </c>
      <c r="C12" s="444" t="s">
        <v>475</v>
      </c>
      <c r="D12" s="445" t="s">
        <v>476</v>
      </c>
      <c r="E12" s="445" t="s">
        <v>477</v>
      </c>
      <c r="F12" s="445" t="s">
        <v>478</v>
      </c>
      <c r="G12" s="443"/>
      <c r="H12" s="446"/>
      <c r="I12" s="446"/>
      <c r="J12" s="446"/>
      <c r="K12" s="447"/>
    </row>
    <row r="13" spans="1:41" s="2113" customFormat="1" ht="13.5" customHeight="1">
      <c r="A13" s="1631" t="s">
        <v>1849</v>
      </c>
      <c r="B13" s="448" t="s">
        <v>479</v>
      </c>
      <c r="C13" s="449">
        <f ca="1">IF(B1="",'数据-取费表'!M16,INDIRECT("'数据-取费表'!M"&amp;$K$1)+INDIRECT("'数据-取费表'!t"&amp;$K$1))</f>
        <v>18361</v>
      </c>
      <c r="D13" s="450"/>
      <c r="E13" s="364"/>
      <c r="F13" s="451"/>
      <c r="G13" s="443"/>
      <c r="H13" s="446"/>
      <c r="I13" s="446"/>
      <c r="J13" s="446"/>
      <c r="K13" s="447"/>
    </row>
    <row r="14" spans="1:41" s="2113" customFormat="1" ht="13.5" customHeight="1">
      <c r="A14" s="1631" t="s">
        <v>1850</v>
      </c>
      <c r="B14" s="448" t="s">
        <v>480</v>
      </c>
      <c r="C14" s="53">
        <f ca="1">ROUND(C13*F14,0)</f>
        <v>551</v>
      </c>
      <c r="D14" s="450"/>
      <c r="E14" s="364"/>
      <c r="F14" s="452">
        <f>'数据-取费表'!B33</f>
        <v>0.03</v>
      </c>
      <c r="G14" s="443" t="s">
        <v>502</v>
      </c>
      <c r="H14" s="446"/>
      <c r="I14" s="446"/>
      <c r="J14" s="446"/>
      <c r="K14" s="447"/>
    </row>
    <row r="15" spans="1:41" s="2113" customFormat="1" ht="13.5" customHeight="1">
      <c r="A15" s="1631"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4" customFormat="1" ht="13.5" customHeight="1">
      <c r="A16" s="1631" t="s">
        <v>1852</v>
      </c>
      <c r="B16" s="448" t="s">
        <v>484</v>
      </c>
      <c r="C16" s="53">
        <f ca="1">ROUND(D16*E16/10000,0)</f>
        <v>1293</v>
      </c>
      <c r="D16" s="450">
        <f ca="1">IF(B1="",'数据-汇总表'!E3,INDIRECT("'数据-取费表'!K"&amp;$K$1)+INDIRECT("'数据-取费表'!S"&amp;$K$1))</f>
        <v>64674</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1853</v>
      </c>
      <c r="B17" s="448" t="s">
        <v>485</v>
      </c>
      <c r="C17" s="453">
        <f ca="1">ROUND(C13*F17,0)</f>
        <v>275</v>
      </c>
      <c r="D17" s="454"/>
      <c r="E17" s="453"/>
      <c r="F17" s="455">
        <f>'数据-取费表'!B36</f>
        <v>1.4999999999999999E-2</v>
      </c>
      <c r="G17" s="443" t="s">
        <v>502</v>
      </c>
      <c r="H17" s="456"/>
      <c r="I17" s="456"/>
      <c r="J17" s="456"/>
      <c r="K17" s="457"/>
    </row>
    <row r="18" spans="1:14" s="2116" customFormat="1" ht="13.5" customHeight="1">
      <c r="A18" s="1632" t="s">
        <v>1854</v>
      </c>
      <c r="B18" s="458" t="s">
        <v>487</v>
      </c>
      <c r="C18" s="459">
        <f ca="1">SUM(C13:C17)</f>
        <v>20480</v>
      </c>
      <c r="D18" s="460"/>
      <c r="E18" s="461"/>
      <c r="F18" s="461"/>
      <c r="G18" s="1326" t="s">
        <v>2433</v>
      </c>
      <c r="H18" s="446"/>
      <c r="I18" s="446"/>
      <c r="J18" s="446"/>
      <c r="K18" s="447"/>
    </row>
    <row r="19" spans="1:14" s="2116" customFormat="1" ht="13.5" customHeight="1">
      <c r="A19" s="1632" t="s">
        <v>1855</v>
      </c>
      <c r="B19" s="458" t="s">
        <v>493</v>
      </c>
      <c r="C19" s="459">
        <f ca="1">ROUND(C18*F19,0)</f>
        <v>410</v>
      </c>
      <c r="D19" s="461"/>
      <c r="E19" s="461"/>
      <c r="F19" s="465">
        <f>'数据-取费表'!B37</f>
        <v>0.02</v>
      </c>
      <c r="G19" s="443" t="s">
        <v>503</v>
      </c>
      <c r="H19" s="446"/>
      <c r="I19" s="446"/>
      <c r="J19" s="446"/>
      <c r="K19" s="447"/>
      <c r="L19" s="2118"/>
      <c r="M19" s="2118"/>
      <c r="N19" s="2118"/>
    </row>
    <row r="20" spans="1:14" s="2116" customFormat="1" ht="13.5" customHeight="1">
      <c r="A20" s="1632" t="s">
        <v>1856</v>
      </c>
      <c r="B20" s="458" t="s">
        <v>504</v>
      </c>
      <c r="C20" s="3049">
        <f>F20</f>
        <v>0.02</v>
      </c>
      <c r="D20" s="468" t="s">
        <v>505</v>
      </c>
      <c r="E20" s="468"/>
      <c r="F20" s="485">
        <f>'数据-取费表'!B38</f>
        <v>0.02</v>
      </c>
      <c r="G20" s="1326" t="s">
        <v>506</v>
      </c>
      <c r="H20" s="446"/>
      <c r="I20" s="446"/>
      <c r="J20" s="446"/>
      <c r="K20" s="447"/>
      <c r="L20" s="2118"/>
      <c r="M20" s="2118"/>
      <c r="N20" s="2118"/>
    </row>
    <row r="21" spans="1:14" s="2118" customFormat="1" ht="13.5" customHeight="1">
      <c r="A21" s="1632" t="s">
        <v>1859</v>
      </c>
      <c r="B21" s="460" t="s">
        <v>494</v>
      </c>
      <c r="C21" s="469">
        <f ca="1">C22</f>
        <v>740</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5" t="s">
        <v>2455</v>
      </c>
    </row>
    <row r="22" spans="1:14" s="2117" customFormat="1" ht="13.5" customHeight="1">
      <c r="A22" s="1631" t="s">
        <v>1849</v>
      </c>
      <c r="B22" s="1327" t="s">
        <v>2436</v>
      </c>
      <c r="C22" s="486">
        <f ca="1">ROUND(IF('数据-取费表'!B22&lt;=1,(C18+C19)*F21*'数据-取费表'!B20/2,(C18+C19)*(POWER((1+F21),'数据-取费表'!B20/2)-1)),0)</f>
        <v>740</v>
      </c>
      <c r="D22" s="471"/>
      <c r="E22" s="472"/>
      <c r="F22" s="473"/>
      <c r="G22" s="2588" t="str">
        <f>IF('数据-取费表'!B22&lt;=1,"((1)+(2))×年利率×建设期÷2","((1)+(2))×((1+年利率)^(建设期÷2)-1)")</f>
        <v>((1)+(2))×((1+年利率)^(建设期÷2)-1)</v>
      </c>
      <c r="H22" s="456"/>
      <c r="I22" s="456"/>
      <c r="J22" s="456"/>
      <c r="K22" s="457"/>
    </row>
    <row r="23" spans="1:14" s="2117" customFormat="1" ht="13.5" customHeight="1">
      <c r="A23" s="1631" t="s">
        <v>1850</v>
      </c>
      <c r="B23" s="1327" t="s">
        <v>508</v>
      </c>
      <c r="C23" s="487">
        <f ca="1">ROUND(IF('数据-取费表'!B22&lt;=1,F20*F21*'数据-取费表'!B20/2,F20*(POWER((1+F21),'数据-取费表'!B20/2)-1)),4)</f>
        <v>6.9999999999999999E-4</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2" t="s">
        <v>1860</v>
      </c>
      <c r="B24" s="3051" t="s">
        <v>2832</v>
      </c>
      <c r="C24" s="477">
        <f ca="1">C25</f>
        <v>2925</v>
      </c>
      <c r="D24" s="488">
        <f ca="1">C26</f>
        <v>2.8E-3</v>
      </c>
      <c r="E24" s="468" t="s">
        <v>507</v>
      </c>
      <c r="F24" s="478">
        <f ca="1">IF(B1="",'数据-取费表'!Q16,INDIRECT("'数据-取费表'!q"&amp;$K$1))</f>
        <v>0.14000000000000001</v>
      </c>
      <c r="G24" s="443"/>
      <c r="H24" s="446"/>
      <c r="I24" s="446"/>
      <c r="J24" s="446"/>
      <c r="K24" s="447"/>
    </row>
    <row r="25" spans="1:14" s="2117" customFormat="1" ht="13.5" customHeight="1">
      <c r="A25" s="1631" t="s">
        <v>1849</v>
      </c>
      <c r="B25" s="1327" t="s">
        <v>2437</v>
      </c>
      <c r="C25" s="489">
        <f ca="1">ROUND((C18+C19)*F24,0)</f>
        <v>2925</v>
      </c>
      <c r="D25" s="471"/>
      <c r="E25" s="472"/>
      <c r="F25" s="479"/>
      <c r="G25" s="1325" t="s">
        <v>2434</v>
      </c>
      <c r="H25" s="456"/>
      <c r="I25" s="456"/>
      <c r="J25" s="456"/>
      <c r="K25" s="457"/>
    </row>
    <row r="26" spans="1:14" s="2117" customFormat="1" ht="13.5" customHeight="1">
      <c r="A26" s="1631" t="s">
        <v>1850</v>
      </c>
      <c r="B26" s="1327" t="s">
        <v>509</v>
      </c>
      <c r="C26" s="490">
        <f ca="1">ROUND(F20*F24,4)</f>
        <v>2.8E-3</v>
      </c>
      <c r="D26" s="471"/>
      <c r="E26" s="480"/>
      <c r="F26" s="479"/>
      <c r="G26" s="1325" t="s">
        <v>510</v>
      </c>
      <c r="H26" s="456"/>
      <c r="I26" s="456"/>
      <c r="J26" s="456"/>
      <c r="K26" s="457"/>
    </row>
    <row r="27" spans="1:14" s="2117" customFormat="1" ht="13.5" customHeight="1">
      <c r="A27" s="1635" t="s">
        <v>1868</v>
      </c>
      <c r="B27" s="458" t="s">
        <v>511</v>
      </c>
      <c r="C27" s="3050">
        <f>ROUND(F27/(1+'数据-取费表'!C42),4)</f>
        <v>5.33E-2</v>
      </c>
      <c r="D27" s="461" t="s">
        <v>2830</v>
      </c>
      <c r="E27" s="461"/>
      <c r="F27" s="465">
        <f>'数据-取费表'!B41</f>
        <v>5.6000000000000001E-2</v>
      </c>
      <c r="G27" s="1957" t="s">
        <v>2291</v>
      </c>
      <c r="H27" s="446"/>
      <c r="I27" s="446"/>
      <c r="J27" s="446"/>
      <c r="K27" s="447"/>
    </row>
    <row r="28" spans="1:14" s="2118" customFormat="1" ht="13.5" customHeight="1">
      <c r="A28" s="1635" t="s">
        <v>1869</v>
      </c>
      <c r="B28" s="475" t="s">
        <v>512</v>
      </c>
      <c r="C28" s="469">
        <f ca="1">ROUND((C18+C19+C21+C24)/(1-C20-D21-D24-C27),0)</f>
        <v>26598</v>
      </c>
      <c r="D28" s="476"/>
      <c r="E28" s="468"/>
      <c r="F28" s="470"/>
      <c r="G28" s="1326" t="s">
        <v>2435</v>
      </c>
      <c r="H28" s="446"/>
      <c r="I28" s="446"/>
      <c r="J28" s="446"/>
      <c r="K28" s="447"/>
    </row>
    <row r="29" spans="1:14" s="2118"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8" customFormat="1" ht="13.5" customHeight="1">
      <c r="A30" s="442">
        <v>2</v>
      </c>
      <c r="B30" s="475" t="s">
        <v>514</v>
      </c>
      <c r="C30" s="496">
        <f ca="1">ROUND(C28*C29,0)</f>
        <v>0</v>
      </c>
      <c r="D30" s="492"/>
      <c r="E30" s="497"/>
      <c r="F30" s="498"/>
      <c r="G30" s="1328" t="s">
        <v>515</v>
      </c>
      <c r="H30" s="495"/>
      <c r="I30" s="495"/>
      <c r="J30" s="446"/>
      <c r="K30" s="447"/>
    </row>
    <row r="31" spans="1:14" s="2123" customFormat="1" ht="13.5" customHeight="1">
      <c r="A31" s="2503" t="s">
        <v>1866</v>
      </c>
      <c r="B31" s="1329"/>
      <c r="C31" s="499">
        <f>ROUND(C6*F31/(1+'数据-取费表'!C42),0)</f>
        <v>0</v>
      </c>
      <c r="D31" s="1330"/>
      <c r="E31" s="1330"/>
      <c r="F31" s="500">
        <f>'数据-取费表'!B41</f>
        <v>5.6000000000000001E-2</v>
      </c>
      <c r="G31" s="1331"/>
      <c r="H31" s="1331"/>
      <c r="I31" s="1331"/>
      <c r="J31" s="1332"/>
      <c r="K31" s="1333"/>
    </row>
    <row r="32" spans="1:14" s="2082"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7"/>
    </row>
    <row r="6" spans="1:29" ht="15">
      <c r="A6" s="511" t="s">
        <v>521</v>
      </c>
      <c r="B6" s="512"/>
      <c r="C6" s="3400" t="s">
        <v>522</v>
      </c>
      <c r="D6" s="3401"/>
      <c r="E6" s="3436" t="s">
        <v>523</v>
      </c>
      <c r="F6" s="3437"/>
      <c r="G6" s="3400" t="s">
        <v>524</v>
      </c>
      <c r="H6" s="3401"/>
      <c r="I6" s="3400" t="s">
        <v>525</v>
      </c>
      <c r="J6" s="3401"/>
      <c r="K6" s="513" t="s">
        <v>526</v>
      </c>
      <c r="L6" s="2130"/>
      <c r="M6" s="2131"/>
      <c r="N6" s="2131"/>
      <c r="O6" s="2131"/>
      <c r="P6" s="3402" t="s">
        <v>527</v>
      </c>
      <c r="Q6" s="3403"/>
      <c r="R6" s="3408" t="s">
        <v>523</v>
      </c>
      <c r="S6" s="3409"/>
      <c r="T6" s="3408" t="s">
        <v>524</v>
      </c>
      <c r="U6" s="3409"/>
      <c r="V6" s="3395" t="s">
        <v>525</v>
      </c>
      <c r="W6" s="3395"/>
      <c r="X6" s="1565"/>
      <c r="Y6" s="3408" t="s">
        <v>527</v>
      </c>
      <c r="Z6" s="3409"/>
      <c r="AA6" s="3397" t="s">
        <v>523</v>
      </c>
      <c r="AB6" s="3398" t="s">
        <v>524</v>
      </c>
      <c r="AC6" s="3397" t="s">
        <v>525</v>
      </c>
    </row>
    <row r="7" spans="1:29" ht="15">
      <c r="A7" s="514"/>
      <c r="B7" s="515"/>
      <c r="C7" s="3416" t="s">
        <v>2923</v>
      </c>
      <c r="D7" s="3417"/>
      <c r="E7" s="3438" t="s">
        <v>2924</v>
      </c>
      <c r="F7" s="3439"/>
      <c r="G7" s="3416" t="s">
        <v>2925</v>
      </c>
      <c r="H7" s="3417"/>
      <c r="I7" s="3416" t="s">
        <v>2926</v>
      </c>
      <c r="J7" s="3417"/>
      <c r="K7" s="513"/>
      <c r="L7" s="2130"/>
      <c r="M7" s="2131"/>
      <c r="N7" s="2131"/>
      <c r="O7" s="2131"/>
      <c r="P7" s="3404"/>
      <c r="Q7" s="3405"/>
      <c r="R7" s="3410"/>
      <c r="S7" s="3411"/>
      <c r="T7" s="3410"/>
      <c r="U7" s="3411"/>
      <c r="V7" s="3395"/>
      <c r="W7" s="3395"/>
      <c r="X7" s="1565"/>
      <c r="Y7" s="3410"/>
      <c r="Z7" s="3411"/>
      <c r="AA7" s="3398"/>
      <c r="AB7" s="3398"/>
      <c r="AC7" s="3398"/>
    </row>
    <row r="8" spans="1:29" ht="15.75" thickBot="1">
      <c r="A8" s="516"/>
      <c r="B8" s="517"/>
      <c r="C8" s="3433" t="s">
        <v>2927</v>
      </c>
      <c r="D8" s="3415"/>
      <c r="E8" s="3434" t="s">
        <v>2927</v>
      </c>
      <c r="F8" s="3435"/>
      <c r="G8" s="3433" t="s">
        <v>2927</v>
      </c>
      <c r="H8" s="3415"/>
      <c r="I8" s="3433" t="s">
        <v>2927</v>
      </c>
      <c r="J8" s="3415"/>
      <c r="K8" s="513" t="s">
        <v>528</v>
      </c>
      <c r="L8" s="2130"/>
      <c r="M8" s="2131"/>
      <c r="N8" s="2131"/>
      <c r="O8" s="2131"/>
      <c r="P8" s="3406"/>
      <c r="Q8" s="3407"/>
      <c r="R8" s="3410"/>
      <c r="S8" s="3411"/>
      <c r="T8" s="3412"/>
      <c r="U8" s="3413"/>
      <c r="V8" s="3395"/>
      <c r="W8" s="3395"/>
      <c r="X8" s="1565"/>
      <c r="Y8" s="3412"/>
      <c r="Z8" s="3413"/>
      <c r="AA8" s="3399"/>
      <c r="AB8" s="3399"/>
      <c r="AC8" s="3399"/>
    </row>
    <row r="9" spans="1:29" s="1219" customFormat="1" ht="15.75" thickBot="1">
      <c r="A9" s="2933"/>
      <c r="B9" s="2940" t="s">
        <v>529</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6" t="s">
        <v>530</v>
      </c>
      <c r="Q9" s="3428"/>
      <c r="R9" s="1566" t="s">
        <v>8</v>
      </c>
      <c r="S9" s="1567">
        <f t="shared" ref="S9:S17" si="0">F9</f>
        <v>0</v>
      </c>
      <c r="T9" s="1566" t="s">
        <v>8</v>
      </c>
      <c r="U9" s="1567">
        <f t="shared" ref="U9:U17" si="1">H9</f>
        <v>0</v>
      </c>
      <c r="V9" s="1566" t="s">
        <v>8</v>
      </c>
      <c r="W9" s="1567">
        <f t="shared" ref="W9:W17" si="2">J9</f>
        <v>0</v>
      </c>
      <c r="X9" s="1568"/>
      <c r="Y9" s="3426" t="s">
        <v>530</v>
      </c>
      <c r="Z9" s="3427"/>
      <c r="AA9" s="1569" t="e">
        <f>D9/F9</f>
        <v>#DIV/0!</v>
      </c>
      <c r="AB9" s="1569" t="e">
        <f>D9/H9</f>
        <v>#DIV/0!</v>
      </c>
      <c r="AC9" s="1569" t="e">
        <f>D9/J9</f>
        <v>#DIV/0!</v>
      </c>
    </row>
    <row r="10" spans="1:29" s="1219" customFormat="1" ht="15.75" thickBot="1">
      <c r="A10" s="2934"/>
      <c r="B10" s="294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6" t="s">
        <v>533</v>
      </c>
      <c r="Q10" s="3427"/>
      <c r="R10" s="1566" t="s">
        <v>8</v>
      </c>
      <c r="S10" s="1567">
        <f t="shared" si="0"/>
        <v>0</v>
      </c>
      <c r="T10" s="1566" t="s">
        <v>8</v>
      </c>
      <c r="U10" s="1567">
        <f t="shared" si="1"/>
        <v>0</v>
      </c>
      <c r="V10" s="1566" t="s">
        <v>8</v>
      </c>
      <c r="W10" s="1567">
        <f t="shared" si="2"/>
        <v>0</v>
      </c>
      <c r="X10" s="1568"/>
      <c r="Y10" s="3426" t="s">
        <v>533</v>
      </c>
      <c r="Z10" s="3427"/>
      <c r="AA10" s="1569" t="e">
        <f t="shared" ref="AA10:AA42" si="3">D10/F10</f>
        <v>#DIV/0!</v>
      </c>
      <c r="AB10" s="1569" t="e">
        <f t="shared" ref="AB10:AB42" si="4">D10/H10</f>
        <v>#DIV/0!</v>
      </c>
      <c r="AC10" s="1569" t="e">
        <f t="shared" ref="AC10:AC42" si="5">D10/J10</f>
        <v>#DIV/0!</v>
      </c>
    </row>
    <row r="11" spans="1:29" s="1219"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94" t="s">
        <v>535</v>
      </c>
      <c r="Q11" s="1150" t="str">
        <f t="shared" ref="Q11:Q17" si="6">B11</f>
        <v>用途</v>
      </c>
      <c r="R11" s="1566" t="s">
        <v>8</v>
      </c>
      <c r="S11" s="1567">
        <f t="shared" si="0"/>
        <v>100</v>
      </c>
      <c r="T11" s="1566" t="s">
        <v>8</v>
      </c>
      <c r="U11" s="1567">
        <f t="shared" si="1"/>
        <v>100</v>
      </c>
      <c r="V11" s="1566" t="s">
        <v>8</v>
      </c>
      <c r="W11" s="1567">
        <f t="shared" si="2"/>
        <v>100</v>
      </c>
      <c r="X11" s="1568"/>
      <c r="Y11" s="3340" t="s">
        <v>536</v>
      </c>
      <c r="Z11" s="1149" t="str">
        <f t="shared" ref="Z11:Z17" si="7">Q11</f>
        <v>用途</v>
      </c>
      <c r="AA11" s="1569">
        <f t="shared" si="3"/>
        <v>1</v>
      </c>
      <c r="AB11" s="1569">
        <f t="shared" si="4"/>
        <v>1</v>
      </c>
      <c r="AC11" s="1569">
        <f t="shared" si="5"/>
        <v>1</v>
      </c>
    </row>
    <row r="12" spans="1:29" s="1337" customFormat="1" ht="27">
      <c r="A12" s="2936"/>
      <c r="B12" s="2941" t="s">
        <v>2757</v>
      </c>
      <c r="C12" s="527"/>
      <c r="D12" s="254">
        <v>100</v>
      </c>
      <c r="E12" s="527"/>
      <c r="F12" s="254">
        <f>ROUND(100/'数据-取费表'!G16,0)</f>
        <v>101</v>
      </c>
      <c r="G12" s="527"/>
      <c r="H12" s="254">
        <f>ROUND(100/'数据-取费表'!G16,0)</f>
        <v>101</v>
      </c>
      <c r="I12" s="527"/>
      <c r="J12" s="254">
        <f>ROUND(100/'数据-取费表'!G16,0)</f>
        <v>101</v>
      </c>
      <c r="K12" s="530"/>
      <c r="L12" s="2135"/>
      <c r="M12" s="2175"/>
      <c r="N12" s="2175"/>
      <c r="O12" s="2136"/>
      <c r="P12" s="3394"/>
      <c r="Q12" s="1150" t="str">
        <f t="shared" si="6"/>
        <v>土地使用年限（年）</v>
      </c>
      <c r="R12" s="1566" t="s">
        <v>8</v>
      </c>
      <c r="S12" s="1567">
        <f t="shared" si="0"/>
        <v>101</v>
      </c>
      <c r="T12" s="1566" t="s">
        <v>8</v>
      </c>
      <c r="U12" s="1567">
        <f t="shared" si="1"/>
        <v>101</v>
      </c>
      <c r="V12" s="1566" t="s">
        <v>8</v>
      </c>
      <c r="W12" s="1567">
        <f t="shared" si="2"/>
        <v>101</v>
      </c>
      <c r="X12" s="1568"/>
      <c r="Y12" s="3340"/>
      <c r="Z12" s="1149" t="str">
        <f t="shared" si="7"/>
        <v>土地使用年限（年）</v>
      </c>
      <c r="AA12" s="1569">
        <f t="shared" si="3"/>
        <v>0.99009900990099009</v>
      </c>
      <c r="AB12" s="1569">
        <f t="shared" si="4"/>
        <v>0.99009900990099009</v>
      </c>
      <c r="AC12" s="1569">
        <f t="shared" si="5"/>
        <v>0.99009900990099009</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94"/>
      <c r="Q13" s="1150" t="str">
        <f t="shared" si="6"/>
        <v>容积率</v>
      </c>
      <c r="R13" s="1566" t="s">
        <v>8</v>
      </c>
      <c r="S13" s="1567" t="e">
        <f t="shared" si="0"/>
        <v>#N/A</v>
      </c>
      <c r="T13" s="1566" t="s">
        <v>8</v>
      </c>
      <c r="U13" s="1567" t="e">
        <f t="shared" si="1"/>
        <v>#N/A</v>
      </c>
      <c r="V13" s="1566" t="s">
        <v>8</v>
      </c>
      <c r="W13" s="1567" t="e">
        <f t="shared" si="2"/>
        <v>#N/A</v>
      </c>
      <c r="X13" s="1568"/>
      <c r="Y13" s="3340"/>
      <c r="Z13" s="1149" t="str">
        <f t="shared" si="7"/>
        <v>容积率</v>
      </c>
      <c r="AA13" s="1569" t="e">
        <f t="shared" si="3"/>
        <v>#N/A</v>
      </c>
      <c r="AB13" s="1569" t="e">
        <f t="shared" si="4"/>
        <v>#N/A</v>
      </c>
      <c r="AC13" s="1569" t="e">
        <f t="shared" si="5"/>
        <v>#N/A</v>
      </c>
    </row>
    <row r="14" spans="1:29" s="1219"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94"/>
      <c r="Q14" s="1150">
        <f t="shared" si="6"/>
        <v>111</v>
      </c>
      <c r="R14" s="1566" t="s">
        <v>8</v>
      </c>
      <c r="S14" s="1567">
        <f t="shared" si="0"/>
        <v>100</v>
      </c>
      <c r="T14" s="1566" t="s">
        <v>8</v>
      </c>
      <c r="U14" s="1567">
        <f t="shared" si="1"/>
        <v>100</v>
      </c>
      <c r="V14" s="1566" t="s">
        <v>8</v>
      </c>
      <c r="W14" s="1567">
        <f t="shared" si="2"/>
        <v>100</v>
      </c>
      <c r="X14" s="1568"/>
      <c r="Y14" s="3340"/>
      <c r="Z14" s="1149">
        <f t="shared" si="7"/>
        <v>111</v>
      </c>
      <c r="AA14" s="1569">
        <f>D14/F14</f>
        <v>1</v>
      </c>
      <c r="AB14" s="1569">
        <f>D14/H14</f>
        <v>1</v>
      </c>
      <c r="AC14" s="1569">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94"/>
      <c r="Q15" s="1150">
        <f t="shared" si="6"/>
        <v>111</v>
      </c>
      <c r="R15" s="1566" t="s">
        <v>8</v>
      </c>
      <c r="S15" s="1567">
        <f t="shared" si="0"/>
        <v>100</v>
      </c>
      <c r="T15" s="1566" t="s">
        <v>8</v>
      </c>
      <c r="U15" s="1567">
        <f t="shared" si="1"/>
        <v>100</v>
      </c>
      <c r="V15" s="1566" t="s">
        <v>8</v>
      </c>
      <c r="W15" s="1567">
        <f t="shared" si="2"/>
        <v>100</v>
      </c>
      <c r="X15" s="1568"/>
      <c r="Y15" s="3340"/>
      <c r="Z15" s="1149">
        <f t="shared" si="7"/>
        <v>111</v>
      </c>
      <c r="AA15" s="1569">
        <f t="shared" si="3"/>
        <v>1</v>
      </c>
      <c r="AB15" s="1569">
        <f t="shared" si="4"/>
        <v>1</v>
      </c>
      <c r="AC15" s="1569">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4"/>
      <c r="Q16" s="1150">
        <f t="shared" si="6"/>
        <v>111</v>
      </c>
      <c r="R16" s="1566" t="s">
        <v>8</v>
      </c>
      <c r="S16" s="1567">
        <f t="shared" si="0"/>
        <v>100</v>
      </c>
      <c r="T16" s="1566" t="s">
        <v>8</v>
      </c>
      <c r="U16" s="1567">
        <f t="shared" si="1"/>
        <v>100</v>
      </c>
      <c r="V16" s="1566" t="s">
        <v>8</v>
      </c>
      <c r="W16" s="1567">
        <f t="shared" si="2"/>
        <v>100</v>
      </c>
      <c r="X16" s="1568"/>
      <c r="Y16" s="3340"/>
      <c r="Z16" s="1149">
        <f t="shared" si="7"/>
        <v>111</v>
      </c>
      <c r="AA16" s="1569">
        <f t="shared" si="3"/>
        <v>1</v>
      </c>
      <c r="AB16" s="1569">
        <f t="shared" si="4"/>
        <v>1</v>
      </c>
      <c r="AC16" s="1569">
        <f t="shared" si="5"/>
        <v>1</v>
      </c>
    </row>
    <row r="17" spans="1:29" ht="57">
      <c r="A17" s="2931"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29" t="s">
        <v>540</v>
      </c>
      <c r="Q17" s="1570" t="str">
        <f t="shared" si="6"/>
        <v>产业集聚程度</v>
      </c>
      <c r="R17" s="1571" t="s">
        <v>8</v>
      </c>
      <c r="S17" s="1572">
        <f t="shared" si="0"/>
        <v>100</v>
      </c>
      <c r="T17" s="1571" t="s">
        <v>8</v>
      </c>
      <c r="U17" s="1572">
        <f t="shared" si="1"/>
        <v>100</v>
      </c>
      <c r="V17" s="1571" t="s">
        <v>8</v>
      </c>
      <c r="W17" s="1572">
        <f t="shared" si="2"/>
        <v>100</v>
      </c>
      <c r="X17" s="1565"/>
      <c r="Y17" s="3429"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39"/>
      <c r="M18" s="2131"/>
      <c r="N18" s="2131"/>
      <c r="O18" s="2138"/>
      <c r="P18" s="3430"/>
      <c r="Q18" s="1570"/>
      <c r="R18" s="1571"/>
      <c r="S18" s="1572"/>
      <c r="T18" s="1571"/>
      <c r="U18" s="1572"/>
      <c r="V18" s="1571"/>
      <c r="W18" s="1572"/>
      <c r="X18" s="1565"/>
      <c r="Y18" s="3430"/>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0"/>
      <c r="Q19" s="1570" t="str">
        <f>B19</f>
        <v>交通便捷度</v>
      </c>
      <c r="R19" s="1571" t="s">
        <v>8</v>
      </c>
      <c r="S19" s="1572">
        <f>F19</f>
        <v>100</v>
      </c>
      <c r="T19" s="1571" t="s">
        <v>8</v>
      </c>
      <c r="U19" s="1572">
        <f>H19</f>
        <v>100</v>
      </c>
      <c r="V19" s="1571" t="s">
        <v>8</v>
      </c>
      <c r="W19" s="1572">
        <f>J19</f>
        <v>100</v>
      </c>
      <c r="X19" s="1565"/>
      <c r="Y19" s="3430"/>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39"/>
      <c r="M20" s="2131"/>
      <c r="N20" s="2131"/>
      <c r="O20" s="2138"/>
      <c r="P20" s="3430"/>
      <c r="Q20" s="1570"/>
      <c r="R20" s="1571"/>
      <c r="S20" s="1572"/>
      <c r="T20" s="1571"/>
      <c r="U20" s="1572"/>
      <c r="V20" s="1571"/>
      <c r="W20" s="1572"/>
      <c r="X20" s="1565"/>
      <c r="Y20" s="3430"/>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30"/>
      <c r="Q21" s="1570" t="str">
        <f t="shared" ref="Q21:Q35" si="8">B21</f>
        <v>区域土地利用方向</v>
      </c>
      <c r="R21" s="1571" t="s">
        <v>8</v>
      </c>
      <c r="S21" s="1572">
        <f>F21</f>
        <v>100</v>
      </c>
      <c r="T21" s="1571" t="s">
        <v>8</v>
      </c>
      <c r="U21" s="1572">
        <f>H21</f>
        <v>100</v>
      </c>
      <c r="V21" s="1571" t="s">
        <v>8</v>
      </c>
      <c r="W21" s="1572">
        <f>J21</f>
        <v>100</v>
      </c>
      <c r="X21" s="1565"/>
      <c r="Y21" s="3430"/>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39"/>
      <c r="M22" s="2131"/>
      <c r="N22" s="2131"/>
      <c r="O22" s="2138"/>
      <c r="P22" s="3430"/>
      <c r="Q22" s="1570"/>
      <c r="R22" s="1571"/>
      <c r="S22" s="1572"/>
      <c r="T22" s="1571"/>
      <c r="U22" s="1572"/>
      <c r="V22" s="1571"/>
      <c r="W22" s="1572"/>
      <c r="X22" s="1565"/>
      <c r="Y22" s="3430"/>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0"/>
      <c r="Q23" s="1570" t="str">
        <f t="shared" si="8"/>
        <v>环境状况</v>
      </c>
      <c r="R23" s="1571" t="s">
        <v>8</v>
      </c>
      <c r="S23" s="1572">
        <f>F23</f>
        <v>100</v>
      </c>
      <c r="T23" s="1571" t="s">
        <v>8</v>
      </c>
      <c r="U23" s="1572">
        <f>H23</f>
        <v>100</v>
      </c>
      <c r="V23" s="1571" t="s">
        <v>8</v>
      </c>
      <c r="W23" s="1572">
        <f>J23</f>
        <v>100</v>
      </c>
      <c r="X23" s="1565"/>
      <c r="Y23" s="3430"/>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39"/>
      <c r="M24" s="2131"/>
      <c r="N24" s="2131"/>
      <c r="O24" s="2138"/>
      <c r="P24" s="3430"/>
      <c r="Q24" s="1570"/>
      <c r="R24" s="1571"/>
      <c r="S24" s="1572"/>
      <c r="T24" s="1571"/>
      <c r="U24" s="1572"/>
      <c r="V24" s="1571"/>
      <c r="W24" s="1572"/>
      <c r="X24" s="1565"/>
      <c r="Y24" s="3430"/>
      <c r="Z24" s="1573"/>
      <c r="AA24" s="1574">
        <v>1</v>
      </c>
      <c r="AB24" s="1574">
        <v>1</v>
      </c>
      <c r="AC24" s="1574">
        <v>1</v>
      </c>
    </row>
    <row r="25" spans="1:29" s="1219" customFormat="1" ht="42.75">
      <c r="A25" s="576"/>
      <c r="B25" s="2614"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0"/>
      <c r="Q25" s="1150" t="str">
        <f t="shared" si="8"/>
        <v>公共配套设施</v>
      </c>
      <c r="R25" s="1566" t="s">
        <v>8</v>
      </c>
      <c r="S25" s="1567">
        <f>F25</f>
        <v>100</v>
      </c>
      <c r="T25" s="1566" t="s">
        <v>8</v>
      </c>
      <c r="U25" s="1567">
        <f>H25</f>
        <v>100</v>
      </c>
      <c r="V25" s="1566" t="s">
        <v>8</v>
      </c>
      <c r="W25" s="1567">
        <f>J25</f>
        <v>100</v>
      </c>
      <c r="X25" s="1568"/>
      <c r="Y25" s="3430"/>
      <c r="Z25" s="1149" t="str">
        <f>Q25</f>
        <v>公共配套设施</v>
      </c>
      <c r="AA25" s="1574">
        <f>D25/F25</f>
        <v>1</v>
      </c>
      <c r="AB25" s="1574">
        <f>D25/H25</f>
        <v>1</v>
      </c>
      <c r="AC25" s="1574">
        <f>D25/J25</f>
        <v>1</v>
      </c>
    </row>
    <row r="26" spans="1:29" s="1219" customFormat="1" ht="15">
      <c r="A26" s="576"/>
      <c r="B26" s="594"/>
      <c r="C26" s="2613"/>
      <c r="D26" s="554"/>
      <c r="E26" s="553"/>
      <c r="F26" s="554"/>
      <c r="G26" s="553"/>
      <c r="H26" s="554"/>
      <c r="I26" s="575"/>
      <c r="J26" s="554"/>
      <c r="K26" s="530"/>
      <c r="L26" s="2132"/>
      <c r="M26" s="2133"/>
      <c r="N26" s="2133"/>
      <c r="O26" s="2134"/>
      <c r="P26" s="3430"/>
      <c r="Q26" s="1150"/>
      <c r="R26" s="1566"/>
      <c r="S26" s="1567"/>
      <c r="T26" s="1566"/>
      <c r="U26" s="1567"/>
      <c r="V26" s="1566"/>
      <c r="W26" s="1567"/>
      <c r="X26" s="1568"/>
      <c r="Y26" s="3430"/>
      <c r="Z26" s="1149"/>
      <c r="AA26" s="1569">
        <v>1</v>
      </c>
      <c r="AB26" s="1569">
        <v>1</v>
      </c>
      <c r="AC26" s="1569">
        <v>1</v>
      </c>
    </row>
    <row r="27" spans="1:29" s="1219" customFormat="1" ht="28.5">
      <c r="A27" s="576"/>
      <c r="B27" s="2614"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0"/>
      <c r="Q27" s="2599" t="str">
        <f t="shared" ref="Q27" si="9">B27</f>
        <v>基础设施水平</v>
      </c>
      <c r="R27" s="1566" t="s">
        <v>8</v>
      </c>
      <c r="S27" s="1567">
        <f>F27</f>
        <v>100</v>
      </c>
      <c r="T27" s="1566" t="s">
        <v>8</v>
      </c>
      <c r="U27" s="1567">
        <f>H27</f>
        <v>100</v>
      </c>
      <c r="V27" s="1566" t="s">
        <v>8</v>
      </c>
      <c r="W27" s="1567">
        <f>J27</f>
        <v>100</v>
      </c>
      <c r="X27" s="1568"/>
      <c r="Y27" s="3430"/>
      <c r="Z27" s="2596" t="str">
        <f>Q27</f>
        <v>基础设施水平</v>
      </c>
      <c r="AA27" s="1574">
        <f>D27/F27</f>
        <v>1</v>
      </c>
      <c r="AB27" s="1574">
        <f>D27/H27</f>
        <v>1</v>
      </c>
      <c r="AC27" s="1574">
        <f>D27/J27</f>
        <v>1</v>
      </c>
    </row>
    <row r="28" spans="1:29" s="1219" customFormat="1" ht="15">
      <c r="A28" s="576"/>
      <c r="B28" s="594"/>
      <c r="C28" s="2613"/>
      <c r="D28" s="554"/>
      <c r="E28" s="578"/>
      <c r="F28" s="554"/>
      <c r="G28" s="578"/>
      <c r="H28" s="554"/>
      <c r="I28" s="578"/>
      <c r="J28" s="554"/>
      <c r="K28" s="530"/>
      <c r="L28" s="2132"/>
      <c r="M28" s="2133"/>
      <c r="N28" s="2133"/>
      <c r="O28" s="2134"/>
      <c r="P28" s="3430"/>
      <c r="Q28" s="2599"/>
      <c r="R28" s="1566"/>
      <c r="S28" s="1567"/>
      <c r="T28" s="1566"/>
      <c r="U28" s="1567"/>
      <c r="V28" s="1566"/>
      <c r="W28" s="1567"/>
      <c r="X28" s="1568"/>
      <c r="Y28" s="3430"/>
      <c r="Z28" s="2596"/>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0"/>
      <c r="Z29" s="1573" t="str">
        <f t="shared" ref="Z29:Z42" si="13">Q29</f>
        <v>临街状况</v>
      </c>
      <c r="AA29" s="1574">
        <f t="shared" si="3"/>
        <v>1</v>
      </c>
      <c r="AB29" s="1574">
        <f t="shared" si="4"/>
        <v>1</v>
      </c>
      <c r="AC29" s="1574">
        <f t="shared" si="5"/>
        <v>1</v>
      </c>
    </row>
    <row r="30" spans="1:29" ht="27">
      <c r="A30" s="531"/>
      <c r="B30" s="921" t="s">
        <v>548</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0"/>
      <c r="Q30" s="1570" t="str">
        <f t="shared" si="8"/>
        <v>毗邻道路的类型与等级</v>
      </c>
      <c r="R30" s="1571" t="s">
        <v>8</v>
      </c>
      <c r="S30" s="1572">
        <f t="shared" si="10"/>
        <v>100</v>
      </c>
      <c r="T30" s="1571" t="s">
        <v>8</v>
      </c>
      <c r="U30" s="1572">
        <f t="shared" si="11"/>
        <v>100</v>
      </c>
      <c r="V30" s="1571" t="s">
        <v>8</v>
      </c>
      <c r="W30" s="1572">
        <f t="shared" si="12"/>
        <v>100</v>
      </c>
      <c r="X30" s="1565"/>
      <c r="Y30" s="3430"/>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39"/>
      <c r="M31" s="2131"/>
      <c r="N31" s="2131"/>
      <c r="O31" s="2138"/>
      <c r="P31" s="3430"/>
      <c r="Q31" s="1570"/>
      <c r="R31" s="1571"/>
      <c r="S31" s="1572"/>
      <c r="T31" s="1571"/>
      <c r="U31" s="1572"/>
      <c r="V31" s="1571"/>
      <c r="W31" s="1572"/>
      <c r="X31" s="1565"/>
      <c r="Y31" s="3430"/>
      <c r="Z31" s="1573"/>
      <c r="AA31" s="1574">
        <v>1</v>
      </c>
      <c r="AB31" s="1574">
        <v>1</v>
      </c>
      <c r="AC31" s="1574">
        <v>1</v>
      </c>
    </row>
    <row r="32" spans="1:29" ht="15">
      <c r="A32" s="531"/>
      <c r="B32" s="526" t="s">
        <v>549</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0"/>
      <c r="Q32" s="1570" t="str">
        <f t="shared" si="8"/>
        <v>土地级别</v>
      </c>
      <c r="R32" s="1571" t="s">
        <v>8</v>
      </c>
      <c r="S32" s="1572">
        <f t="shared" si="10"/>
        <v>100</v>
      </c>
      <c r="T32" s="1571" t="s">
        <v>8</v>
      </c>
      <c r="U32" s="1572">
        <f t="shared" si="11"/>
        <v>100</v>
      </c>
      <c r="V32" s="1571" t="s">
        <v>8</v>
      </c>
      <c r="W32" s="1572">
        <f t="shared" si="12"/>
        <v>100</v>
      </c>
      <c r="X32" s="1565"/>
      <c r="Y32" s="3430"/>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0"/>
      <c r="Q33" s="1570">
        <f t="shared" si="8"/>
        <v>111</v>
      </c>
      <c r="R33" s="1571" t="s">
        <v>8</v>
      </c>
      <c r="S33" s="1572">
        <f t="shared" si="10"/>
        <v>100</v>
      </c>
      <c r="T33" s="1571" t="s">
        <v>8</v>
      </c>
      <c r="U33" s="1572">
        <f t="shared" si="11"/>
        <v>100</v>
      </c>
      <c r="V33" s="1571" t="s">
        <v>8</v>
      </c>
      <c r="W33" s="1572">
        <f t="shared" si="12"/>
        <v>100</v>
      </c>
      <c r="X33" s="1565"/>
      <c r="Y33" s="3430"/>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1" t="s">
        <v>550</v>
      </c>
      <c r="Q34" s="1570">
        <f t="shared" si="8"/>
        <v>111</v>
      </c>
      <c r="R34" s="1571" t="s">
        <v>8</v>
      </c>
      <c r="S34" s="1572">
        <f t="shared" si="10"/>
        <v>100</v>
      </c>
      <c r="T34" s="1571" t="s">
        <v>8</v>
      </c>
      <c r="U34" s="1572">
        <f t="shared" si="11"/>
        <v>100</v>
      </c>
      <c r="V34" s="1571" t="s">
        <v>8</v>
      </c>
      <c r="W34" s="1572">
        <f t="shared" si="12"/>
        <v>100</v>
      </c>
      <c r="X34" s="1565"/>
      <c r="Y34" s="3432" t="s">
        <v>550</v>
      </c>
      <c r="Z34" s="1573">
        <f t="shared" si="13"/>
        <v>111</v>
      </c>
      <c r="AA34" s="1574">
        <f t="shared" si="3"/>
        <v>1</v>
      </c>
      <c r="AB34" s="1574">
        <f t="shared" si="4"/>
        <v>1</v>
      </c>
      <c r="AC34" s="1574">
        <f t="shared" si="5"/>
        <v>1</v>
      </c>
    </row>
    <row r="35" spans="1:29" s="1338"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2"/>
      <c r="Q35" s="1570">
        <f t="shared" si="8"/>
        <v>111</v>
      </c>
      <c r="R35" s="1575" t="s">
        <v>8</v>
      </c>
      <c r="S35" s="1576">
        <f t="shared" si="10"/>
        <v>100</v>
      </c>
      <c r="T35" s="1575" t="s">
        <v>8</v>
      </c>
      <c r="U35" s="1576">
        <f t="shared" si="11"/>
        <v>100</v>
      </c>
      <c r="V35" s="1575" t="s">
        <v>8</v>
      </c>
      <c r="W35" s="1576">
        <f t="shared" si="12"/>
        <v>100</v>
      </c>
      <c r="X35" s="1577"/>
      <c r="Y35" s="3432"/>
      <c r="Z35" s="1578">
        <f t="shared" si="13"/>
        <v>111</v>
      </c>
      <c r="AA35" s="1574">
        <f t="shared" si="3"/>
        <v>1</v>
      </c>
      <c r="AB35" s="1574">
        <f t="shared" si="4"/>
        <v>1</v>
      </c>
      <c r="AC35" s="1574">
        <f t="shared" si="5"/>
        <v>1</v>
      </c>
    </row>
    <row r="36" spans="1:29" ht="15">
      <c r="A36" s="2928"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2"/>
      <c r="Q36" s="1570" t="str">
        <f>B36</f>
        <v>宗地面积</v>
      </c>
      <c r="R36" s="1571" t="s">
        <v>8</v>
      </c>
      <c r="S36" s="1572" t="e">
        <f t="shared" si="10"/>
        <v>#N/A</v>
      </c>
      <c r="T36" s="1571" t="s">
        <v>8</v>
      </c>
      <c r="U36" s="1572" t="e">
        <f t="shared" si="11"/>
        <v>#N/A</v>
      </c>
      <c r="V36" s="1571" t="s">
        <v>8</v>
      </c>
      <c r="W36" s="1572" t="e">
        <f t="shared" si="12"/>
        <v>#N/A</v>
      </c>
      <c r="X36" s="1565"/>
      <c r="Y36" s="3432"/>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2"/>
      <c r="Q37" s="1570" t="str">
        <f t="shared" ref="Q37:Q42" si="14">B37</f>
        <v>宗地形状</v>
      </c>
      <c r="R37" s="1571" t="s">
        <v>8</v>
      </c>
      <c r="S37" s="1572">
        <f t="shared" si="10"/>
        <v>100</v>
      </c>
      <c r="T37" s="1571" t="s">
        <v>8</v>
      </c>
      <c r="U37" s="1572">
        <f t="shared" si="11"/>
        <v>100</v>
      </c>
      <c r="V37" s="1571" t="s">
        <v>8</v>
      </c>
      <c r="W37" s="1572">
        <f t="shared" si="12"/>
        <v>100</v>
      </c>
      <c r="X37" s="1565"/>
      <c r="Y37" s="3432"/>
      <c r="Z37" s="1573" t="str">
        <f t="shared" si="13"/>
        <v>宗地形状</v>
      </c>
      <c r="AA37" s="1574">
        <f t="shared" si="3"/>
        <v>1</v>
      </c>
      <c r="AB37" s="1574">
        <f t="shared" si="4"/>
        <v>1</v>
      </c>
      <c r="AC37" s="1574">
        <f t="shared" si="5"/>
        <v>1</v>
      </c>
    </row>
    <row r="38" spans="1:29" s="1219" customFormat="1" ht="15">
      <c r="A38" s="599"/>
      <c r="B38" s="1892"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2"/>
      <c r="Q38" s="1570" t="str">
        <f t="shared" si="14"/>
        <v>宗地开发程度</v>
      </c>
      <c r="R38" s="1566" t="s">
        <v>8</v>
      </c>
      <c r="S38" s="1567">
        <f t="shared" si="10"/>
        <v>100</v>
      </c>
      <c r="T38" s="1566" t="s">
        <v>8</v>
      </c>
      <c r="U38" s="1567">
        <f t="shared" si="11"/>
        <v>100</v>
      </c>
      <c r="V38" s="1566" t="s">
        <v>8</v>
      </c>
      <c r="W38" s="1567">
        <f t="shared" si="12"/>
        <v>100</v>
      </c>
      <c r="X38" s="1568"/>
      <c r="Y38" s="3432"/>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2" t="s">
        <v>601</v>
      </c>
      <c r="Q39" s="1570" t="str">
        <f t="shared" si="14"/>
        <v>工程地质条件</v>
      </c>
      <c r="R39" s="1571" t="s">
        <v>8</v>
      </c>
      <c r="S39" s="1572">
        <f t="shared" si="10"/>
        <v>100</v>
      </c>
      <c r="T39" s="1571" t="s">
        <v>8</v>
      </c>
      <c r="U39" s="1572">
        <f t="shared" si="11"/>
        <v>100</v>
      </c>
      <c r="V39" s="1571" t="s">
        <v>8</v>
      </c>
      <c r="W39" s="1572">
        <f t="shared" si="12"/>
        <v>100</v>
      </c>
      <c r="X39" s="1565"/>
      <c r="Y39" s="3432"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2"/>
      <c r="Q40" s="1570">
        <f t="shared" si="14"/>
        <v>111</v>
      </c>
      <c r="R40" s="1571" t="s">
        <v>8</v>
      </c>
      <c r="S40" s="1572">
        <f t="shared" si="10"/>
        <v>100</v>
      </c>
      <c r="T40" s="1571" t="s">
        <v>8</v>
      </c>
      <c r="U40" s="1572">
        <f t="shared" si="11"/>
        <v>100</v>
      </c>
      <c r="V40" s="1571" t="s">
        <v>8</v>
      </c>
      <c r="W40" s="1572">
        <f t="shared" si="12"/>
        <v>100</v>
      </c>
      <c r="X40" s="1565"/>
      <c r="Y40" s="3432"/>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2"/>
      <c r="Q41" s="1570">
        <f t="shared" si="14"/>
        <v>111</v>
      </c>
      <c r="R41" s="1571" t="s">
        <v>8</v>
      </c>
      <c r="S41" s="1572">
        <f t="shared" si="10"/>
        <v>100</v>
      </c>
      <c r="T41" s="1571" t="s">
        <v>8</v>
      </c>
      <c r="U41" s="1572">
        <f t="shared" si="11"/>
        <v>100</v>
      </c>
      <c r="V41" s="1571" t="s">
        <v>8</v>
      </c>
      <c r="W41" s="1572">
        <f t="shared" si="12"/>
        <v>100</v>
      </c>
      <c r="X41" s="1565"/>
      <c r="Y41" s="3432"/>
      <c r="Z41" s="1573">
        <f t="shared" si="13"/>
        <v>111</v>
      </c>
      <c r="AA41" s="1574">
        <f t="shared" si="3"/>
        <v>1</v>
      </c>
      <c r="AB41" s="1574">
        <f t="shared" si="4"/>
        <v>1</v>
      </c>
      <c r="AC41" s="1574">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2"/>
      <c r="Q42" s="1570">
        <f t="shared" si="14"/>
        <v>111</v>
      </c>
      <c r="R42" s="1575" t="s">
        <v>8</v>
      </c>
      <c r="S42" s="1576">
        <f t="shared" si="10"/>
        <v>100</v>
      </c>
      <c r="T42" s="1575" t="s">
        <v>8</v>
      </c>
      <c r="U42" s="1576">
        <f t="shared" si="11"/>
        <v>100</v>
      </c>
      <c r="V42" s="1575" t="s">
        <v>8</v>
      </c>
      <c r="W42" s="1576">
        <f t="shared" si="12"/>
        <v>100</v>
      </c>
      <c r="X42" s="1577"/>
      <c r="Y42" s="3432"/>
      <c r="Z42" s="1578">
        <f t="shared" si="13"/>
        <v>111</v>
      </c>
      <c r="AA42" s="1574">
        <f t="shared" si="3"/>
        <v>1</v>
      </c>
      <c r="AB42" s="1574">
        <f t="shared" si="4"/>
        <v>1</v>
      </c>
      <c r="AC42" s="1574">
        <f t="shared" si="5"/>
        <v>1</v>
      </c>
    </row>
    <row r="43" spans="1:29" ht="15">
      <c r="A43" s="606" t="s">
        <v>556</v>
      </c>
      <c r="B43" s="607" t="s">
        <v>2928</v>
      </c>
      <c r="C43" s="608" t="s">
        <v>1</v>
      </c>
      <c r="D43" s="609"/>
      <c r="E43" s="610"/>
      <c r="F43" s="611"/>
      <c r="G43" s="612"/>
      <c r="H43" s="613"/>
      <c r="I43" s="610"/>
      <c r="J43" s="613"/>
      <c r="K43" s="1339"/>
      <c r="L43" s="2141"/>
      <c r="M43" s="2131"/>
      <c r="N43" s="2131"/>
      <c r="O43" s="2142"/>
      <c r="P43" s="3394" t="str">
        <f>A43</f>
        <v>成交单价</v>
      </c>
      <c r="Q43" s="3394"/>
      <c r="R43" s="3395">
        <f>E43</f>
        <v>0</v>
      </c>
      <c r="S43" s="3395"/>
      <c r="T43" s="3395">
        <f>G43</f>
        <v>0</v>
      </c>
      <c r="U43" s="3395"/>
      <c r="V43" s="3395">
        <f>I43</f>
        <v>0</v>
      </c>
      <c r="W43" s="3395"/>
      <c r="X43" s="1557"/>
      <c r="Y43" s="1579"/>
      <c r="Z43" s="1557"/>
      <c r="AA43" s="1557"/>
      <c r="AB43" s="1557"/>
      <c r="AC43" s="1557"/>
    </row>
    <row r="44" spans="1:29" ht="15.75" thickBot="1">
      <c r="A44" s="614" t="s">
        <v>2693</v>
      </c>
      <c r="B44" s="615"/>
      <c r="C44" s="616" t="e">
        <f>R45</f>
        <v>#DIV/0!</v>
      </c>
      <c r="D44" s="617"/>
      <c r="E44" s="616" t="e">
        <f>R44</f>
        <v>#DIV/0!</v>
      </c>
      <c r="F44" s="618"/>
      <c r="G44" s="619" t="e">
        <f>T44</f>
        <v>#DIV/0!</v>
      </c>
      <c r="H44" s="617"/>
      <c r="I44" s="616" t="e">
        <f>V44</f>
        <v>#DIV/0!</v>
      </c>
      <c r="J44" s="617"/>
      <c r="K44" s="1340"/>
      <c r="L44" s="2141"/>
      <c r="M44" s="2131"/>
      <c r="N44" s="2131"/>
      <c r="O44" s="2142"/>
      <c r="P44" s="3394" t="str">
        <f>A44</f>
        <v>比较价格（元/平方米）</v>
      </c>
      <c r="Q44" s="3394"/>
      <c r="R44" s="3396" t="e">
        <f>ROUND(PRODUCT(R43,AA9:AA42),0)</f>
        <v>#DIV/0!</v>
      </c>
      <c r="S44" s="3396"/>
      <c r="T44" s="3396" t="e">
        <f>ROUND(PRODUCT(T43,AB9:AB42),0)</f>
        <v>#DIV/0!</v>
      </c>
      <c r="U44" s="3396"/>
      <c r="V44" s="3396" t="e">
        <f>ROUND(PRODUCT(V43,AC9:AC42),0)</f>
        <v>#DIV/0!</v>
      </c>
      <c r="W44" s="3396"/>
      <c r="X44" s="1557"/>
      <c r="Y44" s="1557"/>
      <c r="Z44" s="1557"/>
      <c r="AA44" s="1557"/>
      <c r="AB44" s="1557"/>
      <c r="AC44" s="1557"/>
    </row>
    <row r="45" spans="1:29" ht="15.75" thickBot="1">
      <c r="A45" s="620" t="s">
        <v>2929</v>
      </c>
      <c r="B45" s="621"/>
      <c r="C45" s="622" t="e">
        <f>R45</f>
        <v>#DIV/0!</v>
      </c>
      <c r="D45" s="622"/>
      <c r="E45" s="622"/>
      <c r="F45" s="622"/>
      <c r="G45" s="622"/>
      <c r="H45" s="622"/>
      <c r="I45" s="622"/>
      <c r="J45" s="622"/>
      <c r="K45" s="1341"/>
      <c r="L45" s="2141"/>
      <c r="M45" s="2131"/>
      <c r="N45" s="2131"/>
      <c r="O45" s="2142"/>
      <c r="P45" s="3391" t="str">
        <f>A45</f>
        <v>估价对象XX用房的比较价格（楼面单价，元/平方米）</v>
      </c>
      <c r="Q45" s="3392"/>
      <c r="R45" s="3393" t="e">
        <f>ROUND(AVERAGE(R44:V44),0)</f>
        <v>#DIV/0!</v>
      </c>
      <c r="S45" s="3393"/>
      <c r="T45" s="3393"/>
      <c r="U45" s="3393"/>
      <c r="V45" s="3393"/>
      <c r="W45" s="3393"/>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560</v>
      </c>
      <c r="B52" s="629" t="s">
        <v>561</v>
      </c>
      <c r="C52" s="1558" t="s">
        <v>1725</v>
      </c>
      <c r="D52" s="2224" t="s">
        <v>2293</v>
      </c>
      <c r="E52" s="630" t="s">
        <v>562</v>
      </c>
      <c r="F52" s="1948" t="s">
        <v>563</v>
      </c>
      <c r="G52" s="3440" t="s">
        <v>2284</v>
      </c>
      <c r="H52" s="3441"/>
      <c r="I52" s="1949" t="s">
        <v>1948</v>
      </c>
      <c r="J52" s="1553">
        <f>项目基本情况!F41</f>
        <v>0</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564</v>
      </c>
      <c r="B53" s="633" t="e">
        <f>C45</f>
        <v>#DIV/0!</v>
      </c>
      <c r="C53" s="634">
        <v>1</v>
      </c>
      <c r="D53" s="2225">
        <v>1</v>
      </c>
      <c r="E53" s="634">
        <f>'数据-汇总表'!E8+'数据-汇总表'!E9</f>
        <v>46611</v>
      </c>
      <c r="F53" s="1947" t="e">
        <f t="shared" ref="F53:F62" si="15">ROUND(B53*E53/10000,0)</f>
        <v>#DIV/0!</v>
      </c>
      <c r="G53" s="3442"/>
      <c r="H53" s="3443"/>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565</v>
      </c>
      <c r="B54" s="637" t="e">
        <f>ROUND($C$45*C54*D54,0)</f>
        <v>#DIV/0!</v>
      </c>
      <c r="C54" s="377">
        <f t="shared" ref="C54:C62" si="16">IF($C$52="北京市系数",I54,J54)</f>
        <v>0</v>
      </c>
      <c r="D54" s="2226">
        <v>0.25</v>
      </c>
      <c r="E54" s="638"/>
      <c r="F54" s="1947" t="e">
        <f t="shared" si="15"/>
        <v>#DIV/0!</v>
      </c>
      <c r="G54" s="3444" t="s">
        <v>2285</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566</v>
      </c>
      <c r="B55" s="637" t="e">
        <f t="shared" ref="B55:B62" si="17">ROUND($C$45*C55*D55,0)</f>
        <v>#DIV/0!</v>
      </c>
      <c r="C55" s="377">
        <f t="shared" si="16"/>
        <v>0</v>
      </c>
      <c r="D55" s="2226">
        <v>0.25</v>
      </c>
      <c r="E55" s="638"/>
      <c r="F55" s="1947" t="e">
        <f t="shared" si="15"/>
        <v>#DIV/0!</v>
      </c>
      <c r="G55" s="3444"/>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567</v>
      </c>
      <c r="B56" s="637" t="e">
        <f t="shared" si="17"/>
        <v>#DIV/0!</v>
      </c>
      <c r="C56" s="377">
        <f t="shared" si="16"/>
        <v>0</v>
      </c>
      <c r="D56" s="2226">
        <v>0.25</v>
      </c>
      <c r="E56" s="638"/>
      <c r="F56" s="1947" t="e">
        <f t="shared" si="15"/>
        <v>#DIV/0!</v>
      </c>
      <c r="G56" s="3444"/>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568</v>
      </c>
      <c r="B57" s="637" t="e">
        <f t="shared" si="17"/>
        <v>#DIV/0!</v>
      </c>
      <c r="C57" s="377">
        <f t="shared" si="16"/>
        <v>0</v>
      </c>
      <c r="D57" s="2226">
        <v>0.25</v>
      </c>
      <c r="E57" s="638"/>
      <c r="F57" s="1947" t="e">
        <f t="shared" si="15"/>
        <v>#DIV/0!</v>
      </c>
      <c r="G57" s="3444"/>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2328</v>
      </c>
      <c r="B58" s="637" t="e">
        <f t="shared" si="17"/>
        <v>#DIV/0!</v>
      </c>
      <c r="C58" s="377">
        <f t="shared" si="16"/>
        <v>0</v>
      </c>
      <c r="D58" s="2226">
        <v>0.25</v>
      </c>
      <c r="E58" s="640">
        <f>'数据-汇总表'!E11</f>
        <v>1924</v>
      </c>
      <c r="F58" s="1947" t="e">
        <f t="shared" si="15"/>
        <v>#DIV/0!</v>
      </c>
      <c r="G58" s="1953" t="s">
        <v>2286</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569</v>
      </c>
      <c r="B59" s="637" t="e">
        <f t="shared" si="17"/>
        <v>#DIV/0!</v>
      </c>
      <c r="C59" s="377">
        <f t="shared" si="16"/>
        <v>0</v>
      </c>
      <c r="D59" s="2226">
        <v>0.25</v>
      </c>
      <c r="E59" s="640">
        <f>'数据-汇总表'!E12</f>
        <v>1755</v>
      </c>
      <c r="F59" s="1947" t="e">
        <f t="shared" si="15"/>
        <v>#DIV/0!</v>
      </c>
      <c r="G59" s="1943" t="s">
        <v>1678</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570</v>
      </c>
      <c r="B60" s="637" t="e">
        <f t="shared" si="17"/>
        <v>#DIV/0!</v>
      </c>
      <c r="C60" s="377">
        <f t="shared" si="16"/>
        <v>0</v>
      </c>
      <c r="D60" s="2226">
        <v>0.25</v>
      </c>
      <c r="E60" s="640">
        <f>'数据-汇总表'!E13</f>
        <v>9122</v>
      </c>
      <c r="F60" s="1947" t="e">
        <f t="shared" si="15"/>
        <v>#DIV/0!</v>
      </c>
      <c r="G60" s="1943" t="s">
        <v>923</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571</v>
      </c>
      <c r="B61" s="637" t="e">
        <f t="shared" si="17"/>
        <v>#DIV/0!</v>
      </c>
      <c r="C61" s="377">
        <f t="shared" si="16"/>
        <v>0</v>
      </c>
      <c r="D61" s="2226">
        <v>0.25</v>
      </c>
      <c r="E61" s="640">
        <f>'数据-汇总表'!E14</f>
        <v>0</v>
      </c>
      <c r="F61" s="1947" t="e">
        <f t="shared" si="15"/>
        <v>#DIV/0!</v>
      </c>
      <c r="G61" s="1953" t="s">
        <v>2285</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572</v>
      </c>
      <c r="B62" s="637" t="e">
        <f t="shared" si="17"/>
        <v>#DIV/0!</v>
      </c>
      <c r="C62" s="377">
        <f t="shared" si="16"/>
        <v>0</v>
      </c>
      <c r="D62" s="2226">
        <v>0.25</v>
      </c>
      <c r="E62" s="640">
        <f>'数据-汇总表'!E15</f>
        <v>0</v>
      </c>
      <c r="F62" s="1947" t="e">
        <f t="shared" si="15"/>
        <v>#DIV/0!</v>
      </c>
      <c r="G62" s="1954" t="s">
        <v>2286</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573</v>
      </c>
      <c r="B63" s="642" t="s">
        <v>17</v>
      </c>
      <c r="C63" s="642" t="s">
        <v>18</v>
      </c>
      <c r="D63" s="642" t="s">
        <v>2294</v>
      </c>
      <c r="E63" s="642">
        <f>IF(B43="楼面地价",SUM(E53:E62),'数据-汇总表'!D3)</f>
        <v>12237.13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6" customFormat="1" ht="15">
      <c r="A67" s="2589" t="s">
        <v>2534</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2649</v>
      </c>
      <c r="B68" s="478"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575</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531</v>
      </c>
      <c r="B70" s="647"/>
      <c r="C70" s="659" t="s">
        <v>576</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577</v>
      </c>
      <c r="B72" s="664" t="s">
        <v>534</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537</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539</v>
      </c>
      <c r="B85" s="664" t="s">
        <v>602</v>
      </c>
      <c r="C85" s="702" t="s">
        <v>579</v>
      </c>
      <c r="D85" s="702" t="s">
        <v>580</v>
      </c>
      <c r="E85" s="702" t="s">
        <v>581</v>
      </c>
      <c r="F85" s="702" t="s">
        <v>582</v>
      </c>
      <c r="G85" s="702" t="s">
        <v>583</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586</v>
      </c>
      <c r="C87" s="707" t="s">
        <v>579</v>
      </c>
      <c r="D87" s="707" t="s">
        <v>580</v>
      </c>
      <c r="E87" s="707" t="s">
        <v>581</v>
      </c>
      <c r="F87" s="707" t="s">
        <v>582</v>
      </c>
      <c r="G87" s="707" t="s">
        <v>583</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2549</v>
      </c>
      <c r="C93" s="702" t="s">
        <v>579</v>
      </c>
      <c r="D93" s="702" t="s">
        <v>580</v>
      </c>
      <c r="E93" s="702" t="s">
        <v>581</v>
      </c>
      <c r="F93" s="702" t="s">
        <v>582</v>
      </c>
      <c r="G93" s="702" t="s">
        <v>583</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2551</v>
      </c>
      <c r="C95" s="2619" t="s">
        <v>2552</v>
      </c>
      <c r="D95" s="2619" t="s">
        <v>2553</v>
      </c>
      <c r="E95" s="2619" t="s">
        <v>2554</v>
      </c>
      <c r="F95" s="2619" t="s">
        <v>2555</v>
      </c>
      <c r="G95" s="2619" t="s">
        <v>2556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589</v>
      </c>
      <c r="D97" s="673" t="s">
        <v>590</v>
      </c>
      <c r="E97" s="673" t="s">
        <v>591</v>
      </c>
      <c r="F97" s="673" t="s">
        <v>592</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548</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549</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0" t="str">
        <f t="shared" si="25"/>
        <v>(含)-</v>
      </c>
      <c r="L109" s="3111" t="str">
        <f t="shared" si="25"/>
        <v>(含)-</v>
      </c>
      <c r="M109" s="311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594</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2426</v>
      </c>
      <c r="C114" s="1374"/>
      <c r="D114" s="1374"/>
      <c r="E114" s="1374"/>
      <c r="F114" s="1374"/>
      <c r="G114" s="1374"/>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596</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73"/>
      <c r="G1" s="1399"/>
      <c r="H1" s="1399"/>
      <c r="I1" s="1399"/>
      <c r="J1" s="1399"/>
      <c r="K1" s="1399"/>
      <c r="L1" s="1879" t="s">
        <v>2238</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4" t="s">
        <v>920</v>
      </c>
      <c r="B2" s="1037"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2" t="s">
        <v>2239</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9" t="s">
        <v>1688</v>
      </c>
      <c r="B3" s="1037" t="e">
        <f>ROUND(B2*10000/D1,0)</f>
        <v>#DIV/0!</v>
      </c>
      <c r="C3" s="1405" t="s">
        <v>927</v>
      </c>
      <c r="D3" s="1406" t="s">
        <v>928</v>
      </c>
      <c r="E3" s="1410"/>
      <c r="F3" s="1411" t="s">
        <v>2930</v>
      </c>
      <c r="G3" s="1038">
        <f>IF(F3="宗地容积率",'数据-汇总表'!I4,IF(F3="估价对象容积率",'数据-汇总表'!I6,'数据-汇总表'!I7))</f>
        <v>3.5</v>
      </c>
      <c r="H3" s="1412" t="s">
        <v>929</v>
      </c>
      <c r="I3" s="1039">
        <v>8</v>
      </c>
      <c r="J3" s="1408" t="s">
        <v>930</v>
      </c>
      <c r="K3" s="1399"/>
      <c r="L3" s="1882" t="s">
        <v>2240</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2280</v>
      </c>
      <c r="B4" s="2474" t="e">
        <f>ROUND(B2*10000/F1,0)</f>
        <v>#DIV/0!</v>
      </c>
      <c r="C4" s="1891" t="s">
        <v>2254</v>
      </c>
      <c r="D4" s="1891" t="e">
        <f>ROUND(B2/(F1/666.67),0)</f>
        <v>#DIV/0!</v>
      </c>
      <c r="E4" s="1891" t="s">
        <v>2255</v>
      </c>
      <c r="F4" s="1889"/>
      <c r="G4" s="1889"/>
      <c r="H4" s="1889"/>
      <c r="I4" s="1889"/>
      <c r="J4" s="1890"/>
      <c r="K4" s="1399"/>
      <c r="L4" s="1882" t="s">
        <v>2241</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9" customFormat="1" ht="15.75" thickBot="1">
      <c r="A5" s="1636" t="s">
        <v>1824</v>
      </c>
      <c r="B5" s="1413" t="s">
        <v>931</v>
      </c>
      <c r="C5" s="1040" t="e">
        <f>ROUND(IF(E2="商业",IF(F16="增加",C6*C7+C16,C6*C7-C16),IF(E2="住宅",IF(F16="增加",C6*C12+C16,C6*C12-C16),IF(F16="增加",C6+C16,C6-C16))),0)</f>
        <v>#DIV/0!</v>
      </c>
      <c r="D5" s="3142">
        <f>ROUND(IF(E2="商业",IF(F16="增加",C6+C16,C6-C16)),0)</f>
        <v>0</v>
      </c>
      <c r="E5" s="1414"/>
      <c r="F5" s="1414"/>
      <c r="G5" s="1415"/>
      <c r="H5" s="1415"/>
      <c r="I5" s="1415"/>
      <c r="J5" s="1416"/>
      <c r="K5" s="1592"/>
      <c r="L5" s="1882" t="s">
        <v>2242</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1871</v>
      </c>
      <c r="B6" s="1420" t="s">
        <v>931</v>
      </c>
      <c r="C6" s="1041">
        <f>SUMIF(L1:L12,基准地价!G2,M1:M12)</f>
        <v>0</v>
      </c>
      <c r="D6" s="1421" t="s">
        <v>1696</v>
      </c>
      <c r="E6" s="1422"/>
      <c r="F6" s="1422"/>
      <c r="G6" s="1423"/>
      <c r="H6" s="1423"/>
      <c r="I6" s="1423"/>
      <c r="J6" s="1424"/>
      <c r="K6" s="1593"/>
      <c r="L6" s="1882" t="s">
        <v>2243</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54" t="str">
        <f>IF(E2="商业",IF(C8="不临58条商业街","",2),"")</f>
        <v/>
      </c>
      <c r="B7" s="1425" t="s">
        <v>932</v>
      </c>
      <c r="C7" s="1042" t="e">
        <f>IF(C8="不临58条商业街",1,ROUND(1+(1.6*E8+1.2*E9+0.8*E10+0.4*E11)*C9,4))</f>
        <v>#DIV/0!</v>
      </c>
      <c r="D7" s="1426" t="s">
        <v>933</v>
      </c>
      <c r="E7" s="1043"/>
      <c r="F7" s="1427"/>
      <c r="G7" s="1428"/>
      <c r="H7" s="1428"/>
      <c r="I7" s="1428"/>
      <c r="J7" s="1429"/>
      <c r="K7" s="1593"/>
      <c r="L7" s="1882" t="s">
        <v>2244</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3.5</v>
      </c>
      <c r="AA7" s="2189"/>
      <c r="AB7" s="2189"/>
      <c r="AC7" s="2190"/>
      <c r="AD7" s="2950"/>
      <c r="AE7" s="2950"/>
      <c r="AF7" s="2950"/>
      <c r="AG7" s="2950"/>
      <c r="AH7" s="2950"/>
      <c r="AI7" s="2950"/>
      <c r="AJ7" s="2951"/>
    </row>
    <row r="8" spans="1:39" ht="15">
      <c r="A8" s="3455"/>
      <c r="B8" s="1412" t="s">
        <v>934</v>
      </c>
      <c r="C8" s="1527"/>
      <c r="D8" s="1044" t="s">
        <v>935</v>
      </c>
      <c r="E8" s="1045" t="e">
        <f>ROUND(C11/E7,4)</f>
        <v>#DIV/0!</v>
      </c>
      <c r="F8" s="1430" t="s">
        <v>936</v>
      </c>
      <c r="G8" s="1431"/>
      <c r="H8" s="1431"/>
      <c r="I8" s="1431"/>
      <c r="J8" s="1432"/>
      <c r="K8" s="1399"/>
      <c r="L8" s="1882" t="s">
        <v>2245</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6" t="s">
        <v>2783</v>
      </c>
      <c r="X8" s="3447"/>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55"/>
      <c r="B9" s="1412" t="s">
        <v>937</v>
      </c>
      <c r="C9" s="1046">
        <f>SUMIF(修正!C59:C119,C8,修正!E59:E119)</f>
        <v>0</v>
      </c>
      <c r="D9" s="1047" t="s">
        <v>938</v>
      </c>
      <c r="E9" s="1047" t="e">
        <f>ROUND(C11/E7,4)</f>
        <v>#DIV/0!</v>
      </c>
      <c r="F9" s="1430" t="s">
        <v>939</v>
      </c>
      <c r="G9" s="1431"/>
      <c r="H9" s="1431"/>
      <c r="I9" s="1431"/>
      <c r="J9" s="1432"/>
      <c r="K9" s="1399"/>
      <c r="L9" s="1882" t="s">
        <v>2246</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5" t="s">
        <v>2779</v>
      </c>
      <c r="X9" s="2952" t="s">
        <v>2780</v>
      </c>
      <c r="Y9" s="3116"/>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5"/>
      <c r="B10" s="1412" t="s">
        <v>940</v>
      </c>
      <c r="C10" s="1047">
        <f>SUMIF(修正!C59:C119,C8,修正!F59:F119)</f>
        <v>0</v>
      </c>
      <c r="D10" s="1047" t="s">
        <v>941</v>
      </c>
      <c r="E10" s="1047" t="e">
        <f>ROUND(C11/E7,4)</f>
        <v>#DIV/0!</v>
      </c>
      <c r="F10" s="1430" t="s">
        <v>942</v>
      </c>
      <c r="G10" s="1431"/>
      <c r="H10" s="1431"/>
      <c r="I10" s="1431"/>
      <c r="J10" s="1432"/>
      <c r="K10" s="1399"/>
      <c r="L10" s="1882" t="s">
        <v>2247</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5"/>
      <c r="B11" s="1433" t="s">
        <v>943</v>
      </c>
      <c r="C11" s="1048">
        <f>C10/4</f>
        <v>0</v>
      </c>
      <c r="D11" s="1048" t="s">
        <v>944</v>
      </c>
      <c r="E11" s="1048" t="e">
        <f>ROUND(C11/E7,4)</f>
        <v>#DIV/0!</v>
      </c>
      <c r="F11" s="1434" t="s">
        <v>945</v>
      </c>
      <c r="G11" s="1435"/>
      <c r="H11" s="1435"/>
      <c r="I11" s="1435"/>
      <c r="J11" s="1436"/>
      <c r="K11" s="1399"/>
      <c r="L11" s="1882" t="s">
        <v>2248</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5" t="s">
        <v>2781</v>
      </c>
      <c r="X11" s="1047" t="s">
        <v>2766</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5" thickBot="1">
      <c r="A12" s="3454" t="s">
        <v>1872</v>
      </c>
      <c r="B12" s="1437" t="s">
        <v>946</v>
      </c>
      <c r="C12" s="1042">
        <f>ROUND(C15*D15*E15*F15*G15*H15*I15*J15,4)</f>
        <v>1</v>
      </c>
      <c r="D12" s="1438" t="s">
        <v>947</v>
      </c>
      <c r="E12" s="1439"/>
      <c r="F12" s="1439"/>
      <c r="G12" s="1440"/>
      <c r="H12" s="1440"/>
      <c r="I12" s="1440"/>
      <c r="J12" s="1441"/>
      <c r="K12" s="1399"/>
      <c r="L12" s="1885" t="s">
        <v>2249</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5"/>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6"/>
      <c r="B13" s="1442" t="s">
        <v>1697</v>
      </c>
      <c r="C13" s="1443" t="s">
        <v>1698</v>
      </c>
      <c r="D13" s="1088" t="s">
        <v>1699</v>
      </c>
      <c r="E13" s="1088" t="s">
        <v>1700</v>
      </c>
      <c r="F13" s="1444" t="s">
        <v>948</v>
      </c>
      <c r="G13" s="1445" t="s">
        <v>1643</v>
      </c>
      <c r="H13" s="1446" t="s">
        <v>1643</v>
      </c>
      <c r="I13" s="1447" t="s">
        <v>1643</v>
      </c>
      <c r="J13" s="1448" t="s">
        <v>1643</v>
      </c>
      <c r="K13" s="1399"/>
      <c r="L13" s="2186"/>
      <c r="M13" s="2186"/>
      <c r="N13" s="2186"/>
      <c r="O13" s="2186"/>
      <c r="P13" s="2186"/>
      <c r="Q13" s="2186"/>
      <c r="R13" s="2958">
        <v>12</v>
      </c>
      <c r="S13" s="2947"/>
      <c r="T13" s="2958" t="e">
        <f t="shared" si="0"/>
        <v>#DIV/0!</v>
      </c>
      <c r="U13" s="2947"/>
      <c r="V13" s="2958" t="e">
        <f t="shared" si="1"/>
        <v>#DIV/0!</v>
      </c>
      <c r="W13" s="3445"/>
      <c r="X13" s="2955"/>
      <c r="Y13" s="2954">
        <f>(-0.163*(Y12^2)-0.59*Y12+7617)*(10^(-4))/Y11</f>
        <v>0.21762857142857145</v>
      </c>
      <c r="Z13" s="2954">
        <f t="shared" ref="Z13:AJ13" si="5">(-0.163*(Z12^2)-0.59*Z12+7617)*(10^(-4))/Z11</f>
        <v>0.21762857142857145</v>
      </c>
      <c r="AA13" s="2954">
        <f t="shared" si="5"/>
        <v>0.21762857142857145</v>
      </c>
      <c r="AB13" s="2954">
        <f t="shared" si="5"/>
        <v>0.21762857142857145</v>
      </c>
      <c r="AC13" s="2954">
        <f t="shared" si="5"/>
        <v>0.21762857142857145</v>
      </c>
      <c r="AD13" s="2954">
        <f t="shared" si="5"/>
        <v>0.21762857142857145</v>
      </c>
      <c r="AE13" s="2954">
        <f t="shared" si="5"/>
        <v>0.21762857142857145</v>
      </c>
      <c r="AF13" s="2954">
        <f t="shared" si="5"/>
        <v>0.21762857142857145</v>
      </c>
      <c r="AG13" s="2954">
        <f t="shared" si="5"/>
        <v>0.21762857142857145</v>
      </c>
      <c r="AH13" s="2954">
        <f t="shared" si="5"/>
        <v>0.21762857142857145</v>
      </c>
      <c r="AI13" s="2954">
        <f t="shared" si="5"/>
        <v>0.21762857142857145</v>
      </c>
      <c r="AJ13" s="2954">
        <f t="shared" si="5"/>
        <v>0.21762857142857145</v>
      </c>
    </row>
    <row r="14" spans="1:39" ht="12.75" customHeight="1" thickBot="1">
      <c r="A14" s="3456"/>
      <c r="B14" s="1449"/>
      <c r="C14" s="1450"/>
      <c r="D14" s="1451"/>
      <c r="E14" s="1451"/>
      <c r="F14" s="1452"/>
      <c r="G14" s="1453" t="s">
        <v>949</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57"/>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6"/>
      <c r="R15" s="2958">
        <v>14</v>
      </c>
      <c r="S15" s="2947"/>
      <c r="T15" s="2958" t="e">
        <f t="shared" si="0"/>
        <v>#DIV/0!</v>
      </c>
      <c r="U15" s="2947"/>
      <c r="V15" s="2958" t="e">
        <f t="shared" si="1"/>
        <v>#DIV/0!</v>
      </c>
      <c r="W15" s="2186"/>
      <c r="X15" s="2186"/>
      <c r="Y15" s="2186"/>
      <c r="Z15" s="2186"/>
      <c r="AA15" s="2186"/>
      <c r="AB15" s="2186"/>
      <c r="AC15" s="2187"/>
    </row>
    <row r="16" spans="1:39" ht="24">
      <c r="A16" s="3454"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55"/>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1830</v>
      </c>
      <c r="B18" s="2793" t="s">
        <v>956</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1836</v>
      </c>
      <c r="B19" s="1468" t="s">
        <v>957</v>
      </c>
      <c r="C19" s="1056" t="e">
        <f>ROUND(IF(H19="按公示增长率计算",SUMPRODUCT((地价!A3:A22=YEAR(G19)&amp;"-"&amp;ROUNDUP(MONTH(G19)/3,0))*(地价!X2:AB2=E2)*(地价!X3:AB22)),IF(H19="地价指数",M20/M19,(1+I19)^O19)),4)</f>
        <v>#DIV/0!</v>
      </c>
      <c r="D19" s="1472" t="s">
        <v>958</v>
      </c>
      <c r="E19" s="1057">
        <v>41640</v>
      </c>
      <c r="F19" s="1472" t="s">
        <v>959</v>
      </c>
      <c r="G19" s="1058">
        <f>'数据-取费表'!B2</f>
        <v>43238</v>
      </c>
      <c r="H19" s="1473" t="s">
        <v>2931</v>
      </c>
      <c r="I19" s="2805" t="str">
        <f>IF(H19="季度增幅（自定义）",SUMIF(N21:N24,E2,O21:O24),"")</f>
        <v/>
      </c>
      <c r="J19" s="1469"/>
      <c r="K19" s="1479"/>
      <c r="L19" s="3059" t="s">
        <v>2841</v>
      </c>
      <c r="M19" s="3060">
        <f>ROUND(SUMIF(地价!B2:F2,E2,地价!B22:F22),0)</f>
        <v>0</v>
      </c>
      <c r="N19" s="2807" t="s">
        <v>1677</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1837</v>
      </c>
      <c r="B20" s="2800" t="s">
        <v>972</v>
      </c>
      <c r="C20" s="2801" t="e">
        <f>ROUND(POWER(1+G20,J20-I20)*(POWER(1+G20,I20)-1)/(POWER(1+G20,J20)-1),4)</f>
        <v>#DIV/0!</v>
      </c>
      <c r="D20" s="2802" t="s">
        <v>973</v>
      </c>
      <c r="E20" s="3113">
        <f ca="1">存贷款利率!I4/100</f>
        <v>4.3499999999999997E-2</v>
      </c>
      <c r="F20" s="2802" t="s">
        <v>974</v>
      </c>
      <c r="G20" s="2803">
        <f>SUMIF(M15:P15,E2,M17:P17)</f>
        <v>0</v>
      </c>
      <c r="H20" s="2802" t="s">
        <v>975</v>
      </c>
      <c r="I20" s="2792" t="e">
        <f>SUMIF('数据-取费表'!C6:C15,E2,'数据-取费表'!F6:F15)/COUNTIF('数据-取费表'!C6:C15,E2)</f>
        <v>#DIV/0!</v>
      </c>
      <c r="J20" s="2804">
        <f>IF(E2="住宅",70,IF(E2="商业",40,50))</f>
        <v>50</v>
      </c>
      <c r="K20" s="1479"/>
      <c r="L20" s="3061" t="s">
        <v>2842</v>
      </c>
      <c r="M20" s="3062">
        <f>ROUND(SUMPRODUCT((地价!A4:A22=YEAR(G19)&amp;"-"&amp;ROUNDUP(MONTH(G19)/3,0))*(地价!B2:F2=E2)*(地价!B4:F22)),0)</f>
        <v>0</v>
      </c>
      <c r="N20" s="2810" t="s">
        <v>2646</v>
      </c>
      <c r="O20" s="2808" t="s">
        <v>2645</v>
      </c>
      <c r="P20" s="2809" t="s">
        <v>2650</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1838</v>
      </c>
      <c r="B21" s="1478" t="s">
        <v>2761</v>
      </c>
      <c r="C21" s="1157">
        <f>IF(B21="容积率修正",IF(G3&lt;=10,D22,J22),C23)</f>
        <v>0</v>
      </c>
      <c r="D21" s="1479"/>
      <c r="E21" s="1479"/>
      <c r="F21" s="1479"/>
      <c r="G21" s="1479"/>
      <c r="H21" s="1479"/>
      <c r="I21" s="1479"/>
      <c r="J21" s="1480"/>
      <c r="K21" s="1479"/>
      <c r="L21" s="1479"/>
      <c r="M21" s="1479"/>
      <c r="N21" s="1476" t="s">
        <v>976</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1871</v>
      </c>
      <c r="B22" s="1481"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79"/>
      <c r="L22" s="1479"/>
      <c r="M22" s="1479"/>
      <c r="N22" s="1476" t="s">
        <v>979</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1872</v>
      </c>
      <c r="B23" s="1481" t="s">
        <v>980</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2"/>
      <c r="M25" s="2192"/>
      <c r="N25" s="2818" t="s">
        <v>2648</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987</v>
      </c>
      <c r="C26" s="1062"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990</v>
      </c>
      <c r="C28" s="1497" t="s">
        <v>991</v>
      </c>
      <c r="D28" s="1497" t="s">
        <v>992</v>
      </c>
      <c r="E28" s="1498" t="s">
        <v>993</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994</v>
      </c>
      <c r="C29" s="1062" t="e">
        <f>ROUND(C5*C18*C19*C20*C21*C24,0)</f>
        <v>#DIV/0!</v>
      </c>
      <c r="D29" s="1502"/>
      <c r="E29" s="1846" t="e">
        <f>ROUND(C29*D29/10000,0)</f>
        <v>#DIV/0!</v>
      </c>
      <c r="F29" s="1503" t="s">
        <v>1702</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995</v>
      </c>
      <c r="C30" s="1050" t="e">
        <f>ROUND(IF(E2="工业",C29*M39,C29*M38),0)</f>
        <v>#DIV/0!</v>
      </c>
      <c r="D30" s="1508"/>
      <c r="E30" s="1846" t="e">
        <f>ROUND(C30*D30/10000,0)</f>
        <v>#DIV/0!</v>
      </c>
      <c r="F30" s="1509" t="s">
        <v>996</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60" t="s">
        <v>2958</v>
      </c>
      <c r="B33" s="1522" t="s">
        <v>1000</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61"/>
      <c r="B34" s="1443" t="s">
        <v>1001</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61"/>
      <c r="B35" s="1443" t="s">
        <v>1002</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62"/>
      <c r="B36" s="1443" t="s">
        <v>1003</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1004</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1704</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1005</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1706</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1006</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1705</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1008</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6" t="s">
        <v>1009</v>
      </c>
      <c r="B46" s="2429" t="s">
        <v>1010</v>
      </c>
      <c r="C46" s="2451" t="s">
        <v>1011</v>
      </c>
      <c r="D46" s="2452" t="s">
        <v>1012</v>
      </c>
      <c r="E46" s="2453" t="s">
        <v>1014</v>
      </c>
      <c r="F46" s="2454" t="s">
        <v>2250</v>
      </c>
      <c r="G46" s="2452" t="s">
        <v>1015</v>
      </c>
      <c r="H46" s="2435" t="s">
        <v>2419</v>
      </c>
      <c r="I46" s="2452" t="s">
        <v>1013</v>
      </c>
      <c r="J46" s="2455" t="s">
        <v>1016</v>
      </c>
      <c r="K46" s="2455" t="s">
        <v>1017</v>
      </c>
      <c r="L46" s="2455" t="s">
        <v>1018</v>
      </c>
      <c r="M46" s="2455" t="s">
        <v>1019</v>
      </c>
      <c r="N46" s="2455"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48">
      <c r="A47" s="1066" t="s">
        <v>1021</v>
      </c>
      <c r="B47" s="2432" t="str">
        <f>估价对象房地状况!C16</f>
        <v>估价对象位于中关村环保科技园，周边商业氛围成熟度一般，人流量一般，商业繁华度一般。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84">
      <c r="A48" s="1066" t="s">
        <v>1022</v>
      </c>
      <c r="B48" s="2429" t="str">
        <f>估价对象房地状况!C18</f>
        <v>估价对象临近城市主干道——北清路，公共交通通达情况较好，有543路、633路、642路等公交线路及地铁16号线，停车便捷程度较好，综合评价交通便捷度较好。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36">
      <c r="A49" s="1066" t="s">
        <v>1023</v>
      </c>
      <c r="B49" s="2429" t="str">
        <f>估价对象房地状况!C19</f>
        <v>区域内多为商业办公用地，土地利用方向较一致。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6" t="s">
        <v>1024</v>
      </c>
      <c r="B50" s="3115" t="s">
        <v>2933</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6" t="s">
        <v>1025</v>
      </c>
      <c r="B51" s="2429" t="str">
        <f>估价对象房地状况!C24</f>
        <v>城市次干道——稻香湖路</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6" t="s">
        <v>1026</v>
      </c>
      <c r="B52" s="3114" t="s">
        <v>2932</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108">
      <c r="A53" s="2461" t="s">
        <v>1027</v>
      </c>
      <c r="B53" s="2430" t="str">
        <f>估价对象房地状况!C21</f>
        <v>估价对象所在区域2公里内有：银行（中国建设银行、中国民生银行），购物（华联生活超市、超市发超市），学校（人大附中北大附小联合实验学校、苏三四小学），无医院，公共配套设施齐备情况一般。</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1028</v>
      </c>
      <c r="B54" s="2429" t="str">
        <f>估价对象房地状况!C22</f>
        <v>估价对象所在区域基础设施水平达到“七通”。</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48.75" thickBot="1">
      <c r="A55" s="2462" t="s">
        <v>1029</v>
      </c>
      <c r="B55" s="2433" t="str">
        <f>估价对象房地状况!C20</f>
        <v>区域自然环境：东埠头沟公园；人文环境：无博物馆、展览馆等人文景观；综合评价环境状况一般。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1030</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6" t="s">
        <v>1009</v>
      </c>
      <c r="B57" s="2429"/>
      <c r="C57" s="2451" t="s">
        <v>1011</v>
      </c>
      <c r="D57" s="2452" t="s">
        <v>1012</v>
      </c>
      <c r="E57" s="2453" t="s">
        <v>1014</v>
      </c>
      <c r="F57" s="2454" t="s">
        <v>2251</v>
      </c>
      <c r="G57" s="2452" t="s">
        <v>1015</v>
      </c>
      <c r="H57" s="2435" t="s">
        <v>2419</v>
      </c>
      <c r="I57" s="2452" t="s">
        <v>1013</v>
      </c>
      <c r="J57" s="2455" t="s">
        <v>1016</v>
      </c>
      <c r="K57" s="2455" t="s">
        <v>1017</v>
      </c>
      <c r="L57" s="2455" t="s">
        <v>1018</v>
      </c>
      <c r="M57" s="2455" t="s">
        <v>1019</v>
      </c>
      <c r="N57" s="2455"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60">
      <c r="A58" s="1066" t="s">
        <v>1031</v>
      </c>
      <c r="B58" s="2432" t="str">
        <f>估价对象房地状况!C17</f>
        <v>估价对象位于中关村环保科技园，周边办公楼项目较多，有百卓大厦、同有科技大厦等，入驻率较高，办公集聚程度较好。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84">
      <c r="A59" s="1066" t="s">
        <v>1022</v>
      </c>
      <c r="B59" s="2429" t="str">
        <f>估价对象房地状况!C18</f>
        <v>估价对象临近城市主干道——北清路，公共交通通达情况较好，有543路、633路、642路等公交线路及地铁16号线，停车便捷程度较好，综合评价交通便捷度较好。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36">
      <c r="A60" s="1066" t="s">
        <v>1023</v>
      </c>
      <c r="B60" s="2429" t="str">
        <f>估价对象房地状况!C19</f>
        <v>区域内多为商业办公用地，土地利用方向较一致。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6" t="s">
        <v>1024</v>
      </c>
      <c r="B61" s="3115" t="s">
        <v>2934</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6" t="s">
        <v>1025</v>
      </c>
      <c r="B62" s="2429" t="str">
        <f>估价对象房地状况!C24</f>
        <v>城市次干道——稻香湖路</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6" t="s">
        <v>1026</v>
      </c>
      <c r="B63" s="3114" t="s">
        <v>2932</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108">
      <c r="A64" s="1066" t="s">
        <v>1027</v>
      </c>
      <c r="B64" s="2430" t="str">
        <f>估价对象房地状况!C21</f>
        <v>估价对象所在区域2公里内有：银行（中国建设银行、中国民生银行），购物（华联生活超市、超市发超市），学校（人大附中北大附小联合实验学校、苏三四小学），无医院，公共配套设施齐备情况一般。</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6" t="s">
        <v>1028</v>
      </c>
      <c r="B65" s="2430" t="str">
        <f>估价对象房地状况!C22</f>
        <v>估价对象所在区域基础设施水平达到“七通”。</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48.75" thickBot="1">
      <c r="A66" s="2462" t="s">
        <v>1029</v>
      </c>
      <c r="B66" s="2434" t="str">
        <f>估价对象房地状况!C20</f>
        <v>区域自然环境：东埠头沟公园；人文环境：无博物馆、展览馆等人文景观；综合评价环境状况一般。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1032</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6" t="s">
        <v>1009</v>
      </c>
      <c r="B68" s="2429"/>
      <c r="C68" s="2451" t="s">
        <v>1011</v>
      </c>
      <c r="D68" s="2452" t="s">
        <v>1012</v>
      </c>
      <c r="E68" s="2453" t="s">
        <v>1014</v>
      </c>
      <c r="F68" s="2454" t="s">
        <v>2252</v>
      </c>
      <c r="G68" s="2452" t="s">
        <v>1015</v>
      </c>
      <c r="H68" s="2435" t="s">
        <v>2419</v>
      </c>
      <c r="I68" s="2452" t="s">
        <v>1013</v>
      </c>
      <c r="J68" s="2455" t="s">
        <v>1016</v>
      </c>
      <c r="K68" s="2455" t="s">
        <v>1017</v>
      </c>
      <c r="L68" s="2455" t="s">
        <v>1018</v>
      </c>
      <c r="M68" s="2455" t="s">
        <v>1019</v>
      </c>
      <c r="N68" s="2455"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24">
      <c r="A69" s="1066" t="s">
        <v>1033</v>
      </c>
      <c r="B69" s="2432">
        <f>估价对象房地状况!C15</f>
        <v>0</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84">
      <c r="A70" s="1066" t="s">
        <v>1034</v>
      </c>
      <c r="B70" s="2429" t="str">
        <f>估价对象房地状况!C18</f>
        <v>估价对象临近城市主干道——北清路，公共交通通达情况较好，有543路、633路、642路等公交线路及地铁16号线，停车便捷程度较好，综合评价交通便捷度较好。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36">
      <c r="A71" s="1066" t="s">
        <v>1023</v>
      </c>
      <c r="B71" s="2429" t="str">
        <f>估价对象房地状况!C19</f>
        <v>区域内多为商业办公用地，土地利用方向较一致。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6" t="s">
        <v>1035</v>
      </c>
      <c r="B72" s="2429" t="str">
        <f>估价对象房地状况!C24</f>
        <v>城市次干道——稻香湖路</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108">
      <c r="A73" s="1066" t="s">
        <v>1027</v>
      </c>
      <c r="B73" s="2430" t="str">
        <f>估价对象房地状况!C21</f>
        <v>估价对象所在区域2公里内有：银行（中国建设银行、中国民生银行），购物（华联生活超市、超市发超市），学校（人大附中北大附小联合实验学校、苏三四小学），无医院，公共配套设施齐备情况一般。</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6" t="s">
        <v>1028</v>
      </c>
      <c r="B74" s="2430" t="str">
        <f>估价对象房地状况!C22</f>
        <v>估价对象所在区域基础设施水平达到“七通”。</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6" t="s">
        <v>1026</v>
      </c>
      <c r="B75" s="3114" t="s">
        <v>2932</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48">
      <c r="A76" s="1066" t="s">
        <v>1029</v>
      </c>
      <c r="B76" s="2432" t="str">
        <f>估价对象房地状况!C20</f>
        <v>区域自然环境：东埠头沟公园；人文环境：无博物馆、展览馆等人文景观；综合评价环境状况一般。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1036</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1037</v>
      </c>
      <c r="B78" s="2446">
        <f>1+E80</f>
        <v>1</v>
      </c>
      <c r="C78" s="2465"/>
      <c r="D78" s="2448"/>
      <c r="E78" s="2449"/>
      <c r="F78" s="2450"/>
      <c r="G78" s="2444"/>
      <c r="H78" s="2444"/>
      <c r="I78" s="2444"/>
      <c r="J78" s="1065"/>
      <c r="K78" s="1065"/>
      <c r="L78" s="1065"/>
      <c r="M78" s="1065"/>
      <c r="N78" s="1065"/>
      <c r="AC78" s="1403"/>
      <c r="AD78" s="1402"/>
      <c r="AJ78" s="1401"/>
      <c r="AN78" s="1402"/>
    </row>
    <row r="79" spans="1:40" ht="24">
      <c r="A79" s="1066" t="s">
        <v>1009</v>
      </c>
      <c r="B79" s="2429"/>
      <c r="C79" s="2451" t="s">
        <v>1011</v>
      </c>
      <c r="D79" s="2452" t="s">
        <v>1012</v>
      </c>
      <c r="E79" s="2453" t="s">
        <v>1014</v>
      </c>
      <c r="F79" s="2454" t="s">
        <v>2253</v>
      </c>
      <c r="G79" s="2452" t="s">
        <v>1015</v>
      </c>
      <c r="H79" s="2435" t="s">
        <v>2419</v>
      </c>
      <c r="I79" s="2452" t="s">
        <v>1013</v>
      </c>
      <c r="J79" s="2455" t="s">
        <v>1016</v>
      </c>
      <c r="K79" s="2455" t="s">
        <v>1017</v>
      </c>
      <c r="L79" s="2455" t="s">
        <v>1018</v>
      </c>
      <c r="M79" s="2455" t="s">
        <v>1019</v>
      </c>
      <c r="N79" s="2455" t="s">
        <v>1020</v>
      </c>
      <c r="AC79" s="1403"/>
      <c r="AD79" s="1402"/>
      <c r="AJ79" s="1401"/>
      <c r="AN79" s="1402"/>
    </row>
    <row r="80" spans="1:40" ht="36">
      <c r="A80" s="1066" t="s">
        <v>1038</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6" t="s">
        <v>1034</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6" t="s">
        <v>1023</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6" t="s">
        <v>1035</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6" t="s">
        <v>1027</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6" t="s">
        <v>1028</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6" t="s">
        <v>1026</v>
      </c>
      <c r="B86" s="3114" t="s">
        <v>2932</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1039</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58" t="s">
        <v>1634</v>
      </c>
      <c r="B90" s="3458"/>
      <c r="C90" s="3458"/>
      <c r="D90" s="3458"/>
      <c r="E90" s="3458"/>
      <c r="F90" s="3458"/>
      <c r="G90" s="3458"/>
      <c r="H90" s="3458"/>
      <c r="I90" s="3458"/>
      <c r="J90" s="3458"/>
      <c r="K90" s="2471"/>
      <c r="L90" s="2471"/>
      <c r="M90" s="2471"/>
      <c r="N90" s="2471"/>
    </row>
    <row r="91" spans="1:40">
      <c r="A91" s="3459" t="s">
        <v>1444</v>
      </c>
      <c r="B91" s="3459" t="s">
        <v>1635</v>
      </c>
      <c r="C91" s="1139" t="s">
        <v>1636</v>
      </c>
      <c r="D91" s="1140"/>
      <c r="E91" s="1140"/>
      <c r="F91" s="1140"/>
      <c r="G91" s="1140"/>
      <c r="H91" s="1140"/>
      <c r="I91" s="1140"/>
      <c r="J91" s="1141"/>
      <c r="K91" s="1133"/>
      <c r="L91" s="1133"/>
      <c r="M91" s="1133"/>
      <c r="N91" s="1133"/>
    </row>
    <row r="92" spans="1:40">
      <c r="A92" s="3459"/>
      <c r="B92" s="3459"/>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448"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8"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49"/>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49"/>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49"/>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49"/>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49"/>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49"/>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49"/>
      <c r="B108" s="345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0"/>
      <c r="B109" s="3452"/>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53" t="s">
        <v>1640</v>
      </c>
      <c r="B110" s="3453"/>
      <c r="C110" s="3453"/>
      <c r="D110" s="3453"/>
      <c r="E110" s="3453"/>
      <c r="F110" s="3453"/>
      <c r="G110" s="3453"/>
      <c r="H110" s="3453"/>
      <c r="I110" s="3453"/>
      <c r="J110" s="3453"/>
      <c r="K110" s="2469"/>
      <c r="L110" s="2469"/>
      <c r="M110" s="2469"/>
      <c r="N110" s="2469"/>
    </row>
    <row r="112" spans="1:14" ht="12.75" thickBot="1"/>
    <row r="113" spans="1:13" ht="25.5" thickBot="1">
      <c r="A113" s="1015" t="s">
        <v>896</v>
      </c>
      <c r="B113" s="2472">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59" t="s">
        <v>1008</v>
      </c>
      <c r="B18" s="1153" t="s">
        <v>1447</v>
      </c>
      <c r="C18" s="1130" t="s">
        <v>1448</v>
      </c>
      <c r="D18" s="1131"/>
      <c r="E18" s="1153">
        <v>1</v>
      </c>
      <c r="F18" s="1132" t="s">
        <v>1449</v>
      </c>
      <c r="G18" s="1133"/>
      <c r="H18" s="1104"/>
      <c r="I18" s="1104"/>
    </row>
    <row r="19" spans="1:9" s="1597" customFormat="1" ht="19.5" customHeight="1">
      <c r="A19" s="3459"/>
      <c r="B19" s="3459" t="s">
        <v>1450</v>
      </c>
      <c r="C19" s="1130" t="s">
        <v>1451</v>
      </c>
      <c r="D19" s="1131"/>
      <c r="E19" s="1153">
        <v>0.9</v>
      </c>
      <c r="F19" s="1132" t="s">
        <v>1452</v>
      </c>
      <c r="G19" s="1133"/>
      <c r="H19" s="1104"/>
      <c r="I19" s="1104"/>
    </row>
    <row r="20" spans="1:9" s="1597" customFormat="1" ht="19.5" customHeight="1">
      <c r="A20" s="3459"/>
      <c r="B20" s="3459"/>
      <c r="C20" s="1130" t="s">
        <v>1453</v>
      </c>
      <c r="D20" s="1131"/>
      <c r="E20" s="1153">
        <v>1.1000000000000001</v>
      </c>
      <c r="F20" s="1132" t="s">
        <v>1454</v>
      </c>
      <c r="G20" s="1133"/>
      <c r="H20" s="1104"/>
      <c r="I20" s="1104"/>
    </row>
    <row r="21" spans="1:9" s="1597" customFormat="1" ht="19.5" customHeight="1">
      <c r="A21" s="3459"/>
      <c r="B21" s="3459"/>
      <c r="C21" s="1130" t="s">
        <v>1455</v>
      </c>
      <c r="D21" s="1131"/>
      <c r="E21" s="1153">
        <v>0.8</v>
      </c>
      <c r="F21" s="1132" t="s">
        <v>1456</v>
      </c>
      <c r="G21" s="1133"/>
      <c r="H21" s="1104"/>
      <c r="I21" s="1104"/>
    </row>
    <row r="22" spans="1:9" s="1597" customFormat="1" ht="19.5" customHeight="1">
      <c r="A22" s="3459"/>
      <c r="B22" s="3459"/>
      <c r="C22" s="1130" t="s">
        <v>1457</v>
      </c>
      <c r="D22" s="1131"/>
      <c r="E22" s="1153">
        <v>0.5</v>
      </c>
      <c r="F22" s="1132"/>
      <c r="G22" s="1133"/>
      <c r="H22" s="1104"/>
      <c r="I22" s="1104"/>
    </row>
    <row r="23" spans="1:9" s="1597" customFormat="1" ht="19.5" customHeight="1">
      <c r="A23" s="3459" t="s">
        <v>1030</v>
      </c>
      <c r="B23" s="1153" t="s">
        <v>1447</v>
      </c>
      <c r="C23" s="1130" t="s">
        <v>1458</v>
      </c>
      <c r="D23" s="1131"/>
      <c r="E23" s="1153">
        <v>1</v>
      </c>
      <c r="F23" s="1132" t="s">
        <v>1459</v>
      </c>
      <c r="G23" s="1133"/>
      <c r="H23" s="1104"/>
      <c r="I23" s="1104"/>
    </row>
    <row r="24" spans="1:9" s="1597" customFormat="1" ht="19.5" customHeight="1">
      <c r="A24" s="3459"/>
      <c r="B24" s="3459" t="s">
        <v>1450</v>
      </c>
      <c r="C24" s="1130" t="s">
        <v>1460</v>
      </c>
      <c r="D24" s="1131"/>
      <c r="E24" s="1153">
        <v>0.5</v>
      </c>
      <c r="F24" s="1132"/>
      <c r="G24" s="1133"/>
      <c r="H24" s="1104"/>
      <c r="I24" s="1104"/>
    </row>
    <row r="25" spans="1:9" s="1597" customFormat="1" ht="19.5" customHeight="1">
      <c r="A25" s="3459"/>
      <c r="B25" s="3459"/>
      <c r="C25" s="1130" t="s">
        <v>1461</v>
      </c>
      <c r="D25" s="1131"/>
      <c r="E25" s="1153">
        <v>1.1000000000000001</v>
      </c>
      <c r="F25" s="1132"/>
      <c r="G25" s="1133"/>
      <c r="H25" s="1104"/>
      <c r="I25" s="1104"/>
    </row>
    <row r="26" spans="1:9" s="1597" customFormat="1" ht="19.5" customHeight="1">
      <c r="A26" s="3459"/>
      <c r="B26" s="3459"/>
      <c r="C26" s="1130" t="s">
        <v>1462</v>
      </c>
      <c r="D26" s="1131"/>
      <c r="E26" s="1153">
        <v>1.1000000000000001</v>
      </c>
      <c r="F26" s="1132"/>
      <c r="G26" s="1133"/>
      <c r="H26" s="1104"/>
      <c r="I26" s="1104"/>
    </row>
    <row r="27" spans="1:9" s="1597" customFormat="1" ht="19.5" customHeight="1">
      <c r="A27" s="3459"/>
      <c r="B27" s="3459"/>
      <c r="C27" s="1130" t="s">
        <v>1463</v>
      </c>
      <c r="D27" s="1131"/>
      <c r="E27" s="1153">
        <v>0.9</v>
      </c>
      <c r="F27" s="1132" t="s">
        <v>1464</v>
      </c>
      <c r="G27" s="1133"/>
      <c r="H27" s="1104"/>
      <c r="I27" s="1104"/>
    </row>
    <row r="28" spans="1:9" s="1597" customFormat="1" ht="19.5" customHeight="1">
      <c r="A28" s="3459"/>
      <c r="B28" s="3459"/>
      <c r="C28" s="1130" t="s">
        <v>1465</v>
      </c>
      <c r="D28" s="1131"/>
      <c r="E28" s="1153">
        <v>0.9</v>
      </c>
      <c r="F28" s="1132" t="s">
        <v>1466</v>
      </c>
      <c r="G28" s="1133"/>
      <c r="H28" s="1104"/>
      <c r="I28" s="1104"/>
    </row>
    <row r="29" spans="1:9" s="1597" customFormat="1" ht="19.5" customHeight="1">
      <c r="A29" s="3459"/>
      <c r="B29" s="3459"/>
      <c r="C29" s="1130" t="s">
        <v>1467</v>
      </c>
      <c r="D29" s="1131"/>
      <c r="E29" s="1153">
        <v>0.9</v>
      </c>
      <c r="F29" s="1132" t="s">
        <v>1468</v>
      </c>
      <c r="G29" s="1133"/>
      <c r="H29" s="1104"/>
      <c r="I29" s="1104"/>
    </row>
    <row r="30" spans="1:9" s="1597" customFormat="1" ht="19.5" customHeight="1">
      <c r="A30" s="3459"/>
      <c r="B30" s="3459"/>
      <c r="C30" s="1130" t="s">
        <v>1469</v>
      </c>
      <c r="D30" s="1131"/>
      <c r="E30" s="1153">
        <v>0.9</v>
      </c>
      <c r="F30" s="1132" t="s">
        <v>1470</v>
      </c>
      <c r="G30" s="1133"/>
      <c r="H30" s="1104"/>
      <c r="I30" s="1104"/>
    </row>
    <row r="31" spans="1:9" s="1597" customFormat="1" ht="19.5" customHeight="1">
      <c r="A31" s="3459"/>
      <c r="B31" s="3459"/>
      <c r="C31" s="1130" t="s">
        <v>1471</v>
      </c>
      <c r="D31" s="1131"/>
      <c r="E31" s="1153">
        <v>0.8</v>
      </c>
      <c r="F31" s="1132" t="s">
        <v>1472</v>
      </c>
      <c r="G31" s="1133"/>
      <c r="H31" s="1104"/>
      <c r="I31" s="1104"/>
    </row>
    <row r="32" spans="1:9" s="1597" customFormat="1" ht="19.5" customHeight="1">
      <c r="A32" s="3459"/>
      <c r="B32" s="3459"/>
      <c r="C32" s="1130" t="s">
        <v>1473</v>
      </c>
      <c r="D32" s="1131"/>
      <c r="E32" s="1153">
        <v>0.8</v>
      </c>
      <c r="F32" s="1132" t="s">
        <v>1474</v>
      </c>
      <c r="G32" s="1133"/>
      <c r="H32" s="1104"/>
      <c r="I32" s="1104"/>
    </row>
    <row r="33" spans="1:9" s="1597" customFormat="1" ht="19.5" customHeight="1">
      <c r="A33" s="3459" t="s">
        <v>1475</v>
      </c>
      <c r="B33" s="1153" t="s">
        <v>1447</v>
      </c>
      <c r="C33" s="1130" t="s">
        <v>1476</v>
      </c>
      <c r="D33" s="1131"/>
      <c r="E33" s="1153">
        <v>1</v>
      </c>
      <c r="F33" s="1132" t="s">
        <v>1477</v>
      </c>
      <c r="G33" s="1133"/>
      <c r="H33" s="1104"/>
      <c r="I33" s="1104"/>
    </row>
    <row r="34" spans="1:9" s="1597" customFormat="1" ht="19.5" customHeight="1">
      <c r="A34" s="3459"/>
      <c r="B34" s="1153" t="s">
        <v>1450</v>
      </c>
      <c r="C34" s="1130" t="s">
        <v>1478</v>
      </c>
      <c r="D34" s="1131"/>
      <c r="E34" s="1153">
        <v>1.5</v>
      </c>
      <c r="F34" s="1132" t="s">
        <v>1479</v>
      </c>
      <c r="G34" s="1133"/>
      <c r="H34" s="1104"/>
      <c r="I34" s="1104"/>
    </row>
    <row r="35" spans="1:9" s="1597" customFormat="1" ht="19.5" customHeight="1">
      <c r="A35" s="3459" t="s">
        <v>1433</v>
      </c>
      <c r="B35" s="1153" t="s">
        <v>1447</v>
      </c>
      <c r="C35" s="1130" t="s">
        <v>1480</v>
      </c>
      <c r="D35" s="1131"/>
      <c r="E35" s="1153">
        <v>1</v>
      </c>
      <c r="F35" s="1132" t="s">
        <v>1481</v>
      </c>
      <c r="G35" s="1133"/>
      <c r="H35" s="1104"/>
      <c r="I35" s="1104"/>
    </row>
    <row r="36" spans="1:9" s="1597" customFormat="1" ht="19.5" customHeight="1">
      <c r="A36" s="3459"/>
      <c r="B36" s="3459" t="s">
        <v>1450</v>
      </c>
      <c r="C36" s="1130" t="s">
        <v>1482</v>
      </c>
      <c r="D36" s="1131"/>
      <c r="E36" s="1153">
        <v>1</v>
      </c>
      <c r="F36" s="1132" t="s">
        <v>1483</v>
      </c>
      <c r="G36" s="1133"/>
      <c r="H36" s="1104"/>
      <c r="I36" s="1104"/>
    </row>
    <row r="37" spans="1:9" s="1597" customFormat="1" ht="19.5" customHeight="1">
      <c r="A37" s="3459"/>
      <c r="B37" s="3459"/>
      <c r="C37" s="1130" t="s">
        <v>1484</v>
      </c>
      <c r="D37" s="1131"/>
      <c r="E37" s="1153">
        <v>1.5</v>
      </c>
      <c r="F37" s="1132" t="s">
        <v>1485</v>
      </c>
      <c r="G37" s="1133"/>
      <c r="H37" s="1104"/>
      <c r="I37" s="1104"/>
    </row>
    <row r="38" spans="1:9" s="1597" customFormat="1" ht="19.5" customHeight="1">
      <c r="A38" s="3459"/>
      <c r="B38" s="3459"/>
      <c r="C38" s="1130" t="s">
        <v>1486</v>
      </c>
      <c r="D38" s="1131"/>
      <c r="E38" s="1153">
        <v>1</v>
      </c>
      <c r="F38" s="1132" t="s">
        <v>1487</v>
      </c>
      <c r="G38" s="1133"/>
      <c r="H38" s="1104"/>
      <c r="I38" s="1104"/>
    </row>
    <row r="39" spans="1:9" s="1597" customFormat="1" ht="19.5" customHeight="1">
      <c r="A39" s="3459"/>
      <c r="B39" s="3459"/>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9" t="s">
        <v>1502</v>
      </c>
      <c r="C61" s="1067" t="s">
        <v>1503</v>
      </c>
      <c r="D61" s="1067" t="s">
        <v>1504</v>
      </c>
      <c r="E61" s="1138">
        <v>0.5</v>
      </c>
      <c r="F61" s="1153">
        <v>80</v>
      </c>
      <c r="H61" s="1104">
        <f>SUMIF(C59:C119,基准地价!C8,E59:E119)</f>
        <v>0</v>
      </c>
    </row>
    <row r="62" spans="1:8" s="1104" customFormat="1" ht="24">
      <c r="A62" s="1153">
        <v>2</v>
      </c>
      <c r="B62" s="3459"/>
      <c r="C62" s="1067" t="s">
        <v>1505</v>
      </c>
      <c r="D62" s="1067" t="s">
        <v>1506</v>
      </c>
      <c r="E62" s="1138">
        <v>0.5</v>
      </c>
      <c r="F62" s="1153">
        <v>80</v>
      </c>
    </row>
    <row r="63" spans="1:8" s="1104" customFormat="1" ht="36">
      <c r="A63" s="1153">
        <v>3</v>
      </c>
      <c r="B63" s="3459"/>
      <c r="C63" s="1067" t="s">
        <v>1507</v>
      </c>
      <c r="D63" s="1067" t="s">
        <v>1508</v>
      </c>
      <c r="E63" s="1138">
        <v>0.5</v>
      </c>
      <c r="F63" s="1153">
        <v>80</v>
      </c>
    </row>
    <row r="64" spans="1:8" s="1104" customFormat="1" ht="36">
      <c r="A64" s="1153">
        <v>4</v>
      </c>
      <c r="B64" s="3459"/>
      <c r="C64" s="1067" t="s">
        <v>1509</v>
      </c>
      <c r="D64" s="1067" t="s">
        <v>1510</v>
      </c>
      <c r="E64" s="1138">
        <v>0.4</v>
      </c>
      <c r="F64" s="1153">
        <v>60</v>
      </c>
    </row>
    <row r="65" spans="1:6" s="1104" customFormat="1" ht="36">
      <c r="A65" s="1153">
        <v>5</v>
      </c>
      <c r="B65" s="3459"/>
      <c r="C65" s="1067" t="s">
        <v>1511</v>
      </c>
      <c r="D65" s="1067" t="s">
        <v>1512</v>
      </c>
      <c r="E65" s="1138">
        <v>0.2</v>
      </c>
      <c r="F65" s="1153">
        <v>30</v>
      </c>
    </row>
    <row r="66" spans="1:6" s="1104" customFormat="1" ht="36">
      <c r="A66" s="1153">
        <v>6</v>
      </c>
      <c r="B66" s="3459"/>
      <c r="C66" s="1067" t="s">
        <v>1513</v>
      </c>
      <c r="D66" s="1067" t="s">
        <v>1514</v>
      </c>
      <c r="E66" s="1138">
        <v>0.3</v>
      </c>
      <c r="F66" s="1153">
        <v>50</v>
      </c>
    </row>
    <row r="67" spans="1:6" s="1104" customFormat="1" ht="36">
      <c r="A67" s="1153">
        <v>7</v>
      </c>
      <c r="B67" s="3459"/>
      <c r="C67" s="1067" t="s">
        <v>1515</v>
      </c>
      <c r="D67" s="1067" t="s">
        <v>1516</v>
      </c>
      <c r="E67" s="1138">
        <v>0.2</v>
      </c>
      <c r="F67" s="1153">
        <v>30</v>
      </c>
    </row>
    <row r="68" spans="1:6" s="1104" customFormat="1" ht="36">
      <c r="A68" s="1153">
        <v>8</v>
      </c>
      <c r="B68" s="3459"/>
      <c r="C68" s="1067" t="s">
        <v>1517</v>
      </c>
      <c r="D68" s="1067" t="s">
        <v>1518</v>
      </c>
      <c r="E68" s="1138">
        <v>0.2</v>
      </c>
      <c r="F68" s="1153">
        <v>30</v>
      </c>
    </row>
    <row r="69" spans="1:6" s="1104" customFormat="1" ht="36">
      <c r="A69" s="1153">
        <v>9</v>
      </c>
      <c r="B69" s="3459"/>
      <c r="C69" s="1067" t="s">
        <v>1519</v>
      </c>
      <c r="D69" s="1067" t="s">
        <v>1520</v>
      </c>
      <c r="E69" s="1138">
        <v>0.2</v>
      </c>
      <c r="F69" s="1153">
        <v>30</v>
      </c>
    </row>
    <row r="70" spans="1:6" s="1104" customFormat="1" ht="48">
      <c r="A70" s="1153">
        <v>10</v>
      </c>
      <c r="B70" s="3459"/>
      <c r="C70" s="1067" t="s">
        <v>1521</v>
      </c>
      <c r="D70" s="1067" t="s">
        <v>1522</v>
      </c>
      <c r="E70" s="1138">
        <v>0.2</v>
      </c>
      <c r="F70" s="1153">
        <v>30</v>
      </c>
    </row>
    <row r="71" spans="1:6" s="1104" customFormat="1" ht="48">
      <c r="A71" s="1153">
        <v>11</v>
      </c>
      <c r="B71" s="3459"/>
      <c r="C71" s="1067" t="s">
        <v>1523</v>
      </c>
      <c r="D71" s="1067" t="s">
        <v>1524</v>
      </c>
      <c r="E71" s="1138">
        <v>0.2</v>
      </c>
      <c r="F71" s="1153">
        <v>30</v>
      </c>
    </row>
    <row r="72" spans="1:6" s="1104" customFormat="1" ht="36">
      <c r="A72" s="1153">
        <v>12</v>
      </c>
      <c r="B72" s="3459"/>
      <c r="C72" s="1067" t="s">
        <v>1525</v>
      </c>
      <c r="D72" s="1067" t="s">
        <v>1526</v>
      </c>
      <c r="E72" s="1138">
        <v>0.5</v>
      </c>
      <c r="F72" s="1153">
        <v>80</v>
      </c>
    </row>
    <row r="73" spans="1:6" s="1104" customFormat="1" ht="24">
      <c r="A73" s="1153">
        <v>13</v>
      </c>
      <c r="B73" s="3459"/>
      <c r="C73" s="1067" t="s">
        <v>1527</v>
      </c>
      <c r="D73" s="1067" t="s">
        <v>1528</v>
      </c>
      <c r="E73" s="1138">
        <v>0.4</v>
      </c>
      <c r="F73" s="1153">
        <v>60</v>
      </c>
    </row>
    <row r="74" spans="1:6" s="1104" customFormat="1" ht="24">
      <c r="A74" s="1153">
        <v>14</v>
      </c>
      <c r="B74" s="3459"/>
      <c r="C74" s="1067" t="s">
        <v>1529</v>
      </c>
      <c r="D74" s="1067" t="s">
        <v>1530</v>
      </c>
      <c r="E74" s="1138">
        <v>0.2</v>
      </c>
      <c r="F74" s="1153">
        <v>30</v>
      </c>
    </row>
    <row r="75" spans="1:6" s="1104" customFormat="1" ht="24">
      <c r="A75" s="1153">
        <v>15</v>
      </c>
      <c r="B75" s="3459"/>
      <c r="C75" s="1067" t="s">
        <v>1531</v>
      </c>
      <c r="D75" s="1067" t="s">
        <v>1532</v>
      </c>
      <c r="E75" s="1138">
        <v>0.2</v>
      </c>
      <c r="F75" s="1153">
        <v>30</v>
      </c>
    </row>
    <row r="76" spans="1:6" s="1104" customFormat="1" ht="24">
      <c r="A76" s="1153">
        <v>16</v>
      </c>
      <c r="B76" s="3459" t="s">
        <v>1533</v>
      </c>
      <c r="C76" s="1067" t="s">
        <v>1534</v>
      </c>
      <c r="D76" s="1067" t="s">
        <v>1535</v>
      </c>
      <c r="E76" s="1138">
        <v>0.5</v>
      </c>
      <c r="F76" s="1153">
        <v>80</v>
      </c>
    </row>
    <row r="77" spans="1:6" s="1104" customFormat="1" ht="24">
      <c r="A77" s="1153">
        <v>17</v>
      </c>
      <c r="B77" s="3459"/>
      <c r="C77" s="1067" t="s">
        <v>1536</v>
      </c>
      <c r="D77" s="1067" t="s">
        <v>1537</v>
      </c>
      <c r="E77" s="1138">
        <v>0.5</v>
      </c>
      <c r="F77" s="1153">
        <v>80</v>
      </c>
    </row>
    <row r="78" spans="1:6" s="1104" customFormat="1" ht="24">
      <c r="A78" s="1153">
        <v>18</v>
      </c>
      <c r="B78" s="3459"/>
      <c r="C78" s="1067" t="s">
        <v>1538</v>
      </c>
      <c r="D78" s="1067" t="s">
        <v>1539</v>
      </c>
      <c r="E78" s="1138">
        <v>0.2</v>
      </c>
      <c r="F78" s="1153">
        <v>30</v>
      </c>
    </row>
    <row r="79" spans="1:6" s="1104" customFormat="1" ht="24">
      <c r="A79" s="1153">
        <v>19</v>
      </c>
      <c r="B79" s="3459"/>
      <c r="C79" s="1067" t="s">
        <v>1540</v>
      </c>
      <c r="D79" s="1067" t="s">
        <v>1541</v>
      </c>
      <c r="E79" s="1138">
        <v>0.5</v>
      </c>
      <c r="F79" s="1153">
        <v>80</v>
      </c>
    </row>
    <row r="80" spans="1:6" s="1104" customFormat="1" ht="36">
      <c r="A80" s="1153">
        <v>20</v>
      </c>
      <c r="B80" s="3459"/>
      <c r="C80" s="1067" t="s">
        <v>1542</v>
      </c>
      <c r="D80" s="1067" t="s">
        <v>1543</v>
      </c>
      <c r="E80" s="1138">
        <v>0.2</v>
      </c>
      <c r="F80" s="1153">
        <v>30</v>
      </c>
    </row>
    <row r="81" spans="1:6" s="1104" customFormat="1" ht="36">
      <c r="A81" s="1153">
        <v>21</v>
      </c>
      <c r="B81" s="3459"/>
      <c r="C81" s="1067" t="s">
        <v>1544</v>
      </c>
      <c r="D81" s="1067" t="s">
        <v>1545</v>
      </c>
      <c r="E81" s="1138">
        <v>0.2</v>
      </c>
      <c r="F81" s="1153">
        <v>30</v>
      </c>
    </row>
    <row r="82" spans="1:6" s="1104" customFormat="1" ht="48">
      <c r="A82" s="1153">
        <v>22</v>
      </c>
      <c r="B82" s="3459"/>
      <c r="C82" s="1067" t="s">
        <v>1546</v>
      </c>
      <c r="D82" s="1067" t="s">
        <v>1547</v>
      </c>
      <c r="E82" s="1138">
        <v>0.2</v>
      </c>
      <c r="F82" s="1153">
        <v>30</v>
      </c>
    </row>
    <row r="83" spans="1:6" s="1104" customFormat="1" ht="48">
      <c r="A83" s="1153">
        <v>23</v>
      </c>
      <c r="B83" s="3459"/>
      <c r="C83" s="1067" t="s">
        <v>1548</v>
      </c>
      <c r="D83" s="1067" t="s">
        <v>1549</v>
      </c>
      <c r="E83" s="1138">
        <v>0.2</v>
      </c>
      <c r="F83" s="1153">
        <v>30</v>
      </c>
    </row>
    <row r="84" spans="1:6" s="1104" customFormat="1" ht="36">
      <c r="A84" s="1153">
        <v>24</v>
      </c>
      <c r="B84" s="3459"/>
      <c r="C84" s="1067" t="s">
        <v>1550</v>
      </c>
      <c r="D84" s="1067" t="s">
        <v>1551</v>
      </c>
      <c r="E84" s="1138">
        <v>0.2</v>
      </c>
      <c r="F84" s="1153">
        <v>30</v>
      </c>
    </row>
    <row r="85" spans="1:6" s="1104" customFormat="1" ht="36">
      <c r="A85" s="1153">
        <v>25</v>
      </c>
      <c r="B85" s="3459"/>
      <c r="C85" s="1067" t="s">
        <v>1552</v>
      </c>
      <c r="D85" s="1067" t="s">
        <v>1553</v>
      </c>
      <c r="E85" s="1138">
        <v>0.5</v>
      </c>
      <c r="F85" s="1153">
        <v>80</v>
      </c>
    </row>
    <row r="86" spans="1:6" s="1104" customFormat="1" ht="36">
      <c r="A86" s="1153">
        <v>26</v>
      </c>
      <c r="B86" s="3459"/>
      <c r="C86" s="1067" t="s">
        <v>1554</v>
      </c>
      <c r="D86" s="1067" t="s">
        <v>1555</v>
      </c>
      <c r="E86" s="1138">
        <v>0.2</v>
      </c>
      <c r="F86" s="1153">
        <v>30</v>
      </c>
    </row>
    <row r="87" spans="1:6" s="1104" customFormat="1" ht="36">
      <c r="A87" s="1153">
        <v>27</v>
      </c>
      <c r="B87" s="3459"/>
      <c r="C87" s="1067" t="s">
        <v>1556</v>
      </c>
      <c r="D87" s="1067" t="s">
        <v>1557</v>
      </c>
      <c r="E87" s="1138">
        <v>0.2</v>
      </c>
      <c r="F87" s="1153">
        <v>30</v>
      </c>
    </row>
    <row r="88" spans="1:6" s="1104" customFormat="1" ht="36">
      <c r="A88" s="1153">
        <v>28</v>
      </c>
      <c r="B88" s="3459"/>
      <c r="C88" s="1067" t="s">
        <v>1558</v>
      </c>
      <c r="D88" s="1067" t="s">
        <v>1559</v>
      </c>
      <c r="E88" s="1138">
        <v>0.2</v>
      </c>
      <c r="F88" s="1153">
        <v>30</v>
      </c>
    </row>
    <row r="89" spans="1:6" s="1104" customFormat="1" ht="24">
      <c r="A89" s="1153">
        <v>29</v>
      </c>
      <c r="B89" s="3459"/>
      <c r="C89" s="1067" t="s">
        <v>1560</v>
      </c>
      <c r="D89" s="1067" t="s">
        <v>1561</v>
      </c>
      <c r="E89" s="1138">
        <v>0.2</v>
      </c>
      <c r="F89" s="1153">
        <v>30</v>
      </c>
    </row>
    <row r="90" spans="1:6" s="1104" customFormat="1" ht="24">
      <c r="A90" s="1153">
        <v>30</v>
      </c>
      <c r="B90" s="3459"/>
      <c r="C90" s="1067" t="s">
        <v>1562</v>
      </c>
      <c r="D90" s="1067" t="s">
        <v>1563</v>
      </c>
      <c r="E90" s="1138">
        <v>0.2</v>
      </c>
      <c r="F90" s="1153">
        <v>30</v>
      </c>
    </row>
    <row r="91" spans="1:6" s="1104" customFormat="1" ht="36">
      <c r="A91" s="1153">
        <v>31</v>
      </c>
      <c r="B91" s="3459"/>
      <c r="C91" s="1067" t="s">
        <v>1564</v>
      </c>
      <c r="D91" s="1067" t="s">
        <v>1565</v>
      </c>
      <c r="E91" s="1138">
        <v>0.2</v>
      </c>
      <c r="F91" s="1153">
        <v>30</v>
      </c>
    </row>
    <row r="92" spans="1:6" s="1104" customFormat="1" ht="24">
      <c r="A92" s="1153">
        <v>32</v>
      </c>
      <c r="B92" s="3459" t="s">
        <v>1566</v>
      </c>
      <c r="C92" s="1153" t="s">
        <v>1567</v>
      </c>
      <c r="D92" s="1067" t="s">
        <v>1568</v>
      </c>
      <c r="E92" s="1138">
        <v>0.2</v>
      </c>
      <c r="F92" s="1153">
        <v>30</v>
      </c>
    </row>
    <row r="93" spans="1:6" s="1104" customFormat="1" ht="36">
      <c r="A93" s="1153">
        <v>33</v>
      </c>
      <c r="B93" s="3459"/>
      <c r="C93" s="1153" t="s">
        <v>1569</v>
      </c>
      <c r="D93" s="1067" t="s">
        <v>1570</v>
      </c>
      <c r="E93" s="1138">
        <v>0.2</v>
      </c>
      <c r="F93" s="1153">
        <v>30</v>
      </c>
    </row>
    <row r="94" spans="1:6" s="1104" customFormat="1" ht="48">
      <c r="A94" s="1153">
        <v>34</v>
      </c>
      <c r="B94" s="3459"/>
      <c r="C94" s="1153" t="s">
        <v>1571</v>
      </c>
      <c r="D94" s="1067" t="s">
        <v>1572</v>
      </c>
      <c r="E94" s="1138">
        <v>0.2</v>
      </c>
      <c r="F94" s="1153">
        <v>30</v>
      </c>
    </row>
    <row r="95" spans="1:6" s="1104" customFormat="1" ht="36">
      <c r="A95" s="1153">
        <v>35</v>
      </c>
      <c r="B95" s="3459"/>
      <c r="C95" s="1153" t="s">
        <v>1573</v>
      </c>
      <c r="D95" s="1067" t="s">
        <v>1574</v>
      </c>
      <c r="E95" s="1138">
        <v>0.2</v>
      </c>
      <c r="F95" s="1153">
        <v>30</v>
      </c>
    </row>
    <row r="96" spans="1:6" s="1104" customFormat="1" ht="48">
      <c r="A96" s="1153">
        <v>36</v>
      </c>
      <c r="B96" s="3459"/>
      <c r="C96" s="1067" t="s">
        <v>1575</v>
      </c>
      <c r="D96" s="1067" t="s">
        <v>1576</v>
      </c>
      <c r="E96" s="1138">
        <v>0.2</v>
      </c>
      <c r="F96" s="1153">
        <v>30</v>
      </c>
    </row>
    <row r="97" spans="1:6" s="1104" customFormat="1" ht="36">
      <c r="A97" s="1153">
        <v>37</v>
      </c>
      <c r="B97" s="3459"/>
      <c r="C97" s="1153" t="s">
        <v>1577</v>
      </c>
      <c r="D97" s="1067" t="s">
        <v>1578</v>
      </c>
      <c r="E97" s="1138">
        <v>0.2</v>
      </c>
      <c r="F97" s="1153">
        <v>30</v>
      </c>
    </row>
    <row r="98" spans="1:6" s="1104" customFormat="1" ht="36">
      <c r="A98" s="1153">
        <v>38</v>
      </c>
      <c r="B98" s="3459"/>
      <c r="C98" s="1153" t="s">
        <v>1579</v>
      </c>
      <c r="D98" s="1067" t="s">
        <v>1580</v>
      </c>
      <c r="E98" s="1138">
        <v>0.2</v>
      </c>
      <c r="F98" s="1153">
        <v>30</v>
      </c>
    </row>
    <row r="99" spans="1:6" s="1104" customFormat="1" ht="36">
      <c r="A99" s="1153">
        <v>39</v>
      </c>
      <c r="B99" s="3459" t="s">
        <v>1581</v>
      </c>
      <c r="C99" s="1153" t="s">
        <v>1582</v>
      </c>
      <c r="D99" s="1067" t="s">
        <v>1583</v>
      </c>
      <c r="E99" s="1138">
        <v>0.3</v>
      </c>
      <c r="F99" s="1153">
        <v>50</v>
      </c>
    </row>
    <row r="100" spans="1:6" s="1104" customFormat="1" ht="24">
      <c r="A100" s="1153">
        <v>40</v>
      </c>
      <c r="B100" s="3459"/>
      <c r="C100" s="1153" t="s">
        <v>1584</v>
      </c>
      <c r="D100" s="1067" t="s">
        <v>1585</v>
      </c>
      <c r="E100" s="1138">
        <v>0.2</v>
      </c>
      <c r="F100" s="1153">
        <v>30</v>
      </c>
    </row>
    <row r="101" spans="1:6" s="1104" customFormat="1" ht="36">
      <c r="A101" s="1153">
        <v>41</v>
      </c>
      <c r="B101" s="345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9" t="s">
        <v>1596</v>
      </c>
      <c r="C105" s="1153" t="s">
        <v>1597</v>
      </c>
      <c r="D105" s="1067" t="s">
        <v>1598</v>
      </c>
      <c r="E105" s="1138">
        <v>0.2</v>
      </c>
      <c r="F105" s="1153">
        <v>30</v>
      </c>
    </row>
    <row r="106" spans="1:6" s="1104" customFormat="1" ht="36">
      <c r="A106" s="1153">
        <v>46</v>
      </c>
      <c r="B106" s="3459"/>
      <c r="C106" s="1153" t="s">
        <v>1599</v>
      </c>
      <c r="D106" s="1067" t="s">
        <v>1600</v>
      </c>
      <c r="E106" s="1138">
        <v>0.2</v>
      </c>
      <c r="F106" s="1153">
        <v>30</v>
      </c>
    </row>
    <row r="107" spans="1:6" s="1104" customFormat="1" ht="36">
      <c r="A107" s="1153">
        <v>47</v>
      </c>
      <c r="B107" s="3459" t="s">
        <v>1601</v>
      </c>
      <c r="C107" s="1153" t="s">
        <v>1602</v>
      </c>
      <c r="D107" s="1067" t="s">
        <v>1603</v>
      </c>
      <c r="E107" s="1138">
        <v>0.3</v>
      </c>
      <c r="F107" s="1153">
        <v>50</v>
      </c>
    </row>
    <row r="108" spans="1:6" s="1104" customFormat="1" ht="36">
      <c r="A108" s="1153">
        <v>48</v>
      </c>
      <c r="B108" s="345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9" t="s">
        <v>1612</v>
      </c>
      <c r="C111" s="1153" t="s">
        <v>1613</v>
      </c>
      <c r="D111" s="1067" t="s">
        <v>1614</v>
      </c>
      <c r="E111" s="1138">
        <v>0.2</v>
      </c>
      <c r="F111" s="1153">
        <v>30</v>
      </c>
    </row>
    <row r="112" spans="1:6" s="1104" customFormat="1" ht="24">
      <c r="A112" s="1153">
        <v>52</v>
      </c>
      <c r="B112" s="3459"/>
      <c r="C112" s="1153" t="s">
        <v>1615</v>
      </c>
      <c r="D112" s="1067" t="s">
        <v>1616</v>
      </c>
      <c r="E112" s="1138">
        <v>0.2</v>
      </c>
      <c r="F112" s="1153">
        <v>30</v>
      </c>
    </row>
    <row r="113" spans="1:14" s="1104" customFormat="1" ht="24">
      <c r="A113" s="1153">
        <v>53</v>
      </c>
      <c r="B113" s="345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9" t="s">
        <v>1625</v>
      </c>
      <c r="C116" s="1153" t="s">
        <v>1626</v>
      </c>
      <c r="D116" s="1067" t="s">
        <v>1627</v>
      </c>
      <c r="E116" s="1138">
        <v>0.2</v>
      </c>
      <c r="F116" s="1153">
        <v>30</v>
      </c>
    </row>
    <row r="117" spans="1:14" ht="36">
      <c r="A117" s="1153">
        <v>57</v>
      </c>
      <c r="B117" s="345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8" t="s">
        <v>1634</v>
      </c>
      <c r="B121" s="3458"/>
      <c r="C121" s="3458"/>
      <c r="D121" s="3458"/>
      <c r="E121" s="3458"/>
      <c r="F121" s="3458"/>
      <c r="G121" s="3458"/>
      <c r="H121" s="3458"/>
      <c r="I121" s="3458"/>
      <c r="J121" s="345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3" t="s">
        <v>1040</v>
      </c>
      <c r="B1" s="3463"/>
      <c r="C1" s="3463"/>
      <c r="D1" s="3463"/>
      <c r="E1" s="3463"/>
      <c r="F1" s="346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4" t="s">
        <v>1053</v>
      </c>
      <c r="B2" s="3464"/>
      <c r="C2" s="3464"/>
      <c r="D2" s="3464"/>
      <c r="E2" s="3464"/>
      <c r="F2" s="346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7" t="s">
        <v>2079</v>
      </c>
      <c r="B1" s="3467"/>
    </row>
    <row r="2" spans="1:6" ht="14.25" thickBot="1">
      <c r="A2" s="1848"/>
      <c r="B2" s="1848"/>
    </row>
    <row r="3" spans="1:6" ht="14.25" thickBot="1">
      <c r="A3" s="1848"/>
      <c r="B3" s="1848"/>
      <c r="C3" s="1849" t="s">
        <v>2080</v>
      </c>
      <c r="D3" s="1849" t="s">
        <v>2081</v>
      </c>
      <c r="E3" s="1849" t="s">
        <v>2082</v>
      </c>
      <c r="F3" s="1849" t="s">
        <v>2083</v>
      </c>
    </row>
    <row r="4" spans="1:6" ht="14.25" thickBot="1">
      <c r="A4" s="1850" t="s">
        <v>2084</v>
      </c>
      <c r="B4" s="1851" t="s">
        <v>2085</v>
      </c>
      <c r="C4" s="1849"/>
      <c r="D4" s="1849"/>
      <c r="E4" s="1849"/>
      <c r="F4" s="1849"/>
    </row>
    <row r="5" spans="1:6" ht="14.25" thickBot="1">
      <c r="A5" s="1852" t="s">
        <v>2086</v>
      </c>
      <c r="B5" s="1853" t="s">
        <v>2087</v>
      </c>
      <c r="C5" s="1854">
        <v>8.8999999999999996E-2</v>
      </c>
      <c r="D5" s="1854">
        <v>7.3999999999999996E-2</v>
      </c>
      <c r="E5" s="1854">
        <v>7.4999999999999997E-2</v>
      </c>
      <c r="F5" s="1855">
        <v>0.1</v>
      </c>
    </row>
    <row r="6" spans="1:6" ht="14.25" thickBot="1">
      <c r="A6" s="1852" t="s">
        <v>1097</v>
      </c>
      <c r="B6" s="1856" t="s">
        <v>2088</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2089</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2090</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2091</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2092</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2093</v>
      </c>
      <c r="C72" s="1866"/>
      <c r="D72" s="1866"/>
      <c r="E72" s="1866"/>
      <c r="F72" s="1858">
        <v>0.05</v>
      </c>
    </row>
    <row r="73" spans="1:6" ht="14.25" thickBot="1">
      <c r="A73" s="1852" t="s">
        <v>925</v>
      </c>
      <c r="B73" s="1856" t="s">
        <v>2094</v>
      </c>
      <c r="C73" s="1866"/>
      <c r="D73" s="1866"/>
      <c r="E73" s="1866"/>
      <c r="F73" s="1858">
        <v>0.05</v>
      </c>
    </row>
    <row r="74" spans="1:6" ht="14.25" thickBot="1">
      <c r="A74" s="1852" t="s">
        <v>925</v>
      </c>
      <c r="B74" s="1856" t="s">
        <v>2095</v>
      </c>
      <c r="C74" s="1866"/>
      <c r="D74" s="1866"/>
      <c r="E74" s="1866"/>
      <c r="F74" s="1858">
        <v>0.05</v>
      </c>
    </row>
    <row r="75" spans="1:6" ht="14.25" thickBot="1">
      <c r="A75" s="1860" t="s">
        <v>925</v>
      </c>
      <c r="B75" s="1867" t="s">
        <v>2096</v>
      </c>
      <c r="C75" s="1863"/>
      <c r="D75" s="1863"/>
      <c r="E75" s="1863"/>
      <c r="F75" s="1868">
        <v>0.05</v>
      </c>
    </row>
    <row r="76" spans="1:6" ht="14.25" thickBot="1">
      <c r="A76" s="1852" t="s">
        <v>1408</v>
      </c>
      <c r="B76" s="1853" t="s">
        <v>2097</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2098</v>
      </c>
      <c r="C102" s="1866"/>
      <c r="D102" s="1866"/>
      <c r="E102" s="1866"/>
      <c r="F102" s="1858">
        <v>0.05</v>
      </c>
    </row>
    <row r="103" spans="1:6" ht="24.75" thickBot="1">
      <c r="A103" s="1852" t="s">
        <v>1408</v>
      </c>
      <c r="B103" s="1856" t="s">
        <v>2099</v>
      </c>
      <c r="C103" s="1866"/>
      <c r="D103" s="1866"/>
      <c r="E103" s="1866"/>
      <c r="F103" s="1858">
        <v>0.05</v>
      </c>
    </row>
    <row r="104" spans="1:6" ht="14.25" thickBot="1">
      <c r="A104" s="1852" t="s">
        <v>1408</v>
      </c>
      <c r="B104" s="1856" t="s">
        <v>2100</v>
      </c>
      <c r="C104" s="1866"/>
      <c r="D104" s="1866"/>
      <c r="E104" s="1866"/>
      <c r="F104" s="1858">
        <v>0.05</v>
      </c>
    </row>
    <row r="105" spans="1:6" ht="14.25" thickBot="1">
      <c r="A105" s="1852" t="s">
        <v>1408</v>
      </c>
      <c r="B105" s="1856" t="s">
        <v>2101</v>
      </c>
      <c r="C105" s="1866"/>
      <c r="D105" s="1866"/>
      <c r="E105" s="1866"/>
      <c r="F105" s="1858">
        <v>0.05</v>
      </c>
    </row>
    <row r="106" spans="1:6" ht="14.25" thickBot="1">
      <c r="A106" s="1852" t="s">
        <v>1408</v>
      </c>
      <c r="B106" s="1856" t="s">
        <v>2102</v>
      </c>
      <c r="C106" s="1866"/>
      <c r="D106" s="1866"/>
      <c r="E106" s="1866"/>
      <c r="F106" s="1858">
        <v>0.05</v>
      </c>
    </row>
    <row r="107" spans="1:6" ht="24.75" thickBot="1">
      <c r="A107" s="1852" t="s">
        <v>1408</v>
      </c>
      <c r="B107" s="1856" t="s">
        <v>2103</v>
      </c>
      <c r="C107" s="1866"/>
      <c r="D107" s="1866"/>
      <c r="E107" s="1866"/>
      <c r="F107" s="1858">
        <v>0.05</v>
      </c>
    </row>
    <row r="108" spans="1:6" ht="24.75" thickBot="1">
      <c r="A108" s="1852" t="s">
        <v>1408</v>
      </c>
      <c r="B108" s="1856" t="s">
        <v>2104</v>
      </c>
      <c r="C108" s="1866"/>
      <c r="D108" s="1866"/>
      <c r="E108" s="1866"/>
      <c r="F108" s="1858">
        <v>0.05</v>
      </c>
    </row>
    <row r="109" spans="1:6" ht="24.75" thickBot="1">
      <c r="A109" s="1860" t="s">
        <v>1408</v>
      </c>
      <c r="B109" s="1867" t="s">
        <v>2105</v>
      </c>
      <c r="C109" s="1863"/>
      <c r="D109" s="1863"/>
      <c r="E109" s="1863"/>
      <c r="F109" s="1868">
        <v>0.05</v>
      </c>
    </row>
    <row r="110" spans="1:6" ht="14.25" thickBot="1">
      <c r="A110" s="1852" t="s">
        <v>1410</v>
      </c>
      <c r="B110" s="1853" t="s">
        <v>2106</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2107</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2108</v>
      </c>
      <c r="C138" s="1857">
        <v>0.105</v>
      </c>
      <c r="D138" s="1857">
        <v>0.125</v>
      </c>
      <c r="E138" s="1857">
        <v>0.112</v>
      </c>
      <c r="F138" s="1865"/>
    </row>
    <row r="139" spans="1:6" ht="14.25" thickBot="1">
      <c r="A139" s="1852" t="s">
        <v>1410</v>
      </c>
      <c r="B139" s="1856" t="s">
        <v>2109</v>
      </c>
      <c r="C139" s="1857">
        <v>0.127</v>
      </c>
      <c r="D139" s="1857">
        <v>0.127</v>
      </c>
      <c r="E139" s="1857">
        <v>0.122</v>
      </c>
      <c r="F139" s="1858">
        <v>0.13</v>
      </c>
    </row>
    <row r="140" spans="1:6" ht="14.25" thickBot="1">
      <c r="A140" s="1852" t="s">
        <v>1410</v>
      </c>
      <c r="B140" s="1856" t="s">
        <v>2110</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2111</v>
      </c>
      <c r="C144" s="1870">
        <v>0.126</v>
      </c>
      <c r="D144" s="1870">
        <v>0.126</v>
      </c>
      <c r="E144" s="1870">
        <v>0.121</v>
      </c>
      <c r="F144" s="1865"/>
    </row>
    <row r="145" spans="1:6" ht="14.25" thickBot="1">
      <c r="A145" s="1860" t="s">
        <v>1410</v>
      </c>
      <c r="B145" s="1871" t="s">
        <v>2112</v>
      </c>
      <c r="C145" s="1872"/>
      <c r="D145" s="1872"/>
      <c r="E145" s="1872"/>
      <c r="F145" s="1873">
        <v>0.05</v>
      </c>
    </row>
    <row r="146" spans="1:6" ht="24.75" thickBot="1">
      <c r="A146" s="1874" t="s">
        <v>1410</v>
      </c>
      <c r="B146" s="1859" t="s">
        <v>2113</v>
      </c>
      <c r="C146" s="1866"/>
      <c r="D146" s="1866"/>
      <c r="E146" s="1866"/>
      <c r="F146" s="1875">
        <v>0.05</v>
      </c>
    </row>
    <row r="147" spans="1:6" ht="24.75" thickBot="1">
      <c r="A147" s="1852" t="s">
        <v>1410</v>
      </c>
      <c r="B147" s="1856" t="s">
        <v>2114</v>
      </c>
      <c r="C147" s="1866"/>
      <c r="D147" s="1866"/>
      <c r="E147" s="1866"/>
      <c r="F147" s="1858">
        <v>0.05</v>
      </c>
    </row>
    <row r="148" spans="1:6" ht="24.75" thickBot="1">
      <c r="A148" s="1852" t="s">
        <v>1410</v>
      </c>
      <c r="B148" s="1856" t="s">
        <v>2115</v>
      </c>
      <c r="C148" s="1866"/>
      <c r="D148" s="1866"/>
      <c r="E148" s="1866"/>
      <c r="F148" s="1858">
        <v>0.05</v>
      </c>
    </row>
    <row r="149" spans="1:6" ht="24.75" thickBot="1">
      <c r="A149" s="1852" t="s">
        <v>1410</v>
      </c>
      <c r="B149" s="1856" t="s">
        <v>2116</v>
      </c>
      <c r="C149" s="1866"/>
      <c r="D149" s="1866"/>
      <c r="E149" s="1866"/>
      <c r="F149" s="1858">
        <v>0.05</v>
      </c>
    </row>
    <row r="150" spans="1:6" ht="24.75" thickBot="1">
      <c r="A150" s="1852" t="s">
        <v>1410</v>
      </c>
      <c r="B150" s="1856" t="s">
        <v>2117</v>
      </c>
      <c r="C150" s="1866"/>
      <c r="D150" s="1866"/>
      <c r="E150" s="1866"/>
      <c r="F150" s="1858">
        <v>0.05</v>
      </c>
    </row>
    <row r="151" spans="1:6" ht="24.75" thickBot="1">
      <c r="A151" s="1852" t="s">
        <v>1410</v>
      </c>
      <c r="B151" s="1856" t="s">
        <v>2118</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2119</v>
      </c>
      <c r="C153" s="1866"/>
      <c r="D153" s="1866"/>
      <c r="E153" s="1866"/>
      <c r="F153" s="1858">
        <v>0.05</v>
      </c>
    </row>
    <row r="154" spans="1:6" ht="14.25" thickBot="1">
      <c r="A154" s="1852" t="s">
        <v>1410</v>
      </c>
      <c r="B154" s="1856" t="s">
        <v>2120</v>
      </c>
      <c r="C154" s="1866"/>
      <c r="D154" s="1866"/>
      <c r="E154" s="1866"/>
      <c r="F154" s="1858">
        <v>0.05</v>
      </c>
    </row>
    <row r="155" spans="1:6" ht="24.75" thickBot="1">
      <c r="A155" s="1852" t="s">
        <v>1410</v>
      </c>
      <c r="B155" s="1856" t="s">
        <v>2121</v>
      </c>
      <c r="C155" s="1866"/>
      <c r="D155" s="1866"/>
      <c r="E155" s="1866"/>
      <c r="F155" s="1858">
        <v>0.05</v>
      </c>
    </row>
    <row r="156" spans="1:6" ht="24.75" thickBot="1">
      <c r="A156" s="1852" t="s">
        <v>1410</v>
      </c>
      <c r="B156" s="1856" t="s">
        <v>2122</v>
      </c>
      <c r="C156" s="1866"/>
      <c r="D156" s="1866"/>
      <c r="E156" s="1866"/>
      <c r="F156" s="1858">
        <v>0.05</v>
      </c>
    </row>
    <row r="157" spans="1:6" ht="14.25" thickBot="1">
      <c r="A157" s="1860" t="s">
        <v>1410</v>
      </c>
      <c r="B157" s="1867" t="s">
        <v>2123</v>
      </c>
      <c r="C157" s="1863"/>
      <c r="D157" s="1863"/>
      <c r="E157" s="1863"/>
      <c r="F157" s="1868">
        <v>0.05</v>
      </c>
    </row>
    <row r="158" spans="1:6" ht="14.25" thickBot="1">
      <c r="A158" s="1852" t="s">
        <v>1412</v>
      </c>
      <c r="B158" s="1853" t="s">
        <v>2124</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2125</v>
      </c>
      <c r="C171" s="1857">
        <v>0.127</v>
      </c>
      <c r="D171" s="1857">
        <v>0.126</v>
      </c>
      <c r="E171" s="1857">
        <v>0.126</v>
      </c>
      <c r="F171" s="1858">
        <v>0.11799999999999999</v>
      </c>
    </row>
    <row r="172" spans="1:6" ht="14.25" thickBot="1">
      <c r="A172" s="1852" t="s">
        <v>1412</v>
      </c>
      <c r="B172" s="1856" t="s">
        <v>2126</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2127</v>
      </c>
      <c r="C174" s="1857">
        <v>0.13</v>
      </c>
      <c r="D174" s="1857">
        <v>0.13</v>
      </c>
      <c r="E174" s="1857">
        <v>0.13</v>
      </c>
      <c r="F174" s="1858">
        <v>0.13</v>
      </c>
    </row>
    <row r="175" spans="1:6" ht="14.25" thickBot="1">
      <c r="A175" s="1852" t="s">
        <v>1412</v>
      </c>
      <c r="B175" s="1856" t="s">
        <v>2128</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2129</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2130</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2131</v>
      </c>
      <c r="C185" s="1857">
        <v>0.127</v>
      </c>
      <c r="D185" s="1857">
        <v>0.127</v>
      </c>
      <c r="E185" s="1857">
        <v>0.128</v>
      </c>
      <c r="F185" s="1858">
        <v>0.13</v>
      </c>
    </row>
    <row r="186" spans="1:6" ht="24.75" thickBot="1">
      <c r="A186" s="1852" t="s">
        <v>1412</v>
      </c>
      <c r="B186" s="1856" t="s">
        <v>2132</v>
      </c>
      <c r="C186" s="1866"/>
      <c r="D186" s="1866"/>
      <c r="E186" s="1866"/>
      <c r="F186" s="1858">
        <v>0.05</v>
      </c>
    </row>
    <row r="187" spans="1:6" ht="14.25" thickBot="1">
      <c r="A187" s="1852" t="s">
        <v>1412</v>
      </c>
      <c r="B187" s="1856" t="s">
        <v>2133</v>
      </c>
      <c r="C187" s="1866"/>
      <c r="D187" s="1866"/>
      <c r="E187" s="1866"/>
      <c r="F187" s="1858">
        <v>0.05</v>
      </c>
    </row>
    <row r="188" spans="1:6" ht="14.25" thickBot="1">
      <c r="A188" s="1852" t="s">
        <v>1412</v>
      </c>
      <c r="B188" s="1856" t="s">
        <v>2134</v>
      </c>
      <c r="C188" s="1866"/>
      <c r="D188" s="1866"/>
      <c r="E188" s="1866"/>
      <c r="F188" s="1858">
        <v>0.05</v>
      </c>
    </row>
    <row r="189" spans="1:6" ht="24.75" thickBot="1">
      <c r="A189" s="1852" t="s">
        <v>1412</v>
      </c>
      <c r="B189" s="1856" t="s">
        <v>2135</v>
      </c>
      <c r="C189" s="1866"/>
      <c r="D189" s="1866"/>
      <c r="E189" s="1866"/>
      <c r="F189" s="1858">
        <v>0.05</v>
      </c>
    </row>
    <row r="190" spans="1:6" ht="24.75" thickBot="1">
      <c r="A190" s="1852" t="s">
        <v>1412</v>
      </c>
      <c r="B190" s="1856" t="s">
        <v>2136</v>
      </c>
      <c r="C190" s="1866"/>
      <c r="D190" s="1866"/>
      <c r="E190" s="1866"/>
      <c r="F190" s="1858">
        <v>0.05</v>
      </c>
    </row>
    <row r="191" spans="1:6" ht="24.75" thickBot="1">
      <c r="A191" s="1852" t="s">
        <v>1412</v>
      </c>
      <c r="B191" s="1856" t="s">
        <v>2137</v>
      </c>
      <c r="C191" s="1866"/>
      <c r="D191" s="1866"/>
      <c r="E191" s="1866"/>
      <c r="F191" s="1858">
        <v>0.05</v>
      </c>
    </row>
    <row r="192" spans="1:6" ht="24.75" thickBot="1">
      <c r="A192" s="1852" t="s">
        <v>1412</v>
      </c>
      <c r="B192" s="1856" t="s">
        <v>2138</v>
      </c>
      <c r="C192" s="1866"/>
      <c r="D192" s="1866"/>
      <c r="E192" s="1866"/>
      <c r="F192" s="1858">
        <v>0.05</v>
      </c>
    </row>
    <row r="193" spans="1:6" ht="24.75" thickBot="1">
      <c r="A193" s="1852" t="s">
        <v>1412</v>
      </c>
      <c r="B193" s="1856" t="s">
        <v>2139</v>
      </c>
      <c r="C193" s="1866"/>
      <c r="D193" s="1866"/>
      <c r="E193" s="1866"/>
      <c r="F193" s="1858">
        <v>0.05</v>
      </c>
    </row>
    <row r="194" spans="1:6" ht="24.75" thickBot="1">
      <c r="A194" s="1852" t="s">
        <v>1412</v>
      </c>
      <c r="B194" s="1856" t="s">
        <v>2140</v>
      </c>
      <c r="C194" s="1866"/>
      <c r="D194" s="1866"/>
      <c r="E194" s="1866"/>
      <c r="F194" s="1858">
        <v>0.05</v>
      </c>
    </row>
    <row r="195" spans="1:6" ht="14.25" thickBot="1">
      <c r="A195" s="1852" t="s">
        <v>1412</v>
      </c>
      <c r="B195" s="1856" t="s">
        <v>2141</v>
      </c>
      <c r="C195" s="1866"/>
      <c r="D195" s="1866"/>
      <c r="E195" s="1866"/>
      <c r="F195" s="1858">
        <v>0.05</v>
      </c>
    </row>
    <row r="196" spans="1:6" ht="24.75" thickBot="1">
      <c r="A196" s="1852" t="s">
        <v>1412</v>
      </c>
      <c r="B196" s="1856" t="s">
        <v>2142</v>
      </c>
      <c r="C196" s="1866"/>
      <c r="D196" s="1866"/>
      <c r="E196" s="1866"/>
      <c r="F196" s="1858">
        <v>0.05</v>
      </c>
    </row>
    <row r="197" spans="1:6" ht="24.75" thickBot="1">
      <c r="A197" s="1852" t="s">
        <v>1412</v>
      </c>
      <c r="B197" s="1856" t="s">
        <v>2143</v>
      </c>
      <c r="C197" s="1866"/>
      <c r="D197" s="1866"/>
      <c r="E197" s="1866"/>
      <c r="F197" s="1858">
        <v>0.05</v>
      </c>
    </row>
    <row r="198" spans="1:6" ht="24.75" thickBot="1">
      <c r="A198" s="1852" t="s">
        <v>1412</v>
      </c>
      <c r="B198" s="1856" t="s">
        <v>2144</v>
      </c>
      <c r="C198" s="1866"/>
      <c r="D198" s="1866"/>
      <c r="E198" s="1866"/>
      <c r="F198" s="1858">
        <v>0.05</v>
      </c>
    </row>
    <row r="199" spans="1:6" ht="24.75" thickBot="1">
      <c r="A199" s="1852" t="s">
        <v>1412</v>
      </c>
      <c r="B199" s="1856" t="s">
        <v>2145</v>
      </c>
      <c r="C199" s="1866"/>
      <c r="D199" s="1866"/>
      <c r="E199" s="1866"/>
      <c r="F199" s="1858">
        <v>0.05</v>
      </c>
    </row>
    <row r="200" spans="1:6" ht="24.75" thickBot="1">
      <c r="A200" s="1852" t="s">
        <v>1412</v>
      </c>
      <c r="B200" s="1856" t="s">
        <v>2146</v>
      </c>
      <c r="C200" s="1866"/>
      <c r="D200" s="1866"/>
      <c r="E200" s="1866"/>
      <c r="F200" s="1858">
        <v>0.05</v>
      </c>
    </row>
    <row r="201" spans="1:6" ht="24.75" thickBot="1">
      <c r="A201" s="1852" t="s">
        <v>1412</v>
      </c>
      <c r="B201" s="1856" t="s">
        <v>2147</v>
      </c>
      <c r="C201" s="1866"/>
      <c r="D201" s="1866"/>
      <c r="E201" s="1866"/>
      <c r="F201" s="1858">
        <v>0.05</v>
      </c>
    </row>
    <row r="202" spans="1:6" ht="24.75" thickBot="1">
      <c r="A202" s="1852" t="s">
        <v>1412</v>
      </c>
      <c r="B202" s="1856" t="s">
        <v>2148</v>
      </c>
      <c r="C202" s="1866"/>
      <c r="D202" s="1866"/>
      <c r="E202" s="1866"/>
      <c r="F202" s="1858">
        <v>0.05</v>
      </c>
    </row>
    <row r="203" spans="1:6" ht="24.75" thickBot="1">
      <c r="A203" s="1852" t="s">
        <v>1412</v>
      </c>
      <c r="B203" s="1856" t="s">
        <v>2149</v>
      </c>
      <c r="C203" s="1866"/>
      <c r="D203" s="1866"/>
      <c r="E203" s="1866"/>
      <c r="F203" s="1858">
        <v>0.05</v>
      </c>
    </row>
    <row r="204" spans="1:6" ht="14.25" thickBot="1">
      <c r="A204" s="1852" t="s">
        <v>1412</v>
      </c>
      <c r="B204" s="1856" t="s">
        <v>2150</v>
      </c>
      <c r="C204" s="1866"/>
      <c r="D204" s="1866"/>
      <c r="E204" s="1866"/>
      <c r="F204" s="1858">
        <v>0.05</v>
      </c>
    </row>
    <row r="205" spans="1:6" ht="14.25" thickBot="1">
      <c r="A205" s="1860" t="s">
        <v>1412</v>
      </c>
      <c r="B205" s="1867" t="s">
        <v>2151</v>
      </c>
      <c r="C205" s="1863"/>
      <c r="D205" s="1863"/>
      <c r="E205" s="1863"/>
      <c r="F205" s="1868">
        <v>0.05</v>
      </c>
    </row>
    <row r="206" spans="1:6" ht="14.25" thickBot="1">
      <c r="A206" s="1852" t="s">
        <v>1414</v>
      </c>
      <c r="B206" s="1853" t="s">
        <v>2152</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2153</v>
      </c>
      <c r="C210" s="1857">
        <v>0.15</v>
      </c>
      <c r="D210" s="1857">
        <v>0.15</v>
      </c>
      <c r="E210" s="1857">
        <v>0.15</v>
      </c>
      <c r="F210" s="1858">
        <v>0.13800000000000001</v>
      </c>
    </row>
    <row r="211" spans="1:6" ht="14.25" thickBot="1">
      <c r="A211" s="1852" t="s">
        <v>1414</v>
      </c>
      <c r="B211" s="1856" t="s">
        <v>2154</v>
      </c>
      <c r="C211" s="1857">
        <v>0.13700000000000001</v>
      </c>
      <c r="D211" s="1857">
        <v>0.13500000000000001</v>
      </c>
      <c r="E211" s="1857">
        <v>0.13600000000000001</v>
      </c>
      <c r="F211" s="1858">
        <v>0.1</v>
      </c>
    </row>
    <row r="212" spans="1:6" ht="14.25" thickBot="1">
      <c r="A212" s="1852" t="s">
        <v>1414</v>
      </c>
      <c r="B212" s="1856" t="s">
        <v>2155</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2156</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2157</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2158</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2159</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2160</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2161</v>
      </c>
      <c r="C231" s="1857">
        <v>0.128</v>
      </c>
      <c r="D231" s="1857">
        <v>0.125</v>
      </c>
      <c r="E231" s="1857">
        <v>0.13200000000000001</v>
      </c>
      <c r="F231" s="1865"/>
    </row>
    <row r="232" spans="1:6" ht="14.25" thickBot="1">
      <c r="A232" s="1852" t="s">
        <v>1414</v>
      </c>
      <c r="B232" s="1856" t="s">
        <v>2162</v>
      </c>
      <c r="C232" s="1857">
        <v>0.14499999999999999</v>
      </c>
      <c r="D232" s="1857">
        <v>0.14399999999999999</v>
      </c>
      <c r="E232" s="1857">
        <v>0.14599999999999999</v>
      </c>
      <c r="F232" s="1858">
        <v>0.13800000000000001</v>
      </c>
    </row>
    <row r="233" spans="1:6" ht="14.25" thickBot="1">
      <c r="A233" s="1852" t="s">
        <v>1414</v>
      </c>
      <c r="B233" s="1856" t="s">
        <v>2163</v>
      </c>
      <c r="C233" s="1857">
        <v>0.14499999999999999</v>
      </c>
      <c r="D233" s="1857">
        <v>0.14299999999999999</v>
      </c>
      <c r="E233" s="1857">
        <v>0.14199999999999999</v>
      </c>
      <c r="F233" s="1865"/>
    </row>
    <row r="234" spans="1:6" ht="14.25" thickBot="1">
      <c r="A234" s="1852" t="s">
        <v>1414</v>
      </c>
      <c r="B234" s="1856" t="s">
        <v>2164</v>
      </c>
      <c r="C234" s="1857">
        <v>0.14000000000000001</v>
      </c>
      <c r="D234" s="1857">
        <v>0.14000000000000001</v>
      </c>
      <c r="E234" s="1857">
        <v>0.14399999999999999</v>
      </c>
      <c r="F234" s="1865"/>
    </row>
    <row r="235" spans="1:6" ht="14.25" thickBot="1">
      <c r="A235" s="1852" t="s">
        <v>1414</v>
      </c>
      <c r="B235" s="1856" t="s">
        <v>2165</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2166</v>
      </c>
      <c r="C237" s="1866"/>
      <c r="D237" s="1866"/>
      <c r="E237" s="1866"/>
      <c r="F237" s="1858">
        <v>0.05</v>
      </c>
    </row>
    <row r="238" spans="1:6" ht="24.75" thickBot="1">
      <c r="A238" s="1852" t="s">
        <v>1414</v>
      </c>
      <c r="B238" s="1856" t="s">
        <v>2167</v>
      </c>
      <c r="C238" s="1866"/>
      <c r="D238" s="1866"/>
      <c r="E238" s="1866"/>
      <c r="F238" s="1858">
        <v>0.05</v>
      </c>
    </row>
    <row r="239" spans="1:6" ht="24.75" thickBot="1">
      <c r="A239" s="1852" t="s">
        <v>1414</v>
      </c>
      <c r="B239" s="1856" t="s">
        <v>2168</v>
      </c>
      <c r="C239" s="1866"/>
      <c r="D239" s="1866"/>
      <c r="E239" s="1866"/>
      <c r="F239" s="1858">
        <v>0.05</v>
      </c>
    </row>
    <row r="240" spans="1:6" ht="24.75" thickBot="1">
      <c r="A240" s="1852" t="s">
        <v>1414</v>
      </c>
      <c r="B240" s="1856" t="s">
        <v>2169</v>
      </c>
      <c r="C240" s="1866"/>
      <c r="D240" s="1866"/>
      <c r="E240" s="1866"/>
      <c r="F240" s="1858">
        <v>0.05</v>
      </c>
    </row>
    <row r="241" spans="1:6" ht="24.75" thickBot="1">
      <c r="A241" s="1852" t="s">
        <v>1414</v>
      </c>
      <c r="B241" s="1856" t="s">
        <v>2170</v>
      </c>
      <c r="C241" s="1866"/>
      <c r="D241" s="1866"/>
      <c r="E241" s="1866"/>
      <c r="F241" s="1858">
        <v>0.05</v>
      </c>
    </row>
    <row r="242" spans="1:6" ht="24.75" thickBot="1">
      <c r="A242" s="1852" t="s">
        <v>1414</v>
      </c>
      <c r="B242" s="1856" t="s">
        <v>2171</v>
      </c>
      <c r="C242" s="1866"/>
      <c r="D242" s="1866"/>
      <c r="E242" s="1866"/>
      <c r="F242" s="1858">
        <v>0.05</v>
      </c>
    </row>
    <row r="243" spans="1:6" ht="24.75" thickBot="1">
      <c r="A243" s="1852" t="s">
        <v>1414</v>
      </c>
      <c r="B243" s="1856" t="s">
        <v>2172</v>
      </c>
      <c r="C243" s="1866"/>
      <c r="D243" s="1866"/>
      <c r="E243" s="1866"/>
      <c r="F243" s="1858">
        <v>0.05</v>
      </c>
    </row>
    <row r="244" spans="1:6" ht="24.75" thickBot="1">
      <c r="A244" s="1860" t="s">
        <v>1414</v>
      </c>
      <c r="B244" s="1867" t="s">
        <v>2173</v>
      </c>
      <c r="C244" s="1863"/>
      <c r="D244" s="1863"/>
      <c r="E244" s="1863"/>
      <c r="F244" s="1868">
        <v>0.05</v>
      </c>
    </row>
    <row r="245" spans="1:6" ht="14.25" thickBot="1">
      <c r="A245" s="1852" t="s">
        <v>1416</v>
      </c>
      <c r="B245" s="1853" t="s">
        <v>2174</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2175</v>
      </c>
      <c r="C247" s="1857">
        <v>0.15</v>
      </c>
      <c r="D247" s="1857">
        <v>0.15</v>
      </c>
      <c r="E247" s="1857">
        <v>0.15</v>
      </c>
      <c r="F247" s="1858">
        <v>0.15</v>
      </c>
    </row>
    <row r="248" spans="1:6" ht="14.25" thickBot="1">
      <c r="A248" s="1852" t="s">
        <v>1416</v>
      </c>
      <c r="B248" s="1856" t="s">
        <v>2176</v>
      </c>
      <c r="C248" s="1857">
        <v>0.15</v>
      </c>
      <c r="D248" s="1857">
        <v>0.15</v>
      </c>
      <c r="E248" s="1857">
        <v>0.15</v>
      </c>
      <c r="F248" s="1858">
        <v>0.14000000000000001</v>
      </c>
    </row>
    <row r="249" spans="1:6" ht="14.25" thickBot="1">
      <c r="A249" s="1852" t="s">
        <v>1416</v>
      </c>
      <c r="B249" s="1856" t="s">
        <v>2177</v>
      </c>
      <c r="C249" s="1857">
        <v>0.15</v>
      </c>
      <c r="D249" s="1857">
        <v>0.14899999999999999</v>
      </c>
      <c r="E249" s="1857">
        <v>0.15</v>
      </c>
      <c r="F249" s="1858">
        <v>0.1</v>
      </c>
    </row>
    <row r="250" spans="1:6" ht="14.25" thickBot="1">
      <c r="A250" s="1852" t="s">
        <v>1416</v>
      </c>
      <c r="B250" s="1856" t="s">
        <v>2178</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2179</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2180</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2181</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2182</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2183</v>
      </c>
      <c r="C273" s="1857">
        <v>0.14199999999999999</v>
      </c>
      <c r="D273" s="1857">
        <v>0.14299999999999999</v>
      </c>
      <c r="E273" s="1857">
        <v>0.15</v>
      </c>
      <c r="F273" s="1858">
        <v>0.1</v>
      </c>
    </row>
    <row r="274" spans="1:6" ht="14.25" thickBot="1">
      <c r="A274" s="1852" t="s">
        <v>1416</v>
      </c>
      <c r="B274" s="1856" t="s">
        <v>2184</v>
      </c>
      <c r="C274" s="1857">
        <v>0.14799999999999999</v>
      </c>
      <c r="D274" s="1857">
        <v>0.14799999999999999</v>
      </c>
      <c r="E274" s="1857">
        <v>0.15</v>
      </c>
      <c r="F274" s="1858">
        <v>6.7000000000000004E-2</v>
      </c>
    </row>
    <row r="275" spans="1:6" ht="14.25" thickBot="1">
      <c r="A275" s="1852" t="s">
        <v>1416</v>
      </c>
      <c r="B275" s="1856" t="s">
        <v>2185</v>
      </c>
      <c r="C275" s="1857">
        <v>0.15</v>
      </c>
      <c r="D275" s="1857">
        <v>0.15</v>
      </c>
      <c r="E275" s="1857">
        <v>0.15</v>
      </c>
      <c r="F275" s="1858">
        <v>0.15</v>
      </c>
    </row>
    <row r="276" spans="1:6" ht="14.25" thickBot="1">
      <c r="A276" s="1852" t="s">
        <v>1416</v>
      </c>
      <c r="B276" s="1856" t="s">
        <v>2186</v>
      </c>
      <c r="C276" s="1857">
        <v>0.14499999999999999</v>
      </c>
      <c r="D276" s="1857">
        <v>0.14299999999999999</v>
      </c>
      <c r="E276" s="1857">
        <v>0.15</v>
      </c>
      <c r="F276" s="1858">
        <v>5.8999999999999997E-2</v>
      </c>
    </row>
    <row r="277" spans="1:6" ht="14.25" thickBot="1">
      <c r="A277" s="1852" t="s">
        <v>1416</v>
      </c>
      <c r="B277" s="1856" t="s">
        <v>2187</v>
      </c>
      <c r="C277" s="1857">
        <v>0.15</v>
      </c>
      <c r="D277" s="1857">
        <v>0.15</v>
      </c>
      <c r="E277" s="1857">
        <v>0.15</v>
      </c>
      <c r="F277" s="1858">
        <v>0.121</v>
      </c>
    </row>
    <row r="278" spans="1:6" ht="14.25" thickBot="1">
      <c r="A278" s="1852" t="s">
        <v>1416</v>
      </c>
      <c r="B278" s="1856" t="s">
        <v>2188</v>
      </c>
      <c r="C278" s="1857">
        <v>0.15</v>
      </c>
      <c r="D278" s="1857">
        <v>0.15</v>
      </c>
      <c r="E278" s="1857">
        <v>0.15</v>
      </c>
      <c r="F278" s="1858">
        <v>0.13800000000000001</v>
      </c>
    </row>
    <row r="279" spans="1:6" ht="24.75" thickBot="1">
      <c r="A279" s="1852" t="s">
        <v>1416</v>
      </c>
      <c r="B279" s="1856" t="s">
        <v>2189</v>
      </c>
      <c r="C279" s="1866"/>
      <c r="D279" s="1866"/>
      <c r="E279" s="1866"/>
      <c r="F279" s="1858">
        <v>0.05</v>
      </c>
    </row>
    <row r="280" spans="1:6" ht="24.75" thickBot="1">
      <c r="A280" s="1852" t="s">
        <v>1416</v>
      </c>
      <c r="B280" s="1856" t="s">
        <v>2190</v>
      </c>
      <c r="C280" s="1866"/>
      <c r="D280" s="1866"/>
      <c r="E280" s="1866"/>
      <c r="F280" s="1858">
        <v>0.05</v>
      </c>
    </row>
    <row r="281" spans="1:6" ht="24.75" thickBot="1">
      <c r="A281" s="1852" t="s">
        <v>1416</v>
      </c>
      <c r="B281" s="1856" t="s">
        <v>2191</v>
      </c>
      <c r="C281" s="1866"/>
      <c r="D281" s="1866"/>
      <c r="E281" s="1866"/>
      <c r="F281" s="1858">
        <v>0.05</v>
      </c>
    </row>
    <row r="282" spans="1:6" ht="24.75" thickBot="1">
      <c r="A282" s="1852" t="s">
        <v>1416</v>
      </c>
      <c r="B282" s="1856" t="s">
        <v>2192</v>
      </c>
      <c r="C282" s="1866"/>
      <c r="D282" s="1866"/>
      <c r="E282" s="1866"/>
      <c r="F282" s="1858">
        <v>0.05</v>
      </c>
    </row>
    <row r="283" spans="1:6" ht="24.75" thickBot="1">
      <c r="A283" s="1852" t="s">
        <v>1416</v>
      </c>
      <c r="B283" s="1856" t="s">
        <v>2193</v>
      </c>
      <c r="C283" s="1866"/>
      <c r="D283" s="1866"/>
      <c r="E283" s="1866"/>
      <c r="F283" s="1858">
        <v>0.05</v>
      </c>
    </row>
    <row r="284" spans="1:6" ht="24.75" thickBot="1">
      <c r="A284" s="1852" t="s">
        <v>1416</v>
      </c>
      <c r="B284" s="1856" t="s">
        <v>2194</v>
      </c>
      <c r="C284" s="1866"/>
      <c r="D284" s="1866"/>
      <c r="E284" s="1866"/>
      <c r="F284" s="1858">
        <v>0.05</v>
      </c>
    </row>
    <row r="285" spans="1:6" ht="24.75" thickBot="1">
      <c r="A285" s="1852" t="s">
        <v>1416</v>
      </c>
      <c r="B285" s="1856" t="s">
        <v>2195</v>
      </c>
      <c r="C285" s="1866"/>
      <c r="D285" s="1866"/>
      <c r="E285" s="1866"/>
      <c r="F285" s="1858">
        <v>0.05</v>
      </c>
    </row>
    <row r="286" spans="1:6" ht="24.75" thickBot="1">
      <c r="A286" s="1852" t="s">
        <v>1416</v>
      </c>
      <c r="B286" s="1856" t="s">
        <v>2196</v>
      </c>
      <c r="C286" s="1866"/>
      <c r="D286" s="1866"/>
      <c r="E286" s="1866"/>
      <c r="F286" s="1858">
        <v>0.05</v>
      </c>
    </row>
    <row r="287" spans="1:6" ht="24.75" thickBot="1">
      <c r="A287" s="1852" t="s">
        <v>1416</v>
      </c>
      <c r="B287" s="1856" t="s">
        <v>2197</v>
      </c>
      <c r="C287" s="1866"/>
      <c r="D287" s="1866"/>
      <c r="E287" s="1866"/>
      <c r="F287" s="1858">
        <v>0.05</v>
      </c>
    </row>
    <row r="288" spans="1:6" ht="24.75" thickBot="1">
      <c r="A288" s="1852" t="s">
        <v>1416</v>
      </c>
      <c r="B288" s="1856" t="s">
        <v>2198</v>
      </c>
      <c r="C288" s="1866"/>
      <c r="D288" s="1866"/>
      <c r="E288" s="1866"/>
      <c r="F288" s="1858">
        <v>0.05</v>
      </c>
    </row>
    <row r="289" spans="1:6" ht="24.75" thickBot="1">
      <c r="A289" s="1860" t="s">
        <v>1416</v>
      </c>
      <c r="B289" s="1867" t="s">
        <v>2199</v>
      </c>
      <c r="C289" s="1863"/>
      <c r="D289" s="1863"/>
      <c r="E289" s="1863"/>
      <c r="F289" s="1868">
        <v>0.05</v>
      </c>
    </row>
    <row r="290" spans="1:6" ht="14.25" thickBot="1">
      <c r="A290" s="1852" t="s">
        <v>1420</v>
      </c>
      <c r="B290" s="1853" t="s">
        <v>2200</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2201</v>
      </c>
      <c r="C292" s="1857">
        <v>0.15</v>
      </c>
      <c r="D292" s="1857">
        <v>0.15</v>
      </c>
      <c r="E292" s="1857">
        <v>0.15</v>
      </c>
      <c r="F292" s="1858">
        <v>0.14699999999999999</v>
      </c>
    </row>
    <row r="293" spans="1:6" ht="14.25" thickBot="1">
      <c r="A293" s="1852" t="s">
        <v>1420</v>
      </c>
      <c r="B293" s="1856" t="s">
        <v>2202</v>
      </c>
      <c r="C293" s="1866"/>
      <c r="D293" s="1866"/>
      <c r="E293" s="1866"/>
      <c r="F293" s="1858">
        <v>0.1</v>
      </c>
    </row>
    <row r="294" spans="1:6" ht="14.25" thickBot="1">
      <c r="A294" s="1852" t="s">
        <v>1420</v>
      </c>
      <c r="B294" s="1856" t="s">
        <v>2203</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2204</v>
      </c>
      <c r="C296" s="1857">
        <v>0.15</v>
      </c>
      <c r="D296" s="1857">
        <v>0.15</v>
      </c>
      <c r="E296" s="1857">
        <v>0.15</v>
      </c>
      <c r="F296" s="1858">
        <v>0.15</v>
      </c>
    </row>
    <row r="297" spans="1:6" ht="14.25" thickBot="1">
      <c r="A297" s="1852" t="s">
        <v>1420</v>
      </c>
      <c r="B297" s="1856" t="s">
        <v>2205</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2206</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2207</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2208</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2209</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2210</v>
      </c>
      <c r="C310" s="1857">
        <v>0.15</v>
      </c>
      <c r="D310" s="1857">
        <v>0.15</v>
      </c>
      <c r="E310" s="1857">
        <v>0.15</v>
      </c>
      <c r="F310" s="1858">
        <v>0.13700000000000001</v>
      </c>
    </row>
    <row r="311" spans="1:6" ht="14.25" thickBot="1">
      <c r="A311" s="1852" t="s">
        <v>1420</v>
      </c>
      <c r="B311" s="1856" t="s">
        <v>2211</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2212</v>
      </c>
      <c r="C313" s="1857">
        <v>0.15</v>
      </c>
      <c r="D313" s="1857">
        <v>0.15</v>
      </c>
      <c r="E313" s="1857">
        <v>0.15</v>
      </c>
      <c r="F313" s="1858">
        <v>0.15</v>
      </c>
    </row>
    <row r="314" spans="1:6" ht="24.75" thickBot="1">
      <c r="A314" s="1852" t="s">
        <v>1420</v>
      </c>
      <c r="B314" s="1856" t="s">
        <v>2213</v>
      </c>
      <c r="C314" s="1866"/>
      <c r="D314" s="1866"/>
      <c r="E314" s="1866"/>
      <c r="F314" s="1858">
        <v>0.05</v>
      </c>
    </row>
    <row r="315" spans="1:6" ht="24.75" thickBot="1">
      <c r="A315" s="1852" t="s">
        <v>1420</v>
      </c>
      <c r="B315" s="1856" t="s">
        <v>2214</v>
      </c>
      <c r="C315" s="1866"/>
      <c r="D315" s="1866"/>
      <c r="E315" s="1866"/>
      <c r="F315" s="1858">
        <v>0.05</v>
      </c>
    </row>
    <row r="316" spans="1:6" ht="24.75" thickBot="1">
      <c r="A316" s="1860" t="s">
        <v>1420</v>
      </c>
      <c r="B316" s="1867" t="s">
        <v>2215</v>
      </c>
      <c r="C316" s="1863"/>
      <c r="D316" s="1863"/>
      <c r="E316" s="1863"/>
      <c r="F316" s="1868">
        <v>0.05</v>
      </c>
    </row>
    <row r="317" spans="1:6" ht="14.25" thickBot="1">
      <c r="A317" s="1852" t="s">
        <v>2216</v>
      </c>
      <c r="B317" s="1853" t="s">
        <v>2217</v>
      </c>
      <c r="C317" s="1854">
        <v>0.15</v>
      </c>
      <c r="D317" s="1854">
        <v>0.15</v>
      </c>
      <c r="E317" s="1854">
        <v>0.15</v>
      </c>
      <c r="F317" s="1855">
        <v>0.15</v>
      </c>
    </row>
    <row r="318" spans="1:6" ht="14.25" thickBot="1">
      <c r="A318" s="1852" t="s">
        <v>2216</v>
      </c>
      <c r="B318" s="1856" t="s">
        <v>2218</v>
      </c>
      <c r="C318" s="1857">
        <v>0.107</v>
      </c>
      <c r="D318" s="1857">
        <v>0.11</v>
      </c>
      <c r="E318" s="1857">
        <v>0.112</v>
      </c>
      <c r="F318" s="1865"/>
    </row>
    <row r="319" spans="1:6" ht="14.25" thickBot="1">
      <c r="A319" s="1852" t="s">
        <v>2216</v>
      </c>
      <c r="B319" s="1856" t="s">
        <v>2219</v>
      </c>
      <c r="C319" s="1857">
        <v>0.15</v>
      </c>
      <c r="D319" s="1857">
        <v>0.15</v>
      </c>
      <c r="E319" s="1857">
        <v>0.15</v>
      </c>
      <c r="F319" s="1858">
        <v>0.15</v>
      </c>
    </row>
    <row r="320" spans="1:6" ht="14.25" thickBot="1">
      <c r="A320" s="1852" t="s">
        <v>2216</v>
      </c>
      <c r="B320" s="1856" t="s">
        <v>1108</v>
      </c>
      <c r="C320" s="1857">
        <v>0.15</v>
      </c>
      <c r="D320" s="1857">
        <v>0.15</v>
      </c>
      <c r="E320" s="1857">
        <v>0.15</v>
      </c>
      <c r="F320" s="1865"/>
    </row>
    <row r="321" spans="1:6" ht="14.25" thickBot="1">
      <c r="A321" s="1852" t="s">
        <v>2216</v>
      </c>
      <c r="B321" s="1856" t="s">
        <v>2220</v>
      </c>
      <c r="C321" s="1857">
        <v>0.15</v>
      </c>
      <c r="D321" s="1857">
        <v>0.15</v>
      </c>
      <c r="E321" s="1857">
        <v>0.15</v>
      </c>
      <c r="F321" s="1865"/>
    </row>
    <row r="322" spans="1:6" ht="14.25" thickBot="1">
      <c r="A322" s="1852" t="s">
        <v>2216</v>
      </c>
      <c r="B322" s="1856" t="s">
        <v>2221</v>
      </c>
      <c r="C322" s="1857">
        <v>0.15</v>
      </c>
      <c r="D322" s="1857">
        <v>0.15</v>
      </c>
      <c r="E322" s="1857">
        <v>0.15</v>
      </c>
      <c r="F322" s="1858">
        <v>0.15</v>
      </c>
    </row>
    <row r="323" spans="1:6" ht="14.25" thickBot="1">
      <c r="A323" s="1852" t="s">
        <v>2216</v>
      </c>
      <c r="B323" s="1856" t="s">
        <v>2222</v>
      </c>
      <c r="C323" s="1857">
        <v>0.15</v>
      </c>
      <c r="D323" s="1857">
        <v>0.15</v>
      </c>
      <c r="E323" s="1857">
        <v>0.15</v>
      </c>
      <c r="F323" s="1865"/>
    </row>
    <row r="324" spans="1:6" ht="14.25" thickBot="1">
      <c r="A324" s="1852" t="s">
        <v>2216</v>
      </c>
      <c r="B324" s="1856" t="s">
        <v>2223</v>
      </c>
      <c r="C324" s="1857">
        <v>0.15</v>
      </c>
      <c r="D324" s="1857">
        <v>0.15</v>
      </c>
      <c r="E324" s="1857">
        <v>0.15</v>
      </c>
      <c r="F324" s="1865"/>
    </row>
    <row r="325" spans="1:6" ht="14.25" thickBot="1">
      <c r="A325" s="1852" t="s">
        <v>2216</v>
      </c>
      <c r="B325" s="1856" t="s">
        <v>2224</v>
      </c>
      <c r="C325" s="1857">
        <v>0.15</v>
      </c>
      <c r="D325" s="1857">
        <v>0.15</v>
      </c>
      <c r="E325" s="1857">
        <v>0.15</v>
      </c>
      <c r="F325" s="1858">
        <v>0.14699999999999999</v>
      </c>
    </row>
    <row r="326" spans="1:6" ht="14.25" thickBot="1">
      <c r="A326" s="1852" t="s">
        <v>2216</v>
      </c>
      <c r="B326" s="1856" t="s">
        <v>1177</v>
      </c>
      <c r="C326" s="1857">
        <v>0.15</v>
      </c>
      <c r="D326" s="1857">
        <v>0.15</v>
      </c>
      <c r="E326" s="1857">
        <v>0.15</v>
      </c>
      <c r="F326" s="1865"/>
    </row>
    <row r="327" spans="1:6" ht="14.25" thickBot="1">
      <c r="A327" s="1852" t="s">
        <v>2216</v>
      </c>
      <c r="B327" s="1856" t="s">
        <v>2225</v>
      </c>
      <c r="C327" s="1857">
        <v>0.15</v>
      </c>
      <c r="D327" s="1857">
        <v>0.15</v>
      </c>
      <c r="E327" s="1857">
        <v>0.15</v>
      </c>
      <c r="F327" s="1858">
        <v>0.15</v>
      </c>
    </row>
    <row r="328" spans="1:6" ht="14.25" thickBot="1">
      <c r="A328" s="1852" t="s">
        <v>2216</v>
      </c>
      <c r="B328" s="1856" t="s">
        <v>1197</v>
      </c>
      <c r="C328" s="1857">
        <v>0.15</v>
      </c>
      <c r="D328" s="1857">
        <v>0.15</v>
      </c>
      <c r="E328" s="1857">
        <v>0.15</v>
      </c>
      <c r="F328" s="1858">
        <v>0.14099999999999999</v>
      </c>
    </row>
    <row r="329" spans="1:6" ht="14.25" thickBot="1">
      <c r="A329" s="1852" t="s">
        <v>2216</v>
      </c>
      <c r="B329" s="1856" t="s">
        <v>1207</v>
      </c>
      <c r="C329" s="1857">
        <v>0.15</v>
      </c>
      <c r="D329" s="1857">
        <v>0.15</v>
      </c>
      <c r="E329" s="1857">
        <v>0.15</v>
      </c>
      <c r="F329" s="1858">
        <v>0.15</v>
      </c>
    </row>
    <row r="330" spans="1:6" ht="14.25" thickBot="1">
      <c r="A330" s="1852" t="s">
        <v>2216</v>
      </c>
      <c r="B330" s="1856" t="s">
        <v>1217</v>
      </c>
      <c r="C330" s="1857">
        <v>0.15</v>
      </c>
      <c r="D330" s="1857">
        <v>0.15</v>
      </c>
      <c r="E330" s="1857">
        <v>0.15</v>
      </c>
      <c r="F330" s="1865"/>
    </row>
    <row r="331" spans="1:6" ht="14.25" thickBot="1">
      <c r="A331" s="1852" t="s">
        <v>2216</v>
      </c>
      <c r="B331" s="1856" t="s">
        <v>2226</v>
      </c>
      <c r="C331" s="1857">
        <v>0.15</v>
      </c>
      <c r="D331" s="1857">
        <v>0.15</v>
      </c>
      <c r="E331" s="1857">
        <v>0.15</v>
      </c>
      <c r="F331" s="1858">
        <v>0.15</v>
      </c>
    </row>
    <row r="332" spans="1:6" ht="14.25" thickBot="1">
      <c r="A332" s="1852" t="s">
        <v>2216</v>
      </c>
      <c r="B332" s="1856" t="s">
        <v>1237</v>
      </c>
      <c r="C332" s="1857">
        <v>0.15</v>
      </c>
      <c r="D332" s="1857">
        <v>0.15</v>
      </c>
      <c r="E332" s="1857">
        <v>0.15</v>
      </c>
      <c r="F332" s="1858">
        <v>0.15</v>
      </c>
    </row>
    <row r="333" spans="1:6" ht="14.25" thickBot="1">
      <c r="A333" s="1852" t="s">
        <v>2216</v>
      </c>
      <c r="B333" s="1856" t="s">
        <v>2227</v>
      </c>
      <c r="C333" s="1857">
        <v>0.15</v>
      </c>
      <c r="D333" s="1857">
        <v>0.15</v>
      </c>
      <c r="E333" s="1857">
        <v>0.15</v>
      </c>
      <c r="F333" s="1858">
        <v>0.14099999999999999</v>
      </c>
    </row>
    <row r="334" spans="1:6" ht="14.25" thickBot="1">
      <c r="A334" s="1852" t="s">
        <v>2216</v>
      </c>
      <c r="B334" s="1856" t="s">
        <v>1257</v>
      </c>
      <c r="C334" s="1857">
        <v>0.15</v>
      </c>
      <c r="D334" s="1857">
        <v>0.15</v>
      </c>
      <c r="E334" s="1857">
        <v>0.15</v>
      </c>
      <c r="F334" s="1858">
        <v>0.15</v>
      </c>
    </row>
    <row r="335" spans="1:6" ht="14.25" thickBot="1">
      <c r="A335" s="1852" t="s">
        <v>2216</v>
      </c>
      <c r="B335" s="1856" t="s">
        <v>1267</v>
      </c>
      <c r="C335" s="1857">
        <v>0.15</v>
      </c>
      <c r="D335" s="1857">
        <v>0.15</v>
      </c>
      <c r="E335" s="1857">
        <v>0.15</v>
      </c>
      <c r="F335" s="1865"/>
    </row>
    <row r="336" spans="1:6" ht="14.25" thickBot="1">
      <c r="A336" s="1852" t="s">
        <v>2216</v>
      </c>
      <c r="B336" s="1856" t="s">
        <v>2228</v>
      </c>
      <c r="C336" s="1857">
        <v>0.15</v>
      </c>
      <c r="D336" s="1857">
        <v>0.15</v>
      </c>
      <c r="E336" s="1857">
        <v>0.15</v>
      </c>
      <c r="F336" s="1858">
        <v>0.11799999999999999</v>
      </c>
    </row>
    <row r="337" spans="1:6" ht="14.25" thickBot="1">
      <c r="A337" s="1860" t="s">
        <v>2216</v>
      </c>
      <c r="B337" s="1867" t="s">
        <v>1285</v>
      </c>
      <c r="C337" s="1863"/>
      <c r="D337" s="1863"/>
      <c r="E337" s="1863"/>
      <c r="F337" s="1868">
        <v>0.14299999999999999</v>
      </c>
    </row>
    <row r="338" spans="1:6" ht="14.25" thickBot="1">
      <c r="A338" s="1852" t="s">
        <v>2229</v>
      </c>
      <c r="B338" s="1853" t="s">
        <v>2230</v>
      </c>
      <c r="C338" s="1854">
        <v>0.15</v>
      </c>
      <c r="D338" s="1854">
        <v>0.15</v>
      </c>
      <c r="E338" s="1854">
        <v>0.15</v>
      </c>
      <c r="F338" s="1876"/>
    </row>
    <row r="339" spans="1:6" ht="14.25" thickBot="1">
      <c r="A339" s="1852" t="s">
        <v>2229</v>
      </c>
      <c r="B339" s="1856" t="s">
        <v>2231</v>
      </c>
      <c r="C339" s="1857">
        <v>0.15</v>
      </c>
      <c r="D339" s="1857">
        <v>0.15</v>
      </c>
      <c r="E339" s="1857">
        <v>0.15</v>
      </c>
      <c r="F339" s="1865"/>
    </row>
    <row r="340" spans="1:6" ht="14.25" thickBot="1">
      <c r="A340" s="1852" t="s">
        <v>2229</v>
      </c>
      <c r="B340" s="1856" t="s">
        <v>2232</v>
      </c>
      <c r="C340" s="1857">
        <v>0.15</v>
      </c>
      <c r="D340" s="1857">
        <v>0.15</v>
      </c>
      <c r="E340" s="1857">
        <v>0.15</v>
      </c>
      <c r="F340" s="1865"/>
    </row>
    <row r="341" spans="1:6" ht="14.25" thickBot="1">
      <c r="A341" s="1852" t="s">
        <v>2233</v>
      </c>
      <c r="B341" s="1856" t="s">
        <v>2234</v>
      </c>
      <c r="C341" s="1857">
        <v>0.15</v>
      </c>
      <c r="D341" s="1857">
        <v>0.15</v>
      </c>
      <c r="E341" s="1857">
        <v>0.15</v>
      </c>
      <c r="F341" s="1858">
        <v>0.15</v>
      </c>
    </row>
    <row r="342" spans="1:6" ht="14.25" thickBot="1">
      <c r="A342" s="1852" t="s">
        <v>2229</v>
      </c>
      <c r="B342" s="1856" t="s">
        <v>2235</v>
      </c>
      <c r="C342" s="1857">
        <v>0.15</v>
      </c>
      <c r="D342" s="1857">
        <v>0.15</v>
      </c>
      <c r="E342" s="1857">
        <v>0.15</v>
      </c>
      <c r="F342" s="1858">
        <v>0.15</v>
      </c>
    </row>
    <row r="343" spans="1:6" ht="14.25" thickBot="1">
      <c r="A343" s="1852" t="s">
        <v>2229</v>
      </c>
      <c r="B343" s="1856" t="s">
        <v>2236</v>
      </c>
      <c r="C343" s="1857">
        <v>0.15</v>
      </c>
      <c r="D343" s="1857">
        <v>0.15</v>
      </c>
      <c r="E343" s="1857">
        <v>0.15</v>
      </c>
      <c r="F343" s="1858">
        <v>0.15</v>
      </c>
    </row>
    <row r="344" spans="1:6" ht="14.25" thickBot="1">
      <c r="A344" s="1860" t="s">
        <v>2229</v>
      </c>
      <c r="B344" s="1867" t="s">
        <v>2237</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2946</v>
      </c>
      <c r="B1" s="3127"/>
      <c r="C1" s="3127"/>
      <c r="D1" s="3127"/>
      <c r="E1" s="3127"/>
      <c r="F1" s="3127"/>
    </row>
    <row r="2" spans="1:6" ht="14.25">
      <c r="A2" s="3128" t="s">
        <v>2940</v>
      </c>
      <c r="B2" s="3129" t="e">
        <f ca="1">SUMIF(B7:B14,"&lt;&gt;#ref!",B7:B14)</f>
        <v>#DIV/0!</v>
      </c>
      <c r="C2" s="3128" t="s">
        <v>2941</v>
      </c>
      <c r="D2" s="3127"/>
      <c r="E2" s="3127"/>
      <c r="F2" s="3127"/>
    </row>
    <row r="3" spans="1:6" ht="14.25">
      <c r="A3" s="3128" t="s">
        <v>2943</v>
      </c>
      <c r="B3" s="3129" t="e">
        <f ca="1">ROUND(B2*10000/E3,0)</f>
        <v>#DIV/0!</v>
      </c>
      <c r="C3" s="3128" t="s">
        <v>2078</v>
      </c>
      <c r="D3" s="3128" t="s">
        <v>2942</v>
      </c>
      <c r="E3" s="3129" t="e">
        <f ca="1">SUM(E7:E14)</f>
        <v>#REF!</v>
      </c>
      <c r="F3" s="3127"/>
    </row>
    <row r="4" spans="1:6" ht="14.25">
      <c r="A4" s="3128" t="s">
        <v>2950</v>
      </c>
      <c r="B4" s="3129" t="e">
        <f ca="1">ROUND(B2*10000/E4,0)</f>
        <v>#DIV/0!</v>
      </c>
      <c r="C4" s="3128" t="s">
        <v>2078</v>
      </c>
      <c r="D4" s="3128" t="s">
        <v>2951</v>
      </c>
      <c r="E4" s="3129" t="e">
        <f ca="1">SUM(F7:F14)</f>
        <v>#REF!</v>
      </c>
      <c r="F4" s="3127"/>
    </row>
    <row r="5" spans="1:6" ht="14.25">
      <c r="A5" s="3130"/>
      <c r="B5" s="1878"/>
      <c r="C5" s="1878"/>
      <c r="D5" s="1878"/>
      <c r="E5" s="1878"/>
      <c r="F5" s="3127"/>
    </row>
    <row r="6" spans="1:6" ht="28.5">
      <c r="A6" s="3131" t="s">
        <v>2947</v>
      </c>
      <c r="B6" s="3128" t="s">
        <v>2944</v>
      </c>
      <c r="C6" s="3129"/>
      <c r="D6" s="1878"/>
      <c r="E6" s="3128" t="s">
        <v>2945</v>
      </c>
      <c r="F6" s="3128" t="s">
        <v>2949</v>
      </c>
    </row>
    <row r="7" spans="1:6" ht="14.25">
      <c r="A7" s="259" t="s">
        <v>2948</v>
      </c>
      <c r="B7" s="3132" t="e">
        <f ca="1">SUMIF(INDIRECT("'"&amp;A7&amp;"'"&amp;"!A:A"),"总价",INDIRECT("'"&amp;A7&amp;"'"&amp;"!B:B"))</f>
        <v>#DIV/0!</v>
      </c>
      <c r="C7" s="3128" t="s">
        <v>2941</v>
      </c>
      <c r="D7" s="1878"/>
      <c r="E7" s="3133">
        <f ca="1">SUMIF(INDIRECT("'"&amp;A7&amp;"'"&amp;"!C:C"),"建筑面积",INDIRECT("'"&amp;A7&amp;"'"&amp;"!D:D"))</f>
        <v>0</v>
      </c>
      <c r="F7" s="3133">
        <f ca="1">SUMIF(INDIRECT("'"&amp;A7&amp;"'"&amp;"!E:E"),"土地面积",INDIRECT("'"&amp;A7&amp;"'"&amp;"!F:F"))</f>
        <v>0</v>
      </c>
    </row>
    <row r="8" spans="1:6" ht="14.25">
      <c r="A8" s="259"/>
      <c r="B8" s="3132" t="e">
        <f t="shared" ref="B8:B14" ca="1" si="0">SUMIF(INDIRECT("'"&amp;A8&amp;"'"&amp;"!A:A"),"总价",INDIRECT("'"&amp;A8&amp;"'"&amp;"!B:B"))</f>
        <v>#REF!</v>
      </c>
      <c r="C8" s="3128" t="s">
        <v>2941</v>
      </c>
      <c r="D8" s="1878"/>
      <c r="E8" s="3133" t="e">
        <f t="shared" ref="E8:E14" ca="1" si="1">SUMIF(INDIRECT("'"&amp;A8&amp;"'"&amp;"!C:C"),"建筑面积",INDIRECT("'"&amp;A8&amp;"'"&amp;"!D:D"))</f>
        <v>#REF!</v>
      </c>
      <c r="F8" s="3133" t="e">
        <f t="shared" ref="F8:F14" ca="1" si="2">SUMIF(INDIRECT("'"&amp;A8&amp;"'"&amp;"!E:E"),"土地面积",INDIRECT("'"&amp;A8&amp;"'"&amp;"!F:F"))</f>
        <v>#REF!</v>
      </c>
    </row>
    <row r="9" spans="1:6" ht="14.25">
      <c r="A9" s="259"/>
      <c r="B9" s="3132" t="e">
        <f t="shared" ca="1" si="0"/>
        <v>#REF!</v>
      </c>
      <c r="C9" s="3128" t="s">
        <v>2941</v>
      </c>
      <c r="D9" s="1878"/>
      <c r="E9" s="3133" t="e">
        <f t="shared" ca="1" si="1"/>
        <v>#REF!</v>
      </c>
      <c r="F9" s="3133" t="e">
        <f t="shared" ca="1" si="2"/>
        <v>#REF!</v>
      </c>
    </row>
    <row r="10" spans="1:6" ht="14.25">
      <c r="A10" s="259"/>
      <c r="B10" s="3132" t="e">
        <f t="shared" ca="1" si="0"/>
        <v>#REF!</v>
      </c>
      <c r="C10" s="3128" t="s">
        <v>2941</v>
      </c>
      <c r="D10" s="1878"/>
      <c r="E10" s="3133" t="e">
        <f t="shared" ca="1" si="1"/>
        <v>#REF!</v>
      </c>
      <c r="F10" s="3133" t="e">
        <f t="shared" ca="1" si="2"/>
        <v>#REF!</v>
      </c>
    </row>
    <row r="11" spans="1:6" ht="14.25">
      <c r="A11" s="259"/>
      <c r="B11" s="3132" t="e">
        <f t="shared" ca="1" si="0"/>
        <v>#REF!</v>
      </c>
      <c r="C11" s="3128" t="s">
        <v>2941</v>
      </c>
      <c r="D11" s="1878"/>
      <c r="E11" s="3133" t="e">
        <f t="shared" ca="1" si="1"/>
        <v>#REF!</v>
      </c>
      <c r="F11" s="3133" t="e">
        <f t="shared" ca="1" si="2"/>
        <v>#REF!</v>
      </c>
    </row>
    <row r="12" spans="1:6" ht="14.25">
      <c r="A12" s="259"/>
      <c r="B12" s="3132" t="e">
        <f t="shared" ca="1" si="0"/>
        <v>#REF!</v>
      </c>
      <c r="C12" s="3128" t="s">
        <v>2941</v>
      </c>
      <c r="D12" s="1878"/>
      <c r="E12" s="3133" t="e">
        <f t="shared" ca="1" si="1"/>
        <v>#REF!</v>
      </c>
      <c r="F12" s="3133" t="e">
        <f t="shared" ca="1" si="2"/>
        <v>#REF!</v>
      </c>
    </row>
    <row r="13" spans="1:6" ht="14.25">
      <c r="A13" s="259"/>
      <c r="B13" s="3132" t="e">
        <f t="shared" ca="1" si="0"/>
        <v>#REF!</v>
      </c>
      <c r="C13" s="3128" t="s">
        <v>2941</v>
      </c>
      <c r="D13" s="1878"/>
      <c r="E13" s="3133" t="e">
        <f t="shared" ca="1" si="1"/>
        <v>#REF!</v>
      </c>
      <c r="F13" s="3133" t="e">
        <f t="shared" ca="1" si="2"/>
        <v>#REF!</v>
      </c>
    </row>
    <row r="14" spans="1:6" ht="14.25">
      <c r="A14" s="3126"/>
      <c r="B14" s="3132" t="e">
        <f t="shared" ca="1" si="0"/>
        <v>#REF!</v>
      </c>
      <c r="C14" s="3128" t="s">
        <v>2941</v>
      </c>
      <c r="D14" s="1878"/>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D37" sqref="D3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1678</v>
      </c>
      <c r="E1" s="505"/>
      <c r="F1" s="2828" t="s">
        <v>3219</v>
      </c>
      <c r="G1" s="1599" t="s">
        <v>721</v>
      </c>
      <c r="H1" s="505"/>
      <c r="I1" s="505"/>
      <c r="J1" s="505"/>
      <c r="K1" s="506"/>
      <c r="L1" s="1560"/>
      <c r="M1" s="1561"/>
      <c r="N1" s="1561"/>
      <c r="O1" s="1561"/>
      <c r="P1" s="2204"/>
      <c r="Q1" s="1562"/>
      <c r="R1" s="1562"/>
      <c r="S1" s="1562"/>
      <c r="T1" s="1562"/>
      <c r="U1" s="1562"/>
      <c r="V1" s="1562"/>
      <c r="W1" s="1562"/>
      <c r="X1" s="1562"/>
      <c r="Y1" s="1562"/>
      <c r="Z1" s="1562"/>
      <c r="AA1" s="1562"/>
      <c r="AB1" s="1562"/>
      <c r="AC1" s="1563"/>
    </row>
    <row r="2" spans="1:29" s="1335" customFormat="1" ht="28.5" customHeight="1">
      <c r="A2" s="422" t="s">
        <v>467</v>
      </c>
      <c r="B2" s="849">
        <f>ROUND(B3*D3/10000,0)</f>
        <v>191361</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5" customFormat="1" ht="28.5" customHeight="1" thickBot="1">
      <c r="A3" s="508" t="s">
        <v>519</v>
      </c>
      <c r="B3" s="509">
        <f>C50</f>
        <v>41055</v>
      </c>
      <c r="C3" s="851" t="s">
        <v>722</v>
      </c>
      <c r="D3" s="850">
        <f>SUMIF('数据-汇总表'!$C19:$C33,D1,'数据-汇总表'!$E19:$E33)</f>
        <v>46611</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1" t="s">
        <v>521</v>
      </c>
      <c r="B4" s="512"/>
      <c r="C4" s="3400" t="s">
        <v>522</v>
      </c>
      <c r="D4" s="3401"/>
      <c r="E4" s="3436" t="s">
        <v>523</v>
      </c>
      <c r="F4" s="3437"/>
      <c r="G4" s="3400" t="s">
        <v>524</v>
      </c>
      <c r="H4" s="3401"/>
      <c r="I4" s="3400" t="s">
        <v>525</v>
      </c>
      <c r="J4" s="3401"/>
      <c r="K4" s="513" t="s">
        <v>526</v>
      </c>
      <c r="L4" s="2130"/>
      <c r="M4" s="2131"/>
      <c r="N4" s="2131"/>
      <c r="O4" s="2131"/>
      <c r="P4" s="3472" t="s">
        <v>527</v>
      </c>
      <c r="Q4" s="3403"/>
      <c r="R4" s="3408" t="s">
        <v>523</v>
      </c>
      <c r="S4" s="3409"/>
      <c r="T4" s="3408" t="s">
        <v>524</v>
      </c>
      <c r="U4" s="3409"/>
      <c r="V4" s="3395" t="s">
        <v>525</v>
      </c>
      <c r="W4" s="3395"/>
      <c r="X4" s="1565"/>
      <c r="Y4" s="3408" t="s">
        <v>527</v>
      </c>
      <c r="Z4" s="3409"/>
      <c r="AA4" s="3397" t="s">
        <v>523</v>
      </c>
      <c r="AB4" s="3397" t="s">
        <v>524</v>
      </c>
      <c r="AC4" s="3397" t="s">
        <v>525</v>
      </c>
    </row>
    <row r="5" spans="1:29" ht="15">
      <c r="A5" s="514"/>
      <c r="B5" s="515"/>
      <c r="C5" s="3416" t="s">
        <v>2923</v>
      </c>
      <c r="D5" s="3417"/>
      <c r="E5" s="3476" t="s">
        <v>3234</v>
      </c>
      <c r="F5" s="3439"/>
      <c r="G5" s="3418" t="s">
        <v>3235</v>
      </c>
      <c r="H5" s="3417"/>
      <c r="I5" s="3418" t="s">
        <v>3256</v>
      </c>
      <c r="J5" s="3417"/>
      <c r="K5" s="513"/>
      <c r="L5" s="2130"/>
      <c r="M5" s="2131"/>
      <c r="N5" s="2131"/>
      <c r="O5" s="2131"/>
      <c r="P5" s="3473"/>
      <c r="Q5" s="3405"/>
      <c r="R5" s="3410"/>
      <c r="S5" s="3411"/>
      <c r="T5" s="3410"/>
      <c r="U5" s="3411"/>
      <c r="V5" s="3395"/>
      <c r="W5" s="3395"/>
      <c r="X5" s="1565"/>
      <c r="Y5" s="3410"/>
      <c r="Z5" s="3411"/>
      <c r="AA5" s="3398"/>
      <c r="AB5" s="3398"/>
      <c r="AC5" s="3398"/>
    </row>
    <row r="6" spans="1:29" ht="27" customHeight="1" thickBot="1">
      <c r="A6" s="516"/>
      <c r="B6" s="517"/>
      <c r="C6" s="3433" t="s">
        <v>2927</v>
      </c>
      <c r="D6" s="3415"/>
      <c r="E6" s="3475" t="s">
        <v>3255</v>
      </c>
      <c r="F6" s="3435"/>
      <c r="G6" s="3414" t="s">
        <v>3236</v>
      </c>
      <c r="H6" s="3415"/>
      <c r="I6" s="3414" t="s">
        <v>3266</v>
      </c>
      <c r="J6" s="3415"/>
      <c r="K6" s="513" t="s">
        <v>528</v>
      </c>
      <c r="L6" s="2130"/>
      <c r="M6" s="2131"/>
      <c r="N6" s="2131"/>
      <c r="O6" s="2131"/>
      <c r="P6" s="3474"/>
      <c r="Q6" s="3407"/>
      <c r="R6" s="3410"/>
      <c r="S6" s="3411"/>
      <c r="T6" s="3412"/>
      <c r="U6" s="3413"/>
      <c r="V6" s="3395"/>
      <c r="W6" s="3395"/>
      <c r="X6" s="1565"/>
      <c r="Y6" s="3412"/>
      <c r="Z6" s="3413"/>
      <c r="AA6" s="3399"/>
      <c r="AB6" s="3399"/>
      <c r="AC6" s="3399"/>
    </row>
    <row r="7" spans="1:29" s="1219" customFormat="1" ht="15.75" thickBot="1">
      <c r="A7" s="2933"/>
      <c r="B7" s="2940" t="s">
        <v>529</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2"/>
      <c r="M7" s="2133"/>
      <c r="N7" s="2133"/>
      <c r="O7" s="2133"/>
      <c r="P7" s="3428" t="s">
        <v>530</v>
      </c>
      <c r="Q7" s="3428"/>
      <c r="R7" s="1566" t="s">
        <v>8</v>
      </c>
      <c r="S7" s="1567">
        <f t="shared" ref="S7:S15" si="0">F7</f>
        <v>100</v>
      </c>
      <c r="T7" s="1566" t="s">
        <v>8</v>
      </c>
      <c r="U7" s="1567">
        <f t="shared" ref="U7:U15" si="1">H7</f>
        <v>100</v>
      </c>
      <c r="V7" s="1566" t="s">
        <v>8</v>
      </c>
      <c r="W7" s="1567">
        <f t="shared" ref="W7:W15" si="2">J7</f>
        <v>100</v>
      </c>
      <c r="X7" s="1568"/>
      <c r="Y7" s="3426" t="s">
        <v>530</v>
      </c>
      <c r="Z7" s="3427"/>
      <c r="AA7" s="1569">
        <f>D7/F7</f>
        <v>1</v>
      </c>
      <c r="AB7" s="1569">
        <f>D7/H7</f>
        <v>1</v>
      </c>
      <c r="AC7" s="1569">
        <f>D7/J7</f>
        <v>1</v>
      </c>
    </row>
    <row r="8" spans="1:29" s="1219" customFormat="1" ht="15.75" thickBot="1">
      <c r="A8" s="2934"/>
      <c r="B8" s="2941"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2"/>
      <c r="M8" s="2133"/>
      <c r="N8" s="2133"/>
      <c r="O8" s="2133"/>
      <c r="P8" s="3428" t="s">
        <v>533</v>
      </c>
      <c r="Q8" s="3427"/>
      <c r="R8" s="1566" t="s">
        <v>8</v>
      </c>
      <c r="S8" s="1567">
        <f t="shared" si="0"/>
        <v>100</v>
      </c>
      <c r="T8" s="1566" t="s">
        <v>8</v>
      </c>
      <c r="U8" s="1567">
        <f t="shared" si="1"/>
        <v>100</v>
      </c>
      <c r="V8" s="1566" t="s">
        <v>8</v>
      </c>
      <c r="W8" s="1567">
        <f t="shared" si="2"/>
        <v>100</v>
      </c>
      <c r="X8" s="1568"/>
      <c r="Y8" s="3426" t="s">
        <v>533</v>
      </c>
      <c r="Z8" s="3427"/>
      <c r="AA8" s="1569">
        <f t="shared" ref="AA8:AA47" si="3">D8/F8</f>
        <v>1</v>
      </c>
      <c r="AB8" s="1569">
        <f t="shared" ref="AB8:AB47" si="4">D8/H8</f>
        <v>1</v>
      </c>
      <c r="AC8" s="1569">
        <f t="shared" ref="AC8:AC47" si="5">D8/J8</f>
        <v>1</v>
      </c>
    </row>
    <row r="9" spans="1:29" s="1219"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94" t="s">
        <v>535</v>
      </c>
      <c r="Q9" s="1150" t="str">
        <f t="shared" ref="Q9:Q15" si="6">B9</f>
        <v>用途</v>
      </c>
      <c r="R9" s="1566" t="s">
        <v>8</v>
      </c>
      <c r="S9" s="1567">
        <f t="shared" si="0"/>
        <v>100</v>
      </c>
      <c r="T9" s="1566" t="s">
        <v>8</v>
      </c>
      <c r="U9" s="1567">
        <f t="shared" si="1"/>
        <v>100</v>
      </c>
      <c r="V9" s="1566" t="s">
        <v>8</v>
      </c>
      <c r="W9" s="1567">
        <f t="shared" si="2"/>
        <v>100</v>
      </c>
      <c r="X9" s="1568"/>
      <c r="Y9" s="3340"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75" thickBot="1">
      <c r="A11" s="2937"/>
      <c r="B11" s="2941" t="s">
        <v>2758</v>
      </c>
      <c r="C11" s="532"/>
      <c r="D11" s="254">
        <v>100</v>
      </c>
      <c r="E11" s="532"/>
      <c r="F11" s="254">
        <f>LOOKUP(E11,69:69,70:70)-LOOKUP(C11,69:69,70:70)+100</f>
        <v>100</v>
      </c>
      <c r="G11" s="533"/>
      <c r="H11" s="254">
        <f>LOOKUP(G11,69:69,70:70)-LOOKUP(C11,69:69,70:70)+100</f>
        <v>100</v>
      </c>
      <c r="I11" s="532"/>
      <c r="J11" s="254">
        <f>LOOKUP(I11,69:69,70:70)-LOOKUP(C11,69:69,70:70)+100</f>
        <v>100</v>
      </c>
      <c r="K11" s="583"/>
      <c r="L11" s="2137"/>
      <c r="M11" s="2131"/>
      <c r="N11" s="2131"/>
      <c r="O11" s="2131"/>
      <c r="P11" s="3394"/>
      <c r="Q11" s="1150" t="str">
        <f t="shared" si="6"/>
        <v>容积率</v>
      </c>
      <c r="R11" s="1566" t="s">
        <v>8</v>
      </c>
      <c r="S11" s="1567">
        <f t="shared" si="0"/>
        <v>100</v>
      </c>
      <c r="T11" s="1566" t="s">
        <v>8</v>
      </c>
      <c r="U11" s="1567">
        <f t="shared" si="1"/>
        <v>100</v>
      </c>
      <c r="V11" s="1566" t="s">
        <v>8</v>
      </c>
      <c r="W11" s="1567">
        <f t="shared" si="2"/>
        <v>100</v>
      </c>
      <c r="X11" s="1568"/>
      <c r="Y11" s="3340"/>
      <c r="Z11" s="1149" t="str">
        <f t="shared" si="7"/>
        <v>容积率</v>
      </c>
      <c r="AA11" s="1569">
        <f t="shared" si="3"/>
        <v>1</v>
      </c>
      <c r="AB11" s="1569">
        <f t="shared" si="4"/>
        <v>1</v>
      </c>
      <c r="AC11" s="1569">
        <f t="shared" si="5"/>
        <v>1</v>
      </c>
    </row>
    <row r="12" spans="1:29" s="1219" customFormat="1" ht="15" hidden="1">
      <c r="A12" s="2938"/>
      <c r="B12" s="2944">
        <v>111</v>
      </c>
      <c r="C12" s="527"/>
      <c r="D12" s="537">
        <v>100</v>
      </c>
      <c r="E12" s="527"/>
      <c r="F12" s="254">
        <f>SUMIF(71:71,E12,72:72)-SUMIF(71:71,C12,72:72)+100</f>
        <v>100</v>
      </c>
      <c r="G12" s="909"/>
      <c r="H12" s="254">
        <f>SUMIF(71:71,G12,72:72)-SUMIF(71:71,C12,72:72)+100</f>
        <v>100</v>
      </c>
      <c r="I12" s="527"/>
      <c r="J12" s="254">
        <f>SUMIF(71:71,I12,72:72)-SUMIF(71:71,C12,72:72)+100</f>
        <v>100</v>
      </c>
      <c r="K12" s="580"/>
      <c r="L12" s="2132"/>
      <c r="M12" s="2133"/>
      <c r="N12" s="2133"/>
      <c r="O12" s="2133"/>
      <c r="P12" s="3394"/>
      <c r="Q12" s="1150">
        <f t="shared" si="6"/>
        <v>111</v>
      </c>
      <c r="R12" s="1566" t="s">
        <v>8</v>
      </c>
      <c r="S12" s="1567">
        <f t="shared" si="0"/>
        <v>100</v>
      </c>
      <c r="T12" s="1566" t="s">
        <v>8</v>
      </c>
      <c r="U12" s="1567">
        <f t="shared" si="1"/>
        <v>100</v>
      </c>
      <c r="V12" s="1566" t="s">
        <v>8</v>
      </c>
      <c r="W12" s="1567">
        <f t="shared" si="2"/>
        <v>100</v>
      </c>
      <c r="X12" s="1568"/>
      <c r="Y12" s="3340"/>
      <c r="Z12" s="1149">
        <f t="shared" si="7"/>
        <v>111</v>
      </c>
      <c r="AA12" s="1569">
        <f>D12/F12</f>
        <v>1</v>
      </c>
      <c r="AB12" s="1569">
        <f>D12/H12</f>
        <v>1</v>
      </c>
      <c r="AC12" s="1569">
        <f>D12/J12</f>
        <v>1</v>
      </c>
    </row>
    <row r="13" spans="1:29" ht="15" hidden="1">
      <c r="A13" s="2938"/>
      <c r="B13" s="2944">
        <v>111</v>
      </c>
      <c r="C13" s="538"/>
      <c r="D13" s="539">
        <v>100</v>
      </c>
      <c r="E13" s="527"/>
      <c r="F13" s="254">
        <f>SUMIF(73:73,E13,74:74)-SUMIF(73:73,C13,74:74)+100</f>
        <v>100</v>
      </c>
      <c r="G13" s="909"/>
      <c r="H13" s="539">
        <f>SUMIF(73:73,G13,74:74)-SUMIF(73:73,C13,74:74)+100</f>
        <v>100</v>
      </c>
      <c r="I13" s="527"/>
      <c r="J13" s="539">
        <f>SUMIF(73:73,I13,74:74)-SUMIF(73:73,C13,74:74)+100</f>
        <v>100</v>
      </c>
      <c r="K13" s="580"/>
      <c r="L13" s="2139"/>
      <c r="M13" s="2131"/>
      <c r="N13" s="2131"/>
      <c r="O13" s="2131"/>
      <c r="P13" s="3394"/>
      <c r="Q13" s="1150">
        <f t="shared" si="6"/>
        <v>111</v>
      </c>
      <c r="R13" s="1566" t="s">
        <v>8</v>
      </c>
      <c r="S13" s="1567">
        <f t="shared" si="0"/>
        <v>100</v>
      </c>
      <c r="T13" s="1566" t="s">
        <v>8</v>
      </c>
      <c r="U13" s="1567">
        <f t="shared" si="1"/>
        <v>100</v>
      </c>
      <c r="V13" s="1566" t="s">
        <v>8</v>
      </c>
      <c r="W13" s="1567">
        <f t="shared" si="2"/>
        <v>100</v>
      </c>
      <c r="X13" s="1568"/>
      <c r="Y13" s="3340"/>
      <c r="Z13" s="1149">
        <f t="shared" si="7"/>
        <v>111</v>
      </c>
      <c r="AA13" s="1569">
        <f t="shared" si="3"/>
        <v>1</v>
      </c>
      <c r="AB13" s="1569">
        <f t="shared" si="4"/>
        <v>1</v>
      </c>
      <c r="AC13" s="1569">
        <f t="shared" si="5"/>
        <v>1</v>
      </c>
    </row>
    <row r="14" spans="1:29" ht="15.75" hidden="1" thickBot="1">
      <c r="A14" s="2939"/>
      <c r="B14" s="2945">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394"/>
      <c r="Q14" s="1150">
        <f t="shared" si="6"/>
        <v>111</v>
      </c>
      <c r="R14" s="1566" t="s">
        <v>8</v>
      </c>
      <c r="S14" s="1567">
        <f t="shared" si="0"/>
        <v>100</v>
      </c>
      <c r="T14" s="1566" t="s">
        <v>8</v>
      </c>
      <c r="U14" s="1567">
        <f t="shared" si="1"/>
        <v>100</v>
      </c>
      <c r="V14" s="1566" t="s">
        <v>8</v>
      </c>
      <c r="W14" s="1567">
        <f t="shared" si="2"/>
        <v>100</v>
      </c>
      <c r="X14" s="1568"/>
      <c r="Y14" s="3340"/>
      <c r="Z14" s="1149">
        <f t="shared" si="7"/>
        <v>111</v>
      </c>
      <c r="AA14" s="1569">
        <f t="shared" si="3"/>
        <v>1</v>
      </c>
      <c r="AB14" s="1569">
        <f t="shared" si="4"/>
        <v>1</v>
      </c>
      <c r="AC14" s="1569">
        <f t="shared" si="5"/>
        <v>1</v>
      </c>
    </row>
    <row r="15" spans="1:29" ht="114">
      <c r="A15" s="2931" t="s">
        <v>2754</v>
      </c>
      <c r="B15" s="546" t="s">
        <v>542</v>
      </c>
      <c r="C15" s="547" t="str">
        <f>估价对象房地状况!C5</f>
        <v>估价对象位于中关村环保科技园，周边办公楼项目较多，有百卓大厦、同有科技大厦等，入驻率较高，办公集聚程度较好。</v>
      </c>
      <c r="D15" s="548">
        <v>100</v>
      </c>
      <c r="E15" s="3195" t="s">
        <v>3257</v>
      </c>
      <c r="F15" s="548">
        <f>SUMIF(77:77,E16,78:78)-SUMIF(77:77,C16,78:78)+100</f>
        <v>100</v>
      </c>
      <c r="G15" s="3195" t="s">
        <v>3257</v>
      </c>
      <c r="H15" s="548">
        <f>SUMIF(77:77,G16,78:78)-SUMIF(77:77,C16,78:78)+100</f>
        <v>100</v>
      </c>
      <c r="I15" s="3195" t="s">
        <v>3267</v>
      </c>
      <c r="J15" s="548">
        <f>SUMIF(77:77,I16,78:78)-SUMIF(77:77,C16,78:78)+100</f>
        <v>100</v>
      </c>
      <c r="K15" s="897"/>
      <c r="L15" s="2139"/>
      <c r="M15" s="2131"/>
      <c r="N15" s="2131"/>
      <c r="O15" s="2131"/>
      <c r="P15" s="3429" t="s">
        <v>540</v>
      </c>
      <c r="Q15" s="1570" t="str">
        <f t="shared" si="6"/>
        <v>办公集聚程度</v>
      </c>
      <c r="R15" s="1571" t="s">
        <v>8</v>
      </c>
      <c r="S15" s="1572">
        <f t="shared" si="0"/>
        <v>100</v>
      </c>
      <c r="T15" s="1571" t="s">
        <v>8</v>
      </c>
      <c r="U15" s="1572">
        <f t="shared" si="1"/>
        <v>100</v>
      </c>
      <c r="V15" s="1571" t="s">
        <v>8</v>
      </c>
      <c r="W15" s="1572">
        <f t="shared" si="2"/>
        <v>100</v>
      </c>
      <c r="X15" s="1565"/>
      <c r="Y15" s="3429" t="s">
        <v>540</v>
      </c>
      <c r="Z15" s="1573" t="str">
        <f t="shared" si="7"/>
        <v>办公集聚程度</v>
      </c>
      <c r="AA15" s="1574">
        <f t="shared" si="3"/>
        <v>1</v>
      </c>
      <c r="AB15" s="1574">
        <f t="shared" si="4"/>
        <v>1</v>
      </c>
      <c r="AC15" s="1574">
        <f t="shared" si="5"/>
        <v>1</v>
      </c>
    </row>
    <row r="16" spans="1:29" ht="15">
      <c r="A16" s="531"/>
      <c r="B16" s="552"/>
      <c r="C16" s="575" t="s">
        <v>3087</v>
      </c>
      <c r="D16" s="554"/>
      <c r="E16" s="575" t="s">
        <v>3087</v>
      </c>
      <c r="F16" s="554"/>
      <c r="G16" s="575" t="s">
        <v>3087</v>
      </c>
      <c r="H16" s="558"/>
      <c r="I16" s="575" t="s">
        <v>3087</v>
      </c>
      <c r="J16" s="554"/>
      <c r="K16" s="898"/>
      <c r="L16" s="2139"/>
      <c r="M16" s="2131"/>
      <c r="N16" s="2131"/>
      <c r="O16" s="2131"/>
      <c r="P16" s="3430"/>
      <c r="Q16" s="1570"/>
      <c r="R16" s="1571"/>
      <c r="S16" s="1572"/>
      <c r="T16" s="1571"/>
      <c r="U16" s="1572"/>
      <c r="V16" s="1571"/>
      <c r="W16" s="1572"/>
      <c r="X16" s="1565"/>
      <c r="Y16" s="3430"/>
      <c r="Z16" s="1573"/>
      <c r="AA16" s="1574">
        <v>1</v>
      </c>
      <c r="AB16" s="1574">
        <v>1</v>
      </c>
      <c r="AC16" s="1574">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3258</v>
      </c>
      <c r="F17" s="558">
        <f>SUMIF(79:79,E18,80:80)-SUMIF(79:79,C18,80:80)+100</f>
        <v>100</v>
      </c>
      <c r="G17" s="563" t="s">
        <v>3271</v>
      </c>
      <c r="H17" s="564">
        <f>SUMIF(79:79,G18,80:80)-SUMIF(79:79,C18,80:80)+100</f>
        <v>100</v>
      </c>
      <c r="I17" s="563" t="s">
        <v>3268</v>
      </c>
      <c r="J17" s="564">
        <f>SUMIF(79:79,I18,80:80)-SUMIF(79:79,C18,80:80)+100</f>
        <v>100</v>
      </c>
      <c r="K17" s="897"/>
      <c r="L17" s="2139"/>
      <c r="M17" s="2131"/>
      <c r="N17" s="2131"/>
      <c r="O17" s="2131"/>
      <c r="P17" s="3430"/>
      <c r="Q17" s="1570" t="str">
        <f>B17</f>
        <v>交通便捷度</v>
      </c>
      <c r="R17" s="1571" t="s">
        <v>8</v>
      </c>
      <c r="S17" s="1572">
        <f>F17</f>
        <v>100</v>
      </c>
      <c r="T17" s="1571" t="s">
        <v>8</v>
      </c>
      <c r="U17" s="1572">
        <f>H17</f>
        <v>100</v>
      </c>
      <c r="V17" s="1571" t="s">
        <v>8</v>
      </c>
      <c r="W17" s="1572">
        <f>J17</f>
        <v>100</v>
      </c>
      <c r="X17" s="1565"/>
      <c r="Y17" s="3430"/>
      <c r="Z17" s="1573" t="str">
        <f>Q17</f>
        <v>交通便捷度</v>
      </c>
      <c r="AA17" s="1574">
        <f t="shared" si="3"/>
        <v>1</v>
      </c>
      <c r="AB17" s="1574">
        <f t="shared" si="4"/>
        <v>1</v>
      </c>
      <c r="AC17" s="1574">
        <f t="shared" si="5"/>
        <v>1</v>
      </c>
    </row>
    <row r="18" spans="1:29" ht="15">
      <c r="A18" s="531"/>
      <c r="B18" s="565"/>
      <c r="C18" s="566" t="s">
        <v>3087</v>
      </c>
      <c r="D18" s="558"/>
      <c r="E18" s="566" t="s">
        <v>3087</v>
      </c>
      <c r="F18" s="558"/>
      <c r="G18" s="566" t="s">
        <v>3087</v>
      </c>
      <c r="H18" s="554"/>
      <c r="I18" s="566" t="s">
        <v>3087</v>
      </c>
      <c r="J18" s="554"/>
      <c r="K18" s="898"/>
      <c r="L18" s="2139"/>
      <c r="M18" s="2131"/>
      <c r="N18" s="2131"/>
      <c r="O18" s="2131"/>
      <c r="P18" s="3430"/>
      <c r="Q18" s="1570"/>
      <c r="R18" s="1571"/>
      <c r="S18" s="1572"/>
      <c r="T18" s="1571"/>
      <c r="U18" s="1572"/>
      <c r="V18" s="1571"/>
      <c r="W18" s="1572"/>
      <c r="X18" s="1565"/>
      <c r="Y18" s="3430"/>
      <c r="Z18" s="1573"/>
      <c r="AA18" s="1574">
        <v>1</v>
      </c>
      <c r="AB18" s="1574">
        <v>1</v>
      </c>
      <c r="AC18" s="1574">
        <v>1</v>
      </c>
    </row>
    <row r="19" spans="1:29" ht="199.5">
      <c r="A19" s="531"/>
      <c r="B19" s="2624" t="s">
        <v>2547</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3259</v>
      </c>
      <c r="F19" s="564">
        <f>SUMIF(81:81,E20,82:82)-SUMIF(81:81,C20,82:82)+100</f>
        <v>102</v>
      </c>
      <c r="G19" s="571" t="s">
        <v>3259</v>
      </c>
      <c r="H19" s="558">
        <f>SUMIF(81:81,G20,82:82)-SUMIF(81:81,C20,82:82)+100</f>
        <v>102</v>
      </c>
      <c r="I19" s="571" t="s">
        <v>3269</v>
      </c>
      <c r="J19" s="558">
        <f>SUMIF(81:81,I20,82:82)-SUMIF(81:81,C20,82:82)+100</f>
        <v>100</v>
      </c>
      <c r="K19" s="897">
        <v>2</v>
      </c>
      <c r="L19" s="2139"/>
      <c r="M19" s="2131"/>
      <c r="N19" s="2131"/>
      <c r="O19" s="2131"/>
      <c r="P19" s="3430"/>
      <c r="Q19" s="1570" t="str">
        <f>B19</f>
        <v>公共配套设施</v>
      </c>
      <c r="R19" s="1571" t="s">
        <v>8</v>
      </c>
      <c r="S19" s="1572">
        <f>F19</f>
        <v>102</v>
      </c>
      <c r="T19" s="1571" t="s">
        <v>8</v>
      </c>
      <c r="U19" s="1572">
        <f>H19</f>
        <v>102</v>
      </c>
      <c r="V19" s="1571" t="s">
        <v>8</v>
      </c>
      <c r="W19" s="1572">
        <f>J19</f>
        <v>100</v>
      </c>
      <c r="X19" s="1565"/>
      <c r="Y19" s="3430"/>
      <c r="Z19" s="1573" t="str">
        <f>Q19</f>
        <v>公共配套设施</v>
      </c>
      <c r="AA19" s="1574">
        <f t="shared" si="3"/>
        <v>0.98039215686274506</v>
      </c>
      <c r="AB19" s="1574">
        <f t="shared" si="4"/>
        <v>0.98039215686274506</v>
      </c>
      <c r="AC19" s="1574">
        <f t="shared" si="5"/>
        <v>1</v>
      </c>
    </row>
    <row r="20" spans="1:29" ht="15">
      <c r="A20" s="531"/>
      <c r="B20" s="565"/>
      <c r="C20" s="553" t="s">
        <v>3091</v>
      </c>
      <c r="D20" s="554"/>
      <c r="E20" s="557" t="s">
        <v>3087</v>
      </c>
      <c r="F20" s="554"/>
      <c r="G20" s="557" t="s">
        <v>3087</v>
      </c>
      <c r="H20" s="554"/>
      <c r="I20" s="557" t="s">
        <v>3091</v>
      </c>
      <c r="J20" s="554"/>
      <c r="K20" s="898"/>
      <c r="L20" s="2139"/>
      <c r="M20" s="2131"/>
      <c r="N20" s="2131"/>
      <c r="O20" s="2131"/>
      <c r="P20" s="3430"/>
      <c r="Q20" s="1570"/>
      <c r="R20" s="1571"/>
      <c r="S20" s="1572"/>
      <c r="T20" s="1571"/>
      <c r="U20" s="1572"/>
      <c r="V20" s="1571"/>
      <c r="W20" s="1572"/>
      <c r="X20" s="1565"/>
      <c r="Y20" s="3430"/>
      <c r="Z20" s="1573"/>
      <c r="AA20" s="1574">
        <v>1</v>
      </c>
      <c r="AB20" s="1574">
        <v>1</v>
      </c>
      <c r="AC20" s="1574">
        <v>1</v>
      </c>
    </row>
    <row r="21" spans="1:29" ht="42.75">
      <c r="A21" s="531"/>
      <c r="B21" s="2612" t="s">
        <v>2559</v>
      </c>
      <c r="C21" s="572" t="str">
        <f>估价对象房地状况!C8</f>
        <v>估价对象所在区域基础设施水平达到“七通”。</v>
      </c>
      <c r="D21" s="564">
        <v>100</v>
      </c>
      <c r="E21" s="571" t="s">
        <v>3244</v>
      </c>
      <c r="F21" s="564">
        <f>SUMIF(83:83,E22,84:84)-SUMIF(83:83,C22,84:84)+100</f>
        <v>100</v>
      </c>
      <c r="G21" s="569" t="s">
        <v>3244</v>
      </c>
      <c r="H21" s="564">
        <f>SUMIF(83:83,G22,84:84)-SUMIF(83:83,C22,84:84)+100</f>
        <v>100</v>
      </c>
      <c r="I21" s="569" t="s">
        <v>3244</v>
      </c>
      <c r="J21" s="564">
        <f>SUMIF(83:83,I22,84:84)-SUMIF(83:83,C22,84:84)+100</f>
        <v>100</v>
      </c>
      <c r="K21" s="897"/>
      <c r="L21" s="2139"/>
      <c r="M21" s="2131"/>
      <c r="N21" s="2131"/>
      <c r="O21" s="2131"/>
      <c r="P21" s="3430"/>
      <c r="Q21" s="2600" t="str">
        <f>B21</f>
        <v>基础设施水平</v>
      </c>
      <c r="R21" s="1571" t="s">
        <v>8</v>
      </c>
      <c r="S21" s="1572">
        <f>F21</f>
        <v>100</v>
      </c>
      <c r="T21" s="1571" t="s">
        <v>8</v>
      </c>
      <c r="U21" s="1572">
        <f>H21</f>
        <v>100</v>
      </c>
      <c r="V21" s="1571" t="s">
        <v>8</v>
      </c>
      <c r="W21" s="1572">
        <f>J21</f>
        <v>100</v>
      </c>
      <c r="X21" s="2602"/>
      <c r="Y21" s="3430"/>
      <c r="Z21" s="2601" t="str">
        <f>Q21</f>
        <v>基础设施水平</v>
      </c>
      <c r="AA21" s="1574">
        <f t="shared" ref="AA21" si="8">D21/F21</f>
        <v>1</v>
      </c>
      <c r="AB21" s="1574">
        <f t="shared" ref="AB21" si="9">D21/H21</f>
        <v>1</v>
      </c>
      <c r="AC21" s="1574">
        <f t="shared" ref="AC21" si="10">D21/J21</f>
        <v>1</v>
      </c>
    </row>
    <row r="22" spans="1:29" ht="15">
      <c r="A22" s="531"/>
      <c r="B22" s="577"/>
      <c r="C22" s="566" t="s">
        <v>3108</v>
      </c>
      <c r="D22" s="554"/>
      <c r="E22" s="566" t="s">
        <v>3108</v>
      </c>
      <c r="F22" s="554"/>
      <c r="G22" s="566" t="s">
        <v>3108</v>
      </c>
      <c r="H22" s="554"/>
      <c r="I22" s="566" t="s">
        <v>3108</v>
      </c>
      <c r="J22" s="554"/>
      <c r="K22" s="2623"/>
      <c r="L22" s="2139"/>
      <c r="M22" s="2131"/>
      <c r="N22" s="2131"/>
      <c r="O22" s="2131"/>
      <c r="P22" s="3430"/>
      <c r="Q22" s="2600"/>
      <c r="R22" s="1571"/>
      <c r="S22" s="1572"/>
      <c r="T22" s="1571"/>
      <c r="U22" s="1572"/>
      <c r="V22" s="1571"/>
      <c r="W22" s="1572"/>
      <c r="X22" s="2602"/>
      <c r="Y22" s="3430"/>
      <c r="Z22" s="2601"/>
      <c r="AA22" s="1574">
        <v>1</v>
      </c>
      <c r="AB22" s="1574">
        <v>1</v>
      </c>
      <c r="AC22" s="1574">
        <v>1</v>
      </c>
    </row>
    <row r="23" spans="1:29" ht="99.75">
      <c r="A23" s="531"/>
      <c r="B23" s="559" t="s">
        <v>778</v>
      </c>
      <c r="C23" s="572" t="str">
        <f>估价对象房地状况!C9</f>
        <v>区域自然环境：东埠头沟公园；人文环境：无博物馆、展览馆等人文景观；综合评价环境状况一般。</v>
      </c>
      <c r="D23" s="558">
        <v>100</v>
      </c>
      <c r="E23" s="3185" t="s">
        <v>3260</v>
      </c>
      <c r="F23" s="558">
        <f>SUMIF(85:85,E24,86:86)-SUMIF(85:85,C24,86:86)+100</f>
        <v>100</v>
      </c>
      <c r="G23" s="3185" t="s">
        <v>3260</v>
      </c>
      <c r="H23" s="558">
        <f>SUMIF(85:85,G24,86:86)-SUMIF(85:85,C24,86:86)+100</f>
        <v>100</v>
      </c>
      <c r="I23" s="3185" t="s">
        <v>3270</v>
      </c>
      <c r="J23" s="558">
        <f>SUMIF(85:85,I24,86:86)-SUMIF(85:85,C24,86:86)+100</f>
        <v>100</v>
      </c>
      <c r="K23" s="897"/>
      <c r="L23" s="2139"/>
      <c r="M23" s="2131"/>
      <c r="N23" s="2131"/>
      <c r="O23" s="2131"/>
      <c r="P23" s="3430"/>
      <c r="Q23" s="1570" t="str">
        <f>B23</f>
        <v>环境质量</v>
      </c>
      <c r="R23" s="1571" t="s">
        <v>8</v>
      </c>
      <c r="S23" s="1572">
        <f>F23</f>
        <v>100</v>
      </c>
      <c r="T23" s="1571" t="s">
        <v>8</v>
      </c>
      <c r="U23" s="1572">
        <f>H23</f>
        <v>100</v>
      </c>
      <c r="V23" s="1571" t="s">
        <v>8</v>
      </c>
      <c r="W23" s="1572">
        <f>J23</f>
        <v>100</v>
      </c>
      <c r="X23" s="1565"/>
      <c r="Y23" s="3430"/>
      <c r="Z23" s="1573" t="str">
        <f>Q23</f>
        <v>环境质量</v>
      </c>
      <c r="AA23" s="1574">
        <f t="shared" si="3"/>
        <v>1</v>
      </c>
      <c r="AB23" s="1574">
        <f t="shared" si="4"/>
        <v>1</v>
      </c>
      <c r="AC23" s="1574">
        <f t="shared" si="5"/>
        <v>1</v>
      </c>
    </row>
    <row r="24" spans="1:29" ht="15">
      <c r="A24" s="531"/>
      <c r="B24" s="577"/>
      <c r="C24" s="553" t="s">
        <v>3091</v>
      </c>
      <c r="D24" s="554"/>
      <c r="E24" s="553" t="s">
        <v>3091</v>
      </c>
      <c r="F24" s="554"/>
      <c r="G24" s="553" t="s">
        <v>3091</v>
      </c>
      <c r="H24" s="554"/>
      <c r="I24" s="553" t="s">
        <v>3091</v>
      </c>
      <c r="J24" s="554"/>
      <c r="K24" s="898"/>
      <c r="L24" s="2139"/>
      <c r="M24" s="2131"/>
      <c r="N24" s="2131"/>
      <c r="O24" s="2131"/>
      <c r="P24" s="3430"/>
      <c r="Q24" s="1570"/>
      <c r="R24" s="1571"/>
      <c r="S24" s="1572"/>
      <c r="T24" s="1571"/>
      <c r="U24" s="1572"/>
      <c r="V24" s="1571"/>
      <c r="W24" s="1572"/>
      <c r="X24" s="1565"/>
      <c r="Y24" s="3430"/>
      <c r="Z24" s="1573"/>
      <c r="AA24" s="1574">
        <v>1</v>
      </c>
      <c r="AB24" s="1574">
        <v>1</v>
      </c>
      <c r="AC24" s="1574">
        <v>1</v>
      </c>
    </row>
    <row r="25" spans="1:29" ht="27">
      <c r="A25" s="514"/>
      <c r="B25" s="3208" t="s">
        <v>548</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30"/>
      <c r="Q25" s="1570" t="str">
        <f>B25</f>
        <v>毗邻道路的类型与等级</v>
      </c>
      <c r="R25" s="1571" t="s">
        <v>8</v>
      </c>
      <c r="S25" s="1572">
        <f>F25</f>
        <v>100</v>
      </c>
      <c r="T25" s="1571" t="s">
        <v>8</v>
      </c>
      <c r="U25" s="1572">
        <f>H25</f>
        <v>100</v>
      </c>
      <c r="V25" s="1571" t="s">
        <v>8</v>
      </c>
      <c r="W25" s="1572">
        <f>J25</f>
        <v>100</v>
      </c>
      <c r="X25" s="1565"/>
      <c r="Y25" s="3430"/>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39"/>
      <c r="M26" s="2131"/>
      <c r="N26" s="2131"/>
      <c r="O26" s="2131"/>
      <c r="P26" s="3430"/>
      <c r="Q26" s="1570"/>
      <c r="R26" s="1571"/>
      <c r="S26" s="1572"/>
      <c r="T26" s="1571"/>
      <c r="U26" s="1572"/>
      <c r="V26" s="1571"/>
      <c r="W26" s="1572"/>
      <c r="X26" s="1565"/>
      <c r="Y26" s="3430"/>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0"/>
      <c r="Q27" s="1570" t="str">
        <f t="shared" ref="Q27:Q47" si="11">B27</f>
        <v>楼层</v>
      </c>
      <c r="R27" s="1571" t="s">
        <v>8</v>
      </c>
      <c r="S27" s="1572">
        <f>F27</f>
        <v>100</v>
      </c>
      <c r="T27" s="1571" t="s">
        <v>8</v>
      </c>
      <c r="U27" s="1572">
        <f>H27</f>
        <v>100</v>
      </c>
      <c r="V27" s="1571" t="s">
        <v>8</v>
      </c>
      <c r="W27" s="1572">
        <f>J27</f>
        <v>100</v>
      </c>
      <c r="X27" s="1565"/>
      <c r="Y27" s="3430"/>
      <c r="Z27" s="1573" t="str">
        <f>Q27</f>
        <v>楼层</v>
      </c>
      <c r="AA27" s="1574">
        <f t="shared" si="3"/>
        <v>1</v>
      </c>
      <c r="AB27" s="1574">
        <f t="shared" si="4"/>
        <v>1</v>
      </c>
      <c r="AC27" s="1574">
        <f t="shared" si="5"/>
        <v>1</v>
      </c>
    </row>
    <row r="28" spans="1:29" s="1219" customFormat="1" ht="15.75" thickBot="1">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30"/>
      <c r="Q28" s="1150" t="str">
        <f t="shared" si="11"/>
        <v>朝向</v>
      </c>
      <c r="R28" s="1566" t="s">
        <v>8</v>
      </c>
      <c r="S28" s="1567">
        <f>F28</f>
        <v>100</v>
      </c>
      <c r="T28" s="1566" t="s">
        <v>8</v>
      </c>
      <c r="U28" s="1567">
        <f>H28</f>
        <v>100</v>
      </c>
      <c r="V28" s="1566" t="s">
        <v>8</v>
      </c>
      <c r="W28" s="1567">
        <f>J28</f>
        <v>100</v>
      </c>
      <c r="X28" s="1568"/>
      <c r="Y28" s="3430"/>
      <c r="Z28" s="1149" t="str">
        <f>Q28</f>
        <v>朝向</v>
      </c>
      <c r="AA28" s="1574">
        <f>D28/F28</f>
        <v>1</v>
      </c>
      <c r="AB28" s="1574">
        <f>D28/H28</f>
        <v>1</v>
      </c>
      <c r="AC28" s="1574">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30"/>
      <c r="Q29" s="1570">
        <f t="shared" si="11"/>
        <v>111</v>
      </c>
      <c r="R29" s="1571" t="s">
        <v>8</v>
      </c>
      <c r="S29" s="1572">
        <f t="shared" ref="S29:S47" si="12">F29</f>
        <v>100</v>
      </c>
      <c r="T29" s="1571" t="s">
        <v>8</v>
      </c>
      <c r="U29" s="1572">
        <f t="shared" ref="U29:U47" si="13">H29</f>
        <v>100</v>
      </c>
      <c r="V29" s="1571" t="s">
        <v>8</v>
      </c>
      <c r="W29" s="1572">
        <f t="shared" ref="W29:W47" si="14">J29</f>
        <v>100</v>
      </c>
      <c r="X29" s="1565"/>
      <c r="Y29" s="3430"/>
      <c r="Z29" s="1573">
        <f t="shared" ref="Z29:Z47" si="15">Q29</f>
        <v>111</v>
      </c>
      <c r="AA29" s="1574">
        <f t="shared" si="3"/>
        <v>1</v>
      </c>
      <c r="AB29" s="1574">
        <f t="shared" si="4"/>
        <v>1</v>
      </c>
      <c r="AC29" s="1574">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30"/>
      <c r="Q30" s="1570">
        <f t="shared" si="11"/>
        <v>111</v>
      </c>
      <c r="R30" s="1571" t="s">
        <v>8</v>
      </c>
      <c r="S30" s="1572">
        <f t="shared" si="12"/>
        <v>100</v>
      </c>
      <c r="T30" s="1571" t="s">
        <v>8</v>
      </c>
      <c r="U30" s="1572">
        <f t="shared" si="13"/>
        <v>100</v>
      </c>
      <c r="V30" s="1571" t="s">
        <v>8</v>
      </c>
      <c r="W30" s="1572">
        <f t="shared" si="14"/>
        <v>100</v>
      </c>
      <c r="X30" s="1565"/>
      <c r="Y30" s="3430"/>
      <c r="Z30" s="1573">
        <f t="shared" si="15"/>
        <v>111</v>
      </c>
      <c r="AA30" s="1574">
        <f t="shared" si="3"/>
        <v>1</v>
      </c>
      <c r="AB30" s="1574">
        <f t="shared" si="4"/>
        <v>1</v>
      </c>
      <c r="AC30" s="1574">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30"/>
      <c r="Q31" s="1570">
        <f t="shared" si="11"/>
        <v>111</v>
      </c>
      <c r="R31" s="1571" t="s">
        <v>8</v>
      </c>
      <c r="S31" s="1572">
        <f t="shared" si="12"/>
        <v>100</v>
      </c>
      <c r="T31" s="1571" t="s">
        <v>8</v>
      </c>
      <c r="U31" s="1572">
        <f t="shared" si="13"/>
        <v>100</v>
      </c>
      <c r="V31" s="1571" t="s">
        <v>8</v>
      </c>
      <c r="W31" s="1572">
        <f t="shared" si="14"/>
        <v>100</v>
      </c>
      <c r="X31" s="1565"/>
      <c r="Y31" s="3430"/>
      <c r="Z31" s="1573">
        <f t="shared" si="15"/>
        <v>111</v>
      </c>
      <c r="AA31" s="1574">
        <f t="shared" si="3"/>
        <v>1</v>
      </c>
      <c r="AB31" s="1574">
        <f t="shared" si="4"/>
        <v>1</v>
      </c>
      <c r="AC31" s="1574">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30"/>
      <c r="Q32" s="1570">
        <f t="shared" si="11"/>
        <v>111</v>
      </c>
      <c r="R32" s="1571" t="s">
        <v>8</v>
      </c>
      <c r="S32" s="1572">
        <f t="shared" si="12"/>
        <v>100</v>
      </c>
      <c r="T32" s="1571" t="s">
        <v>8</v>
      </c>
      <c r="U32" s="1572">
        <f t="shared" si="13"/>
        <v>100</v>
      </c>
      <c r="V32" s="1571" t="s">
        <v>8</v>
      </c>
      <c r="W32" s="1572">
        <f t="shared" si="14"/>
        <v>100</v>
      </c>
      <c r="X32" s="1565"/>
      <c r="Y32" s="3430"/>
      <c r="Z32" s="1573">
        <f t="shared" si="15"/>
        <v>111</v>
      </c>
      <c r="AA32" s="1574">
        <f t="shared" si="3"/>
        <v>1</v>
      </c>
      <c r="AB32" s="1574">
        <f t="shared" si="4"/>
        <v>1</v>
      </c>
      <c r="AC32" s="1574">
        <f t="shared" si="5"/>
        <v>1</v>
      </c>
    </row>
    <row r="33" spans="1:29" ht="15">
      <c r="A33" s="2928" t="s">
        <v>2755</v>
      </c>
      <c r="B33" s="3216"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31" t="s">
        <v>550</v>
      </c>
      <c r="Q33" s="1570" t="str">
        <f t="shared" si="11"/>
        <v>建筑类型</v>
      </c>
      <c r="R33" s="1571" t="s">
        <v>8</v>
      </c>
      <c r="S33" s="1572">
        <f t="shared" si="12"/>
        <v>100</v>
      </c>
      <c r="T33" s="1571" t="s">
        <v>8</v>
      </c>
      <c r="U33" s="1572">
        <f t="shared" si="13"/>
        <v>100</v>
      </c>
      <c r="V33" s="1571" t="s">
        <v>8</v>
      </c>
      <c r="W33" s="1572">
        <f t="shared" si="14"/>
        <v>100</v>
      </c>
      <c r="X33" s="1565"/>
      <c r="Y33" s="3432" t="s">
        <v>550</v>
      </c>
      <c r="Z33" s="1573" t="str">
        <f t="shared" si="15"/>
        <v>建筑类型</v>
      </c>
      <c r="AA33" s="1574">
        <f t="shared" si="3"/>
        <v>1</v>
      </c>
      <c r="AB33" s="1574">
        <f t="shared" si="4"/>
        <v>1</v>
      </c>
      <c r="AC33" s="1574">
        <f t="shared" si="5"/>
        <v>1</v>
      </c>
    </row>
    <row r="34" spans="1:29" s="1338" customFormat="1" ht="15">
      <c r="A34" s="602"/>
      <c r="B34" s="3217" t="s">
        <v>726</v>
      </c>
      <c r="C34" s="879">
        <f>'数据-汇总表'!F19/12</f>
        <v>3884.25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7"/>
      <c r="M34" s="2168"/>
      <c r="N34" s="2168"/>
      <c r="O34" s="2168"/>
      <c r="P34" s="3432"/>
      <c r="Q34" s="1603" t="str">
        <f t="shared" si="11"/>
        <v>项目建筑规模</v>
      </c>
      <c r="R34" s="1575" t="s">
        <v>8</v>
      </c>
      <c r="S34" s="1576">
        <f t="shared" si="12"/>
        <v>102</v>
      </c>
      <c r="T34" s="1575" t="s">
        <v>8</v>
      </c>
      <c r="U34" s="1576">
        <f t="shared" si="13"/>
        <v>102</v>
      </c>
      <c r="V34" s="1575" t="s">
        <v>8</v>
      </c>
      <c r="W34" s="1576">
        <f t="shared" si="14"/>
        <v>101</v>
      </c>
      <c r="X34" s="1577"/>
      <c r="Y34" s="3432"/>
      <c r="Z34" s="1578" t="str">
        <f t="shared" si="15"/>
        <v>项目建筑规模</v>
      </c>
      <c r="AA34" s="1574">
        <f t="shared" si="3"/>
        <v>0.98039215686274506</v>
      </c>
      <c r="AB34" s="1574">
        <f t="shared" si="4"/>
        <v>0.98039215686274506</v>
      </c>
      <c r="AC34" s="1574">
        <f t="shared" si="5"/>
        <v>0.99009900990099009</v>
      </c>
    </row>
    <row r="35" spans="1:29" ht="15">
      <c r="A35" s="593"/>
      <c r="B35" s="3217"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2"/>
      <c r="Q35" s="1570" t="str">
        <f t="shared" si="11"/>
        <v>建筑结构</v>
      </c>
      <c r="R35" s="1571" t="s">
        <v>8</v>
      </c>
      <c r="S35" s="1572">
        <f t="shared" si="12"/>
        <v>100</v>
      </c>
      <c r="T35" s="1571" t="s">
        <v>8</v>
      </c>
      <c r="U35" s="1572">
        <f t="shared" si="13"/>
        <v>100</v>
      </c>
      <c r="V35" s="1571" t="s">
        <v>8</v>
      </c>
      <c r="W35" s="1572">
        <f t="shared" si="14"/>
        <v>100</v>
      </c>
      <c r="X35" s="1565"/>
      <c r="Y35" s="3432"/>
      <c r="Z35" s="1573" t="str">
        <f t="shared" si="15"/>
        <v>建筑结构</v>
      </c>
      <c r="AA35" s="1574">
        <f t="shared" si="3"/>
        <v>1</v>
      </c>
      <c r="AB35" s="1574">
        <f t="shared" si="4"/>
        <v>1</v>
      </c>
      <c r="AC35" s="1574">
        <f t="shared" si="5"/>
        <v>1</v>
      </c>
    </row>
    <row r="36" spans="1:29" ht="15">
      <c r="A36" s="593"/>
      <c r="B36" s="3217" t="s">
        <v>763</v>
      </c>
      <c r="C36" s="573" t="s">
        <v>3261</v>
      </c>
      <c r="D36" s="539">
        <v>100</v>
      </c>
      <c r="E36" s="573" t="s">
        <v>3261</v>
      </c>
      <c r="F36" s="574">
        <f>SUMIF(108:108,E36,109:109)-SUMIF(108:108,C36,109:109)+100</f>
        <v>100</v>
      </c>
      <c r="G36" s="573" t="s">
        <v>3261</v>
      </c>
      <c r="H36" s="539">
        <f>SUMIF(108:108,G36,109:109)-SUMIF(108:108,C36,109:109)+100</f>
        <v>100</v>
      </c>
      <c r="I36" s="573" t="s">
        <v>3261</v>
      </c>
      <c r="J36" s="539">
        <f>SUMIF(108:108,I36,109:109)-SUMIF(108:108,C36,109:109)+100</f>
        <v>100</v>
      </c>
      <c r="K36" s="583"/>
      <c r="L36" s="2139"/>
      <c r="M36" s="2131"/>
      <c r="N36" s="2131"/>
      <c r="O36" s="2131"/>
      <c r="P36" s="3432"/>
      <c r="Q36" s="1570" t="str">
        <f t="shared" si="11"/>
        <v>公共部分装修</v>
      </c>
      <c r="R36" s="1571" t="s">
        <v>8</v>
      </c>
      <c r="S36" s="1572">
        <f t="shared" si="12"/>
        <v>100</v>
      </c>
      <c r="T36" s="1571" t="s">
        <v>8</v>
      </c>
      <c r="U36" s="1572">
        <f t="shared" si="13"/>
        <v>100</v>
      </c>
      <c r="V36" s="1571" t="s">
        <v>8</v>
      </c>
      <c r="W36" s="1572">
        <f t="shared" si="14"/>
        <v>100</v>
      </c>
      <c r="X36" s="1565"/>
      <c r="Y36" s="3432"/>
      <c r="Z36" s="1573" t="str">
        <f t="shared" si="15"/>
        <v>公共部分装修</v>
      </c>
      <c r="AA36" s="1574">
        <f t="shared" si="3"/>
        <v>1</v>
      </c>
      <c r="AB36" s="1574">
        <f t="shared" si="4"/>
        <v>1</v>
      </c>
      <c r="AC36" s="1574">
        <f t="shared" si="5"/>
        <v>1</v>
      </c>
    </row>
    <row r="37" spans="1:29" ht="15">
      <c r="A37" s="593"/>
      <c r="B37" s="3217"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9"/>
      <c r="M37" s="2131"/>
      <c r="N37" s="2131"/>
      <c r="O37" s="2131"/>
      <c r="P37" s="3432"/>
      <c r="Q37" s="1570" t="str">
        <f t="shared" si="11"/>
        <v>成新度</v>
      </c>
      <c r="R37" s="1571" t="s">
        <v>8</v>
      </c>
      <c r="S37" s="1572">
        <f t="shared" si="12"/>
        <v>100</v>
      </c>
      <c r="T37" s="1571" t="s">
        <v>8</v>
      </c>
      <c r="U37" s="1572">
        <f t="shared" si="13"/>
        <v>100</v>
      </c>
      <c r="V37" s="1571" t="s">
        <v>8</v>
      </c>
      <c r="W37" s="1572">
        <f t="shared" si="14"/>
        <v>100</v>
      </c>
      <c r="X37" s="1565"/>
      <c r="Y37" s="3432"/>
      <c r="Z37" s="1573" t="str">
        <f t="shared" si="15"/>
        <v>成新度</v>
      </c>
      <c r="AA37" s="1574">
        <f t="shared" si="3"/>
        <v>1</v>
      </c>
      <c r="AB37" s="1574">
        <f t="shared" si="4"/>
        <v>1</v>
      </c>
      <c r="AC37" s="1574">
        <f t="shared" si="5"/>
        <v>1</v>
      </c>
    </row>
    <row r="38" spans="1:29" s="1219" customFormat="1" ht="15">
      <c r="A38" s="599"/>
      <c r="B38" s="3217"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2"/>
      <c r="Q38" s="1150" t="str">
        <f t="shared" si="11"/>
        <v>写字楼等级</v>
      </c>
      <c r="R38" s="1566" t="s">
        <v>8</v>
      </c>
      <c r="S38" s="1567">
        <f t="shared" si="12"/>
        <v>100</v>
      </c>
      <c r="T38" s="1566" t="s">
        <v>8</v>
      </c>
      <c r="U38" s="1567">
        <f t="shared" si="13"/>
        <v>100</v>
      </c>
      <c r="V38" s="1566" t="s">
        <v>8</v>
      </c>
      <c r="W38" s="1567">
        <f t="shared" si="14"/>
        <v>100</v>
      </c>
      <c r="X38" s="1568"/>
      <c r="Y38" s="3432"/>
      <c r="Z38" s="1149" t="str">
        <f t="shared" si="15"/>
        <v>写字楼等级</v>
      </c>
      <c r="AA38" s="1569">
        <f t="shared" si="3"/>
        <v>1</v>
      </c>
      <c r="AB38" s="1569">
        <f t="shared" si="4"/>
        <v>1</v>
      </c>
      <c r="AC38" s="1569">
        <f t="shared" si="5"/>
        <v>1</v>
      </c>
    </row>
    <row r="39" spans="1:29" ht="15">
      <c r="A39" s="593"/>
      <c r="B39" s="3217"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2" t="s">
        <v>550</v>
      </c>
      <c r="Q39" s="1570" t="str">
        <f t="shared" si="11"/>
        <v>物业管理</v>
      </c>
      <c r="R39" s="1571" t="s">
        <v>8</v>
      </c>
      <c r="S39" s="1572">
        <f t="shared" si="12"/>
        <v>100</v>
      </c>
      <c r="T39" s="1571" t="s">
        <v>8</v>
      </c>
      <c r="U39" s="1572">
        <f t="shared" si="13"/>
        <v>100</v>
      </c>
      <c r="V39" s="1571" t="s">
        <v>8</v>
      </c>
      <c r="W39" s="1572">
        <f t="shared" si="14"/>
        <v>100</v>
      </c>
      <c r="X39" s="1565"/>
      <c r="Y39" s="3432" t="s">
        <v>550</v>
      </c>
      <c r="Z39" s="1573" t="str">
        <f t="shared" si="15"/>
        <v>物业管理</v>
      </c>
      <c r="AA39" s="1574">
        <f t="shared" si="3"/>
        <v>1</v>
      </c>
      <c r="AB39" s="1574">
        <f t="shared" si="4"/>
        <v>1</v>
      </c>
      <c r="AC39" s="1574">
        <f t="shared" si="5"/>
        <v>1</v>
      </c>
    </row>
    <row r="40" spans="1:29" ht="15">
      <c r="A40" s="593"/>
      <c r="B40" s="3218"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2"/>
      <c r="Q40" s="1570" t="str">
        <f t="shared" si="11"/>
        <v>市政基础设施</v>
      </c>
      <c r="R40" s="1571" t="s">
        <v>8</v>
      </c>
      <c r="S40" s="1572">
        <f t="shared" si="12"/>
        <v>100</v>
      </c>
      <c r="T40" s="1571" t="s">
        <v>8</v>
      </c>
      <c r="U40" s="1572">
        <f t="shared" si="13"/>
        <v>100</v>
      </c>
      <c r="V40" s="1571" t="s">
        <v>8</v>
      </c>
      <c r="W40" s="1572">
        <f t="shared" si="14"/>
        <v>100</v>
      </c>
      <c r="X40" s="1565"/>
      <c r="Y40" s="3432"/>
      <c r="Z40" s="1573" t="str">
        <f t="shared" si="15"/>
        <v>市政基础设施</v>
      </c>
      <c r="AA40" s="1574">
        <f t="shared" si="3"/>
        <v>1</v>
      </c>
      <c r="AB40" s="1574">
        <f t="shared" si="4"/>
        <v>1</v>
      </c>
      <c r="AC40" s="1574">
        <f t="shared" si="5"/>
        <v>1</v>
      </c>
    </row>
    <row r="41" spans="1:29" ht="15">
      <c r="A41" s="593"/>
      <c r="B41" s="3217"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2"/>
      <c r="Q41" s="1570" t="str">
        <f t="shared" si="11"/>
        <v>层高</v>
      </c>
      <c r="R41" s="1571" t="s">
        <v>8</v>
      </c>
      <c r="S41" s="1572">
        <f t="shared" si="12"/>
        <v>100</v>
      </c>
      <c r="T41" s="1571" t="s">
        <v>8</v>
      </c>
      <c r="U41" s="1572">
        <f t="shared" si="13"/>
        <v>100</v>
      </c>
      <c r="V41" s="1571" t="s">
        <v>8</v>
      </c>
      <c r="W41" s="1572">
        <f t="shared" si="14"/>
        <v>100</v>
      </c>
      <c r="X41" s="1565"/>
      <c r="Y41" s="3432"/>
      <c r="Z41" s="1573" t="str">
        <f t="shared" si="15"/>
        <v>层高</v>
      </c>
      <c r="AA41" s="1574">
        <f t="shared" si="3"/>
        <v>1</v>
      </c>
      <c r="AB41" s="1574">
        <f t="shared" si="4"/>
        <v>1</v>
      </c>
      <c r="AC41" s="1574">
        <f t="shared" si="5"/>
        <v>1</v>
      </c>
    </row>
    <row r="42" spans="1:29" s="1338" customFormat="1" ht="15">
      <c r="A42" s="602"/>
      <c r="B42" s="3219"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2"/>
      <c r="Q42" s="1603" t="str">
        <f t="shared" si="11"/>
        <v>单套建筑面积</v>
      </c>
      <c r="R42" s="1575" t="s">
        <v>8</v>
      </c>
      <c r="S42" s="1576">
        <f t="shared" si="12"/>
        <v>100</v>
      </c>
      <c r="T42" s="1575" t="s">
        <v>8</v>
      </c>
      <c r="U42" s="1576">
        <f t="shared" si="13"/>
        <v>100</v>
      </c>
      <c r="V42" s="1575" t="s">
        <v>8</v>
      </c>
      <c r="W42" s="1576">
        <f t="shared" si="14"/>
        <v>100</v>
      </c>
      <c r="X42" s="1577"/>
      <c r="Y42" s="3432"/>
      <c r="Z42" s="1578" t="str">
        <f t="shared" si="15"/>
        <v>单套建筑面积</v>
      </c>
      <c r="AA42" s="1574">
        <f t="shared" si="3"/>
        <v>1</v>
      </c>
      <c r="AB42" s="1574">
        <f t="shared" si="4"/>
        <v>1</v>
      </c>
      <c r="AC42" s="1574">
        <f t="shared" si="5"/>
        <v>1</v>
      </c>
    </row>
    <row r="43" spans="1:29" ht="15">
      <c r="A43" s="593"/>
      <c r="B43" s="3217"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2"/>
      <c r="Q43" s="1570" t="str">
        <f t="shared" si="11"/>
        <v>内部装修</v>
      </c>
      <c r="R43" s="1571" t="s">
        <v>8</v>
      </c>
      <c r="S43" s="1572">
        <f t="shared" si="12"/>
        <v>100</v>
      </c>
      <c r="T43" s="1571" t="s">
        <v>8</v>
      </c>
      <c r="U43" s="1572">
        <f t="shared" si="13"/>
        <v>100</v>
      </c>
      <c r="V43" s="1571" t="s">
        <v>8</v>
      </c>
      <c r="W43" s="1572">
        <f t="shared" si="14"/>
        <v>100</v>
      </c>
      <c r="X43" s="1565"/>
      <c r="Y43" s="3432"/>
      <c r="Z43" s="1573" t="str">
        <f t="shared" si="15"/>
        <v>内部装修</v>
      </c>
      <c r="AA43" s="1574">
        <f t="shared" si="3"/>
        <v>1</v>
      </c>
      <c r="AB43" s="1574">
        <f t="shared" si="4"/>
        <v>1</v>
      </c>
      <c r="AC43" s="1574">
        <f t="shared" si="5"/>
        <v>1</v>
      </c>
    </row>
    <row r="44" spans="1:29" ht="27.75" thickBot="1">
      <c r="A44" s="593"/>
      <c r="B44" s="3217"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2"/>
      <c r="Q44" s="1570" t="str">
        <f t="shared" si="11"/>
        <v>内部装修维护情况</v>
      </c>
      <c r="R44" s="1571" t="s">
        <v>8</v>
      </c>
      <c r="S44" s="1572">
        <f t="shared" si="12"/>
        <v>100</v>
      </c>
      <c r="T44" s="1571" t="s">
        <v>8</v>
      </c>
      <c r="U44" s="1572">
        <f t="shared" si="13"/>
        <v>100</v>
      </c>
      <c r="V44" s="1571" t="s">
        <v>8</v>
      </c>
      <c r="W44" s="1572">
        <f t="shared" si="14"/>
        <v>100</v>
      </c>
      <c r="X44" s="1565"/>
      <c r="Y44" s="3432"/>
      <c r="Z44" s="1573" t="str">
        <f t="shared" si="15"/>
        <v>内部装修维护情况</v>
      </c>
      <c r="AA44" s="1574">
        <f t="shared" si="3"/>
        <v>1</v>
      </c>
      <c r="AB44" s="1574">
        <f t="shared" si="4"/>
        <v>1</v>
      </c>
      <c r="AC44" s="1574">
        <f t="shared" si="5"/>
        <v>1</v>
      </c>
    </row>
    <row r="45" spans="1:29" s="1219"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2"/>
      <c r="Q45" s="1150">
        <f t="shared" si="11"/>
        <v>111</v>
      </c>
      <c r="R45" s="1566" t="s">
        <v>8</v>
      </c>
      <c r="S45" s="1567">
        <f t="shared" si="12"/>
        <v>100</v>
      </c>
      <c r="T45" s="1566" t="s">
        <v>8</v>
      </c>
      <c r="U45" s="1567">
        <f t="shared" si="13"/>
        <v>100</v>
      </c>
      <c r="V45" s="1566" t="s">
        <v>8</v>
      </c>
      <c r="W45" s="1567">
        <f t="shared" si="14"/>
        <v>100</v>
      </c>
      <c r="X45" s="1568"/>
      <c r="Y45" s="3432"/>
      <c r="Z45" s="1149">
        <f t="shared" si="15"/>
        <v>111</v>
      </c>
      <c r="AA45" s="1569">
        <f t="shared" si="3"/>
        <v>1</v>
      </c>
      <c r="AB45" s="1569">
        <f t="shared" si="4"/>
        <v>1</v>
      </c>
      <c r="AC45" s="1569">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2"/>
      <c r="Q46" s="1570">
        <f t="shared" si="11"/>
        <v>111</v>
      </c>
      <c r="R46" s="1571" t="s">
        <v>8</v>
      </c>
      <c r="S46" s="1572">
        <f t="shared" si="12"/>
        <v>100</v>
      </c>
      <c r="T46" s="1571" t="s">
        <v>8</v>
      </c>
      <c r="U46" s="1572">
        <f t="shared" si="13"/>
        <v>100</v>
      </c>
      <c r="V46" s="1571" t="s">
        <v>8</v>
      </c>
      <c r="W46" s="1572">
        <f t="shared" si="14"/>
        <v>100</v>
      </c>
      <c r="X46" s="1565"/>
      <c r="Y46" s="3432"/>
      <c r="Z46" s="1573">
        <f t="shared" si="15"/>
        <v>111</v>
      </c>
      <c r="AA46" s="1574">
        <f t="shared" si="3"/>
        <v>1</v>
      </c>
      <c r="AB46" s="1574">
        <f t="shared" si="4"/>
        <v>1</v>
      </c>
      <c r="AC46" s="1574">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71"/>
      <c r="Q47" s="1570">
        <f t="shared" si="11"/>
        <v>111</v>
      </c>
      <c r="R47" s="1571" t="s">
        <v>8</v>
      </c>
      <c r="S47" s="1572">
        <f t="shared" si="12"/>
        <v>100</v>
      </c>
      <c r="T47" s="1571" t="s">
        <v>8</v>
      </c>
      <c r="U47" s="1572">
        <f t="shared" si="13"/>
        <v>100</v>
      </c>
      <c r="V47" s="1571" t="s">
        <v>8</v>
      </c>
      <c r="W47" s="1572">
        <f t="shared" si="14"/>
        <v>100</v>
      </c>
      <c r="X47" s="1565"/>
      <c r="Y47" s="3471"/>
      <c r="Z47" s="1573">
        <f t="shared" si="15"/>
        <v>111</v>
      </c>
      <c r="AA47" s="1574">
        <f t="shared" si="3"/>
        <v>1</v>
      </c>
      <c r="AB47" s="1574">
        <f t="shared" si="4"/>
        <v>1</v>
      </c>
      <c r="AC47" s="1574">
        <f t="shared" si="5"/>
        <v>1</v>
      </c>
    </row>
    <row r="48" spans="1:29" ht="15">
      <c r="A48" s="606" t="s">
        <v>736</v>
      </c>
      <c r="B48" s="886"/>
      <c r="C48" s="2648" t="s">
        <v>1</v>
      </c>
      <c r="D48" s="2649"/>
      <c r="E48" s="3220">
        <v>46000</v>
      </c>
      <c r="F48" s="2651"/>
      <c r="G48" s="3221">
        <v>40936</v>
      </c>
      <c r="H48" s="2653"/>
      <c r="I48" s="3220">
        <v>40000</v>
      </c>
      <c r="J48" s="2653"/>
      <c r="K48" s="1609"/>
      <c r="L48" s="2141"/>
      <c r="M48" s="2131"/>
      <c r="N48" s="2131"/>
      <c r="O48" s="2131"/>
      <c r="P48" s="3392" t="str">
        <f>A48</f>
        <v>成交单价（元/平方米）</v>
      </c>
      <c r="Q48" s="3394"/>
      <c r="R48" s="3468">
        <f>E48</f>
        <v>46000</v>
      </c>
      <c r="S48" s="3468"/>
      <c r="T48" s="3468">
        <f>G48</f>
        <v>40936</v>
      </c>
      <c r="U48" s="3468"/>
      <c r="V48" s="3468">
        <f>I48</f>
        <v>40000</v>
      </c>
      <c r="W48" s="3468"/>
      <c r="X48" s="1557"/>
      <c r="Y48" s="1579"/>
      <c r="Z48" s="1557"/>
      <c r="AA48" s="1557"/>
      <c r="AB48" s="1557"/>
      <c r="AC48" s="1557"/>
    </row>
    <row r="49" spans="1:29" ht="15.75" thickBot="1">
      <c r="A49" s="614" t="s">
        <v>2760</v>
      </c>
      <c r="B49" s="887"/>
      <c r="C49" s="2654">
        <f>R50</f>
        <v>41055</v>
      </c>
      <c r="D49" s="2655"/>
      <c r="E49" s="2656">
        <f>R49</f>
        <v>44214</v>
      </c>
      <c r="F49" s="2656"/>
      <c r="G49" s="2654">
        <f>T49</f>
        <v>39346</v>
      </c>
      <c r="H49" s="2655"/>
      <c r="I49" s="2656">
        <f>V49</f>
        <v>39604</v>
      </c>
      <c r="J49" s="2655"/>
      <c r="K49" s="1610"/>
      <c r="L49" s="2141"/>
      <c r="M49" s="2131"/>
      <c r="N49" s="2131"/>
      <c r="O49" s="2131"/>
      <c r="P49" s="3392" t="str">
        <f>A49</f>
        <v>比较价格（元/平方米）</v>
      </c>
      <c r="Q49" s="3394"/>
      <c r="R49" s="3468">
        <f>IF(F1="售价",ROUND(PRODUCT(R48,AA7:AA47),0),ROUND(PRODUCT(R48,AA7:AA47),1))</f>
        <v>44214</v>
      </c>
      <c r="S49" s="3468"/>
      <c r="T49" s="3468">
        <f>IF(F1="售价",ROUND(PRODUCT(T48,AB7:AB47),0),ROUND(PRODUCT(T48,AB7:AB47),1))</f>
        <v>39346</v>
      </c>
      <c r="U49" s="3468"/>
      <c r="V49" s="3468">
        <f>IF(F1="售价",ROUND(PRODUCT(V48,AC7:AC47),0),ROUND(PRODUCT(V48,AC7:AC47),1))</f>
        <v>39604</v>
      </c>
      <c r="W49" s="3468"/>
      <c r="X49" s="1557"/>
      <c r="Y49" s="1557"/>
      <c r="Z49" s="1557"/>
      <c r="AA49" s="1557"/>
      <c r="AB49" s="1557"/>
      <c r="AC49" s="1557"/>
    </row>
    <row r="50" spans="1:29" ht="15.75" thickBot="1">
      <c r="A50" s="620" t="s">
        <v>2929</v>
      </c>
      <c r="B50" s="621"/>
      <c r="C50" s="2657">
        <f>R50</f>
        <v>41055</v>
      </c>
      <c r="D50" s="2657"/>
      <c r="E50" s="2657"/>
      <c r="F50" s="2657"/>
      <c r="G50" s="2657"/>
      <c r="H50" s="2657"/>
      <c r="I50" s="2657"/>
      <c r="J50" s="2657"/>
      <c r="K50" s="1611"/>
      <c r="L50" s="2141"/>
      <c r="M50" s="2131"/>
      <c r="N50" s="2131"/>
      <c r="O50" s="2131"/>
      <c r="P50" s="3469" t="str">
        <f>A50</f>
        <v>估价对象XX用房的比较价格（楼面单价，元/平方米）</v>
      </c>
      <c r="Q50" s="3392"/>
      <c r="R50" s="3470">
        <f>IF(F1="售价",ROUND(AVERAGE(R49:V49),0),ROUND(AVERAGE(R49:V49),1))</f>
        <v>41055</v>
      </c>
      <c r="S50" s="3470"/>
      <c r="T50" s="3470"/>
      <c r="U50" s="3470"/>
      <c r="V50" s="3470"/>
      <c r="W50" s="3470"/>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557</v>
      </c>
      <c r="D53" s="624"/>
      <c r="E53" s="625">
        <f>IF(E48&lt;E49,E49/E48-1,E48/E49-1)</f>
        <v>4.0394445198353557E-2</v>
      </c>
      <c r="F53" s="626" t="str">
        <f>IF(OR(E53&gt;=0.3,E53&lt;=-0.3),"超过30%","")</f>
        <v/>
      </c>
      <c r="G53" s="625">
        <f>IF(G48&lt;G49,G49/G48-1,G48/G49-1)</f>
        <v>4.0410715193412328E-2</v>
      </c>
      <c r="H53" s="626" t="str">
        <f>IF(OR(G53&gt;=0.3,G53&lt;=-0.3),"超过30%","")</f>
        <v/>
      </c>
      <c r="I53" s="625">
        <f>IF(I48&lt;I49,I49/I48-1,I48/I49-1)</f>
        <v>9.9989900010100108E-3</v>
      </c>
      <c r="J53" s="626" t="str">
        <f>IF(OR(I53&gt;=0.3,I53&lt;=-0.3),"超过30%","")</f>
        <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558</v>
      </c>
      <c r="D54" s="627"/>
      <c r="E54" s="625">
        <f>IF(E49&lt;G49,G49/E49-1,E49/G49-1)</f>
        <v>0.12372286890662321</v>
      </c>
      <c r="F54" s="626" t="str">
        <f>IF(OR(E54&gt;=0.2,E54&lt;=-0.2),"超过20%","")</f>
        <v/>
      </c>
      <c r="G54" s="625">
        <f>IF(G49&lt;I49,I49/G49-1,G49/I49-1)</f>
        <v>6.5572103898745571E-3</v>
      </c>
      <c r="H54" s="626" t="str">
        <f>IF(OR(G54&gt;=0.2,G54&lt;=-0.2),"超过20%","")</f>
        <v/>
      </c>
      <c r="I54" s="625">
        <f>IF(I49&lt;E49,E49/I49-1,I49/E49-1)</f>
        <v>0.11640238359761645</v>
      </c>
      <c r="J54" s="626" t="str">
        <f>IF(OR(I54&gt;=0.2,I54&lt;=-0.2),"超过20%","")</f>
        <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559</v>
      </c>
      <c r="D55" s="627"/>
      <c r="E55" s="625">
        <f>IF(E48&lt;G48,G48/E48-1,E48/G48-1)</f>
        <v>0.12370529607191716</v>
      </c>
      <c r="F55" s="626" t="str">
        <f>IF(OR(E55&gt;=0.3,E55&lt;=-0.3),"超过30%","")</f>
        <v/>
      </c>
      <c r="G55" s="625">
        <f>IF(G48&lt;I48,I48/G48-1,G48/I48-1)</f>
        <v>2.3400000000000087E-2</v>
      </c>
      <c r="H55" s="626" t="str">
        <f>IF(OR(G55&gt;=0.3,G55&lt;=-0.3),"超过30%","")</f>
        <v/>
      </c>
      <c r="I55" s="625">
        <f>IF(I48&lt;E48,E48/I48-1,I48/E48-1)</f>
        <v>0.14999999999999991</v>
      </c>
      <c r="J55" s="626" t="str">
        <f>IF(OR(I55&gt;=0.3,I55&lt;=-0.3),"超过30%","")</f>
        <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6" customFormat="1" ht="15">
      <c r="A59" s="644" t="s">
        <v>529</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575</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531</v>
      </c>
      <c r="B62" s="647"/>
      <c r="C62" s="659" t="s">
        <v>576</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577</v>
      </c>
      <c r="B64" s="664" t="s">
        <v>534</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v>0</v>
      </c>
      <c r="D69" s="540">
        <v>1</v>
      </c>
      <c r="E69" s="540">
        <v>2</v>
      </c>
      <c r="F69" s="540">
        <v>3</v>
      </c>
      <c r="G69" s="540">
        <v>4</v>
      </c>
      <c r="H69" s="540">
        <v>5</v>
      </c>
      <c r="I69" s="540">
        <v>6</v>
      </c>
      <c r="J69" s="540">
        <v>7</v>
      </c>
      <c r="K69" s="683">
        <v>8</v>
      </c>
      <c r="L69" s="684">
        <v>9</v>
      </c>
      <c r="M69" s="685">
        <v>10</v>
      </c>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539</v>
      </c>
      <c r="B77" s="664" t="s">
        <v>585</v>
      </c>
      <c r="C77" s="702" t="s">
        <v>579</v>
      </c>
      <c r="D77" s="702" t="s">
        <v>580</v>
      </c>
      <c r="E77" s="702" t="s">
        <v>581</v>
      </c>
      <c r="F77" s="702" t="s">
        <v>582</v>
      </c>
      <c r="G77" s="702" t="s">
        <v>583</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586</v>
      </c>
      <c r="C79" s="707" t="s">
        <v>579</v>
      </c>
      <c r="D79" s="707" t="s">
        <v>580</v>
      </c>
      <c r="E79" s="707" t="s">
        <v>581</v>
      </c>
      <c r="F79" s="707" t="s">
        <v>582</v>
      </c>
      <c r="G79" s="707" t="s">
        <v>583</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2558</v>
      </c>
      <c r="C81" s="707" t="s">
        <v>579</v>
      </c>
      <c r="D81" s="707" t="s">
        <v>580</v>
      </c>
      <c r="E81" s="707" t="s">
        <v>581</v>
      </c>
      <c r="F81" s="707" t="s">
        <v>582</v>
      </c>
      <c r="G81" s="707" t="s">
        <v>583</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98</v>
      </c>
      <c r="E82" s="678">
        <f>D82-$K19</f>
        <v>96</v>
      </c>
      <c r="F82" s="678">
        <f>E82-$K19</f>
        <v>94</v>
      </c>
      <c r="G82" s="678">
        <f>F82-$K19</f>
        <v>92</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2559</v>
      </c>
      <c r="C83" s="2619" t="s">
        <v>2560</v>
      </c>
      <c r="D83" s="2619" t="s">
        <v>2561</v>
      </c>
      <c r="E83" s="2619" t="s">
        <v>2562</v>
      </c>
      <c r="F83" s="2619" t="s">
        <v>2563</v>
      </c>
      <c r="G83" s="2619" t="s">
        <v>2564</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784</v>
      </c>
      <c r="C85" s="707" t="s">
        <v>579</v>
      </c>
      <c r="D85" s="707" t="s">
        <v>580</v>
      </c>
      <c r="E85" s="707" t="s">
        <v>581</v>
      </c>
      <c r="F85" s="707" t="s">
        <v>582</v>
      </c>
      <c r="G85" s="707" t="s">
        <v>583</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785</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551</v>
      </c>
      <c r="B101" s="664" t="s">
        <v>747</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29.25" thickTop="1">
      <c r="A103" s="668"/>
      <c r="B103" s="672" t="s">
        <v>748</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v>0</v>
      </c>
      <c r="D104" s="729">
        <v>1500</v>
      </c>
      <c r="E104" s="729">
        <v>3000</v>
      </c>
      <c r="F104" s="729">
        <v>4500</v>
      </c>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v>100</v>
      </c>
      <c r="D105" s="670">
        <v>99</v>
      </c>
      <c r="E105" s="670">
        <v>98</v>
      </c>
      <c r="F105" s="670">
        <v>97</v>
      </c>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749</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751</v>
      </c>
      <c r="C108" s="3183" t="s">
        <v>3262</v>
      </c>
      <c r="D108" s="3183" t="s">
        <v>3263</v>
      </c>
      <c r="E108" s="3183" t="s">
        <v>3264</v>
      </c>
      <c r="F108" s="3186" t="s">
        <v>3265</v>
      </c>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786</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753</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787</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775</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755</v>
      </c>
      <c r="C123" s="3183" t="s">
        <v>3262</v>
      </c>
      <c r="D123" s="3183" t="s">
        <v>3263</v>
      </c>
      <c r="E123" s="3183" t="s">
        <v>3264</v>
      </c>
      <c r="F123" s="3186" t="s">
        <v>3265</v>
      </c>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7" zoomScale="80" zoomScaleNormal="80" workbookViewId="0">
      <selection activeCell="F44" sqref="F44"/>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3080</v>
      </c>
      <c r="C1" s="503" t="s">
        <v>792</v>
      </c>
      <c r="D1" s="848" t="s">
        <v>35</v>
      </c>
      <c r="E1" s="505"/>
      <c r="F1" s="2828" t="s">
        <v>3219</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11128</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12199</v>
      </c>
      <c r="C3" s="851" t="s">
        <v>796</v>
      </c>
      <c r="D3" s="850">
        <f>SUMIF('数据-汇总表'!$C19:$C33,D1,'数据-汇总表'!$E19:$E33)</f>
        <v>9122</v>
      </c>
      <c r="E3" s="1845" t="s">
        <v>2076</v>
      </c>
      <c r="F3" s="850">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400" t="s">
        <v>798</v>
      </c>
      <c r="D4" s="3401"/>
      <c r="E4" s="3400" t="s">
        <v>799</v>
      </c>
      <c r="F4" s="3401"/>
      <c r="G4" s="3400" t="s">
        <v>800</v>
      </c>
      <c r="H4" s="3401"/>
      <c r="I4" s="3400" t="s">
        <v>801</v>
      </c>
      <c r="J4" s="3401"/>
      <c r="K4" s="513" t="s">
        <v>802</v>
      </c>
      <c r="L4" s="2130"/>
      <c r="M4" s="2131"/>
      <c r="N4" s="2131"/>
      <c r="O4" s="2131"/>
      <c r="P4" s="3402" t="s">
        <v>803</v>
      </c>
      <c r="Q4" s="3403"/>
      <c r="R4" s="3408" t="s">
        <v>799</v>
      </c>
      <c r="S4" s="3409"/>
      <c r="T4" s="3408" t="s">
        <v>800</v>
      </c>
      <c r="U4" s="3409"/>
      <c r="V4" s="3395" t="s">
        <v>801</v>
      </c>
      <c r="W4" s="3395"/>
      <c r="X4" s="1565"/>
      <c r="Y4" s="3408" t="s">
        <v>803</v>
      </c>
      <c r="Z4" s="3409"/>
      <c r="AA4" s="3397" t="s">
        <v>799</v>
      </c>
      <c r="AB4" s="3398" t="s">
        <v>800</v>
      </c>
      <c r="AC4" s="3397" t="s">
        <v>801</v>
      </c>
    </row>
    <row r="5" spans="1:29" ht="15">
      <c r="A5" s="514"/>
      <c r="B5" s="515"/>
      <c r="C5" s="3416" t="s">
        <v>2923</v>
      </c>
      <c r="D5" s="3417"/>
      <c r="E5" s="3418" t="s">
        <v>3220</v>
      </c>
      <c r="F5" s="3417"/>
      <c r="G5" s="3418" t="s">
        <v>3223</v>
      </c>
      <c r="H5" s="3417"/>
      <c r="I5" s="3418" t="s">
        <v>3222</v>
      </c>
      <c r="J5" s="3417"/>
      <c r="K5" s="513"/>
      <c r="L5" s="2130"/>
      <c r="M5" s="2131"/>
      <c r="N5" s="2131"/>
      <c r="O5" s="2131"/>
      <c r="P5" s="3404"/>
      <c r="Q5" s="3405"/>
      <c r="R5" s="3410"/>
      <c r="S5" s="3411"/>
      <c r="T5" s="3410"/>
      <c r="U5" s="3411"/>
      <c r="V5" s="3395"/>
      <c r="W5" s="3395"/>
      <c r="X5" s="1565"/>
      <c r="Y5" s="3410"/>
      <c r="Z5" s="3411"/>
      <c r="AA5" s="3398"/>
      <c r="AB5" s="3398"/>
      <c r="AC5" s="3398"/>
    </row>
    <row r="6" spans="1:29" ht="15.75" thickBot="1">
      <c r="A6" s="516"/>
      <c r="B6" s="517"/>
      <c r="C6" s="3433" t="s">
        <v>2927</v>
      </c>
      <c r="D6" s="3415"/>
      <c r="E6" s="3419" t="s">
        <v>3237</v>
      </c>
      <c r="F6" s="3420"/>
      <c r="G6" s="3414" t="s">
        <v>3247</v>
      </c>
      <c r="H6" s="3415"/>
      <c r="I6" s="3414" t="s">
        <v>3250</v>
      </c>
      <c r="J6" s="3415"/>
      <c r="K6" s="513" t="s">
        <v>528</v>
      </c>
      <c r="L6" s="2130"/>
      <c r="M6" s="2131"/>
      <c r="N6" s="2131"/>
      <c r="O6" s="2131"/>
      <c r="P6" s="3406"/>
      <c r="Q6" s="3407"/>
      <c r="R6" s="3410"/>
      <c r="S6" s="3411"/>
      <c r="T6" s="3412"/>
      <c r="U6" s="3413"/>
      <c r="V6" s="3395"/>
      <c r="W6" s="3395"/>
      <c r="X6" s="1565"/>
      <c r="Y6" s="3412"/>
      <c r="Z6" s="3413"/>
      <c r="AA6" s="3399"/>
      <c r="AB6" s="3399"/>
      <c r="AC6" s="3399"/>
    </row>
    <row r="7" spans="1:29" s="1219" customFormat="1" ht="15.75" thickBot="1">
      <c r="A7" s="2933"/>
      <c r="B7" s="2940" t="s">
        <v>529</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2"/>
      <c r="M7" s="2133"/>
      <c r="N7" s="2133"/>
      <c r="O7" s="2133"/>
      <c r="P7" s="3426" t="s">
        <v>530</v>
      </c>
      <c r="Q7" s="3428"/>
      <c r="R7" s="1566" t="s">
        <v>8</v>
      </c>
      <c r="S7" s="1567">
        <f t="shared" ref="S7:S14" si="0">F7</f>
        <v>100</v>
      </c>
      <c r="T7" s="1566" t="s">
        <v>8</v>
      </c>
      <c r="U7" s="1567">
        <f t="shared" ref="U7:U14" si="1">H7</f>
        <v>100</v>
      </c>
      <c r="V7" s="1566" t="s">
        <v>8</v>
      </c>
      <c r="W7" s="1567">
        <f t="shared" ref="W7:W14" si="2">J7</f>
        <v>99</v>
      </c>
      <c r="X7" s="1568"/>
      <c r="Y7" s="3426" t="s">
        <v>530</v>
      </c>
      <c r="Z7" s="3427"/>
      <c r="AA7" s="1569">
        <f>D7/F7</f>
        <v>1</v>
      </c>
      <c r="AB7" s="1569">
        <f>D7/H7</f>
        <v>1</v>
      </c>
      <c r="AC7" s="1569">
        <f>D7/J7</f>
        <v>1.0101010101010102</v>
      </c>
    </row>
    <row r="8" spans="1:29" s="1219" customFormat="1" ht="15.75" thickBot="1">
      <c r="A8" s="2934"/>
      <c r="B8" s="2941"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2"/>
      <c r="M8" s="2133"/>
      <c r="N8" s="2133"/>
      <c r="O8" s="2133"/>
      <c r="P8" s="3426" t="s">
        <v>533</v>
      </c>
      <c r="Q8" s="3427"/>
      <c r="R8" s="1566" t="s">
        <v>8</v>
      </c>
      <c r="S8" s="1567">
        <f t="shared" si="0"/>
        <v>100</v>
      </c>
      <c r="T8" s="1566" t="s">
        <v>8</v>
      </c>
      <c r="U8" s="1567">
        <f t="shared" si="1"/>
        <v>100</v>
      </c>
      <c r="V8" s="1566" t="s">
        <v>8</v>
      </c>
      <c r="W8" s="1567">
        <f t="shared" si="2"/>
        <v>100</v>
      </c>
      <c r="X8" s="1568"/>
      <c r="Y8" s="3426" t="s">
        <v>533</v>
      </c>
      <c r="Z8" s="3427"/>
      <c r="AA8" s="1569">
        <f t="shared" ref="AA8:AA36" si="3">D8/F8</f>
        <v>1</v>
      </c>
      <c r="AB8" s="1569">
        <f t="shared" ref="AB8:AB36" si="4">D8/H8</f>
        <v>1</v>
      </c>
      <c r="AC8" s="1569">
        <f t="shared" ref="AC8:AC36" si="5">D8/J8</f>
        <v>1</v>
      </c>
    </row>
    <row r="9" spans="1:29" s="1219" customFormat="1" ht="15">
      <c r="A9" s="2935"/>
      <c r="B9" s="2942" t="s">
        <v>2756</v>
      </c>
      <c r="C9" s="3190" t="s">
        <v>3224</v>
      </c>
      <c r="D9" s="253">
        <v>100</v>
      </c>
      <c r="E9" s="859" t="s">
        <v>3080</v>
      </c>
      <c r="F9" s="253">
        <f>SUMIF(53:53,E9,54:54)-SUMIF(53:53,C9,54:54)+100</f>
        <v>100</v>
      </c>
      <c r="G9" s="859" t="s">
        <v>3080</v>
      </c>
      <c r="H9" s="253">
        <f>SUMIF(53:53,G9,54:54)-SUMIF(53:53,C9,54:54)+100</f>
        <v>100</v>
      </c>
      <c r="I9" s="859" t="s">
        <v>3080</v>
      </c>
      <c r="J9" s="253">
        <f>SUMIF(53:53,I9,54:54)-SUMIF(53:53,C9,54:54)+100</f>
        <v>100</v>
      </c>
      <c r="K9" s="523"/>
      <c r="L9" s="2132"/>
      <c r="M9" s="2133"/>
      <c r="N9" s="2133"/>
      <c r="O9" s="2134"/>
      <c r="P9" s="3394" t="s">
        <v>535</v>
      </c>
      <c r="Q9" s="1150" t="str">
        <f t="shared" ref="Q9:Q14" si="6">B9</f>
        <v>用途</v>
      </c>
      <c r="R9" s="1566" t="s">
        <v>8</v>
      </c>
      <c r="S9" s="1567">
        <f t="shared" si="0"/>
        <v>100</v>
      </c>
      <c r="T9" s="1566" t="s">
        <v>8</v>
      </c>
      <c r="U9" s="1567">
        <f t="shared" si="1"/>
        <v>100</v>
      </c>
      <c r="V9" s="1566" t="s">
        <v>8</v>
      </c>
      <c r="W9" s="1567">
        <f t="shared" si="2"/>
        <v>100</v>
      </c>
      <c r="X9" s="1568"/>
      <c r="Y9" s="3340" t="s">
        <v>536</v>
      </c>
      <c r="Z9" s="1149" t="str">
        <f t="shared" ref="Z9:Z14" si="7">Q9</f>
        <v>用途</v>
      </c>
      <c r="AA9" s="1569">
        <f t="shared" si="3"/>
        <v>1</v>
      </c>
      <c r="AB9" s="1569">
        <f t="shared" si="4"/>
        <v>1</v>
      </c>
      <c r="AC9" s="1569">
        <f t="shared" si="5"/>
        <v>1</v>
      </c>
    </row>
    <row r="10" spans="1:29" s="1337" customFormat="1" ht="27.75" thickBot="1">
      <c r="A10" s="2936"/>
      <c r="B10" s="2941" t="s">
        <v>2757</v>
      </c>
      <c r="C10" s="860" t="s">
        <v>3225</v>
      </c>
      <c r="D10" s="254">
        <v>100</v>
      </c>
      <c r="E10" s="860" t="s">
        <v>3225</v>
      </c>
      <c r="F10" s="254">
        <f>SUMIF(55:55,E10,56:56)-SUMIF(55:55,C10,56:56)+100</f>
        <v>100</v>
      </c>
      <c r="G10" s="860" t="s">
        <v>3225</v>
      </c>
      <c r="H10" s="254">
        <f>SUMIF(55:55,G10,56:56)-SUMIF(55:55,C10,56:56)+100</f>
        <v>100</v>
      </c>
      <c r="I10" s="860" t="s">
        <v>3225</v>
      </c>
      <c r="J10" s="254">
        <f>SUMIF(55:55,I10,56:56)-SUMIF(55:55,C10,56:56)+100</f>
        <v>100</v>
      </c>
      <c r="K10" s="583"/>
      <c r="L10" s="2135"/>
      <c r="M10" s="2175"/>
      <c r="N10" s="2175"/>
      <c r="O10" s="2136"/>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 hidden="1">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94"/>
      <c r="Q11" s="1150">
        <f t="shared" si="6"/>
        <v>111</v>
      </c>
      <c r="R11" s="1566" t="s">
        <v>8</v>
      </c>
      <c r="S11" s="1567">
        <f t="shared" si="0"/>
        <v>100</v>
      </c>
      <c r="T11" s="1566" t="s">
        <v>8</v>
      </c>
      <c r="U11" s="1567">
        <f t="shared" si="1"/>
        <v>100</v>
      </c>
      <c r="V11" s="1566" t="s">
        <v>8</v>
      </c>
      <c r="W11" s="1567">
        <f t="shared" si="2"/>
        <v>100</v>
      </c>
      <c r="X11" s="1568"/>
      <c r="Y11" s="3340"/>
      <c r="Z11" s="1149">
        <f t="shared" si="7"/>
        <v>111</v>
      </c>
      <c r="AA11" s="1569">
        <f t="shared" si="3"/>
        <v>1</v>
      </c>
      <c r="AB11" s="1569">
        <f t="shared" si="4"/>
        <v>1</v>
      </c>
      <c r="AC11" s="1569">
        <f t="shared" si="5"/>
        <v>1</v>
      </c>
    </row>
    <row r="12" spans="1:29" s="1219" customFormat="1" ht="15" hidden="1">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94"/>
      <c r="Q12" s="1150">
        <f t="shared" si="6"/>
        <v>111</v>
      </c>
      <c r="R12" s="1566" t="s">
        <v>8</v>
      </c>
      <c r="S12" s="1567">
        <f t="shared" si="0"/>
        <v>100</v>
      </c>
      <c r="T12" s="1566" t="s">
        <v>8</v>
      </c>
      <c r="U12" s="1567">
        <f t="shared" si="1"/>
        <v>100</v>
      </c>
      <c r="V12" s="1566" t="s">
        <v>8</v>
      </c>
      <c r="W12" s="1567">
        <f t="shared" si="2"/>
        <v>100</v>
      </c>
      <c r="X12" s="1568"/>
      <c r="Y12" s="3340"/>
      <c r="Z12" s="1149">
        <f t="shared" si="7"/>
        <v>111</v>
      </c>
      <c r="AA12" s="1569">
        <f>D12/F12</f>
        <v>1</v>
      </c>
      <c r="AB12" s="1569">
        <f>D12/H12</f>
        <v>1</v>
      </c>
      <c r="AC12" s="1569">
        <f>D12/J12</f>
        <v>1</v>
      </c>
    </row>
    <row r="13" spans="1:29" ht="15.75" hidden="1"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94"/>
      <c r="Q13" s="1150">
        <f t="shared" si="6"/>
        <v>111</v>
      </c>
      <c r="R13" s="1566" t="s">
        <v>8</v>
      </c>
      <c r="S13" s="1567">
        <f t="shared" si="0"/>
        <v>100</v>
      </c>
      <c r="T13" s="1566" t="s">
        <v>8</v>
      </c>
      <c r="U13" s="1567">
        <f t="shared" si="1"/>
        <v>100</v>
      </c>
      <c r="V13" s="1566" t="s">
        <v>8</v>
      </c>
      <c r="W13" s="1567">
        <f t="shared" si="2"/>
        <v>100</v>
      </c>
      <c r="X13" s="1568"/>
      <c r="Y13" s="3340"/>
      <c r="Z13" s="1149">
        <f t="shared" si="7"/>
        <v>111</v>
      </c>
      <c r="AA13" s="1569">
        <f t="shared" si="3"/>
        <v>1</v>
      </c>
      <c r="AB13" s="1569">
        <f t="shared" si="4"/>
        <v>1</v>
      </c>
      <c r="AC13" s="1569">
        <f t="shared" si="5"/>
        <v>1</v>
      </c>
    </row>
    <row r="14" spans="1:29" ht="156.75">
      <c r="A14" s="2931" t="s">
        <v>2754</v>
      </c>
      <c r="B14" s="546" t="s">
        <v>543</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3240</v>
      </c>
      <c r="F14" s="550">
        <f>SUMIF(63:63,E15,64:64)-SUMIF(63:63,C15,64:64)+100</f>
        <v>100</v>
      </c>
      <c r="G14" s="549" t="s">
        <v>3254</v>
      </c>
      <c r="H14" s="548">
        <f>SUMIF(63:63,G15,64:64)-SUMIF(63:63,C15,64:64)+100</f>
        <v>100</v>
      </c>
      <c r="I14" s="549" t="s">
        <v>3251</v>
      </c>
      <c r="J14" s="548">
        <f>SUMIF(63:63,I15,64:64)-SUMIF(63:63,C15,64:64)+100</f>
        <v>100</v>
      </c>
      <c r="K14" s="897"/>
      <c r="L14" s="2139"/>
      <c r="M14" s="2131"/>
      <c r="N14" s="2131"/>
      <c r="O14" s="2138"/>
      <c r="P14" s="3429" t="s">
        <v>540</v>
      </c>
      <c r="Q14" s="1570" t="str">
        <f t="shared" si="6"/>
        <v>交通便捷度</v>
      </c>
      <c r="R14" s="1571" t="s">
        <v>8</v>
      </c>
      <c r="S14" s="1572">
        <f t="shared" si="0"/>
        <v>100</v>
      </c>
      <c r="T14" s="1571" t="s">
        <v>8</v>
      </c>
      <c r="U14" s="1572">
        <f t="shared" si="1"/>
        <v>100</v>
      </c>
      <c r="V14" s="1571" t="s">
        <v>8</v>
      </c>
      <c r="W14" s="1572">
        <f t="shared" si="2"/>
        <v>100</v>
      </c>
      <c r="X14" s="1565"/>
      <c r="Y14" s="3429" t="s">
        <v>540</v>
      </c>
      <c r="Z14" s="1573" t="str">
        <f t="shared" si="7"/>
        <v>交通便捷度</v>
      </c>
      <c r="AA14" s="1574">
        <f t="shared" si="3"/>
        <v>1</v>
      </c>
      <c r="AB14" s="1574">
        <f t="shared" si="4"/>
        <v>1</v>
      </c>
      <c r="AC14" s="1574">
        <f t="shared" si="5"/>
        <v>1</v>
      </c>
    </row>
    <row r="15" spans="1:29" ht="15">
      <c r="A15" s="514"/>
      <c r="B15" s="923"/>
      <c r="C15" s="575" t="s">
        <v>3087</v>
      </c>
      <c r="D15" s="554"/>
      <c r="E15" s="575" t="s">
        <v>3087</v>
      </c>
      <c r="F15" s="556"/>
      <c r="G15" s="575" t="s">
        <v>3087</v>
      </c>
      <c r="H15" s="558"/>
      <c r="I15" s="575" t="s">
        <v>3087</v>
      </c>
      <c r="J15" s="554"/>
      <c r="K15" s="898"/>
      <c r="L15" s="2139"/>
      <c r="M15" s="2131"/>
      <c r="N15" s="2131"/>
      <c r="O15" s="2138"/>
      <c r="P15" s="3430"/>
      <c r="Q15" s="1570"/>
      <c r="R15" s="1571"/>
      <c r="S15" s="1572"/>
      <c r="T15" s="1571"/>
      <c r="U15" s="1572"/>
      <c r="V15" s="1571"/>
      <c r="W15" s="1572"/>
      <c r="X15" s="1565"/>
      <c r="Y15" s="3430"/>
      <c r="Z15" s="1573"/>
      <c r="AA15" s="1574">
        <v>1</v>
      </c>
      <c r="AB15" s="1574">
        <v>1</v>
      </c>
      <c r="AC15" s="1574">
        <v>1</v>
      </c>
    </row>
    <row r="16" spans="1:29" ht="199.5">
      <c r="A16" s="514"/>
      <c r="B16" s="2624" t="s">
        <v>2547</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3242</v>
      </c>
      <c r="F16" s="570">
        <f>SUMIF(65:65,E17,66:66)-SUMIF(65:65,C17,66:66)+100</f>
        <v>102</v>
      </c>
      <c r="G16" s="571" t="s">
        <v>3248</v>
      </c>
      <c r="H16" s="564">
        <f>SUMIF(65:65,G17,66:66)-SUMIF(65:65,C17,66:66)+100</f>
        <v>102</v>
      </c>
      <c r="I16" s="571" t="s">
        <v>3252</v>
      </c>
      <c r="J16" s="564">
        <f>SUMIF(65:65,I17,66:66)-SUMIF(65:65,C17,66:66)+100</f>
        <v>102</v>
      </c>
      <c r="K16" s="897">
        <v>2</v>
      </c>
      <c r="L16" s="2139"/>
      <c r="M16" s="2131"/>
      <c r="N16" s="2131"/>
      <c r="O16" s="2138"/>
      <c r="P16" s="3430"/>
      <c r="Q16" s="1570" t="str">
        <f>B16</f>
        <v>公共配套设施</v>
      </c>
      <c r="R16" s="1571" t="s">
        <v>8</v>
      </c>
      <c r="S16" s="1572">
        <f>F16</f>
        <v>102</v>
      </c>
      <c r="T16" s="1571" t="s">
        <v>8</v>
      </c>
      <c r="U16" s="1572">
        <f>H16</f>
        <v>102</v>
      </c>
      <c r="V16" s="1571" t="s">
        <v>8</v>
      </c>
      <c r="W16" s="1572">
        <f>J16</f>
        <v>102</v>
      </c>
      <c r="X16" s="1565"/>
      <c r="Y16" s="3430"/>
      <c r="Z16" s="1573" t="str">
        <f>Q16</f>
        <v>公共配套设施</v>
      </c>
      <c r="AA16" s="1574">
        <f t="shared" si="3"/>
        <v>0.98039215686274506</v>
      </c>
      <c r="AB16" s="1574">
        <f t="shared" si="4"/>
        <v>0.98039215686274506</v>
      </c>
      <c r="AC16" s="1574">
        <f t="shared" si="5"/>
        <v>0.98039215686274506</v>
      </c>
    </row>
    <row r="17" spans="1:29" ht="15">
      <c r="A17" s="514"/>
      <c r="B17" s="565"/>
      <c r="C17" s="872" t="s">
        <v>3091</v>
      </c>
      <c r="D17" s="554"/>
      <c r="E17" s="575" t="s">
        <v>3087</v>
      </c>
      <c r="F17" s="556"/>
      <c r="G17" s="575" t="s">
        <v>3087</v>
      </c>
      <c r="H17" s="554"/>
      <c r="I17" s="575" t="s">
        <v>3087</v>
      </c>
      <c r="J17" s="554"/>
      <c r="K17" s="898"/>
      <c r="L17" s="2139"/>
      <c r="M17" s="2131"/>
      <c r="N17" s="2131"/>
      <c r="O17" s="2138"/>
      <c r="P17" s="3430"/>
      <c r="Q17" s="1570"/>
      <c r="R17" s="1571"/>
      <c r="S17" s="1572"/>
      <c r="T17" s="1571"/>
      <c r="U17" s="1572"/>
      <c r="V17" s="1571"/>
      <c r="W17" s="1572"/>
      <c r="X17" s="1565"/>
      <c r="Y17" s="3430"/>
      <c r="Z17" s="1573"/>
      <c r="AA17" s="1574">
        <v>1</v>
      </c>
      <c r="AB17" s="1574">
        <v>1</v>
      </c>
      <c r="AC17" s="1574">
        <v>1</v>
      </c>
    </row>
    <row r="18" spans="1:29" ht="42.75">
      <c r="A18" s="514"/>
      <c r="B18" s="2612" t="s">
        <v>2559</v>
      </c>
      <c r="C18" s="871" t="str">
        <f>IF(B1="工业",估价对象房地状况!G6,估价对象房地状况!C8)</f>
        <v>估价对象所在区域基础设施水平达到“七通”。</v>
      </c>
      <c r="D18" s="558">
        <v>100</v>
      </c>
      <c r="E18" s="571" t="s">
        <v>3244</v>
      </c>
      <c r="F18" s="570">
        <f>SUMIF(67:67,E19,68:68)-SUMIF(67:67,C19,68:68)+100</f>
        <v>100</v>
      </c>
      <c r="G18" s="571" t="s">
        <v>3244</v>
      </c>
      <c r="H18" s="564">
        <f>SUMIF(67:67,G19,68:68)-SUMIF(67:67,C19,68:68)+100</f>
        <v>100</v>
      </c>
      <c r="I18" s="569" t="s">
        <v>3244</v>
      </c>
      <c r="J18" s="564">
        <f>SUMIF(67:67,I19,68:68)-SUMIF(67:67,C19,68:68)+100</f>
        <v>100</v>
      </c>
      <c r="K18" s="897"/>
      <c r="L18" s="2139"/>
      <c r="M18" s="2131"/>
      <c r="N18" s="2131"/>
      <c r="O18" s="2138"/>
      <c r="P18" s="3430"/>
      <c r="Q18" s="2600" t="str">
        <f>B18</f>
        <v>基础设施水平</v>
      </c>
      <c r="R18" s="1571" t="s">
        <v>8</v>
      </c>
      <c r="S18" s="1572">
        <f>F18</f>
        <v>100</v>
      </c>
      <c r="T18" s="1571" t="s">
        <v>8</v>
      </c>
      <c r="U18" s="1572">
        <f>H18</f>
        <v>100</v>
      </c>
      <c r="V18" s="1571" t="s">
        <v>8</v>
      </c>
      <c r="W18" s="1572">
        <f>J18</f>
        <v>100</v>
      </c>
      <c r="X18" s="2602"/>
      <c r="Y18" s="3430"/>
      <c r="Z18" s="2601" t="str">
        <f>Q18</f>
        <v>基础设施水平</v>
      </c>
      <c r="AA18" s="1574">
        <f t="shared" ref="AA18" si="8">D18/F18</f>
        <v>1</v>
      </c>
      <c r="AB18" s="1574">
        <f t="shared" ref="AB18" si="9">D18/H18</f>
        <v>1</v>
      </c>
      <c r="AC18" s="1574">
        <f t="shared" ref="AC18" si="10">D18/J18</f>
        <v>1</v>
      </c>
    </row>
    <row r="19" spans="1:29" ht="15">
      <c r="A19" s="514"/>
      <c r="B19" s="577"/>
      <c r="C19" s="872" t="s">
        <v>3108</v>
      </c>
      <c r="D19" s="558"/>
      <c r="E19" s="872" t="s">
        <v>3108</v>
      </c>
      <c r="F19" s="556"/>
      <c r="G19" s="872" t="s">
        <v>3108</v>
      </c>
      <c r="H19" s="554"/>
      <c r="I19" s="872" t="s">
        <v>3108</v>
      </c>
      <c r="J19" s="554"/>
      <c r="K19" s="2623"/>
      <c r="L19" s="2139"/>
      <c r="M19" s="2131"/>
      <c r="N19" s="2131"/>
      <c r="O19" s="2138"/>
      <c r="P19" s="3430"/>
      <c r="Q19" s="2600"/>
      <c r="R19" s="1571"/>
      <c r="S19" s="1572"/>
      <c r="T19" s="1571"/>
      <c r="U19" s="1572"/>
      <c r="V19" s="1571"/>
      <c r="W19" s="1572"/>
      <c r="X19" s="2602"/>
      <c r="Y19" s="3430"/>
      <c r="Z19" s="2601"/>
      <c r="AA19" s="1574">
        <v>1</v>
      </c>
      <c r="AB19" s="1574">
        <v>1</v>
      </c>
      <c r="AC19" s="1574">
        <v>1</v>
      </c>
    </row>
    <row r="20" spans="1:29" ht="99.75">
      <c r="A20" s="514"/>
      <c r="B20" s="559" t="s">
        <v>804</v>
      </c>
      <c r="C20" s="871" t="str">
        <f>IF(B1="工业",估价对象房地状况!G7,估价对象房地状况!C9)</f>
        <v>区域自然环境：东埠头沟公园；人文环境：无博物馆、展览馆等人文景观；综合评价环境状况一般。</v>
      </c>
      <c r="D20" s="564">
        <v>100</v>
      </c>
      <c r="E20" s="3184" t="s">
        <v>3246</v>
      </c>
      <c r="F20" s="562">
        <f>SUMIF(69:69,E21,70:70)-SUMIF(69:69,C21,70:70)+100</f>
        <v>100</v>
      </c>
      <c r="G20" s="3184" t="s">
        <v>3249</v>
      </c>
      <c r="H20" s="558">
        <f>SUMIF(69:69,G21,70:70)-SUMIF(69:69,C21,70:70)+100</f>
        <v>100</v>
      </c>
      <c r="I20" s="3184" t="s">
        <v>3253</v>
      </c>
      <c r="J20" s="558">
        <f>SUMIF(69:69,I21,70:70)-SUMIF(69:69,C21,70:70)+100</f>
        <v>100</v>
      </c>
      <c r="K20" s="897"/>
      <c r="L20" s="2139"/>
      <c r="M20" s="2131"/>
      <c r="N20" s="2131"/>
      <c r="O20" s="2138"/>
      <c r="P20" s="3430"/>
      <c r="Q20" s="1570" t="str">
        <f>B20</f>
        <v>自然及人文环境</v>
      </c>
      <c r="R20" s="1571" t="s">
        <v>8</v>
      </c>
      <c r="S20" s="1572">
        <f>F20</f>
        <v>100</v>
      </c>
      <c r="T20" s="1571" t="s">
        <v>8</v>
      </c>
      <c r="U20" s="1572">
        <f>H20</f>
        <v>100</v>
      </c>
      <c r="V20" s="1571" t="s">
        <v>8</v>
      </c>
      <c r="W20" s="1572">
        <f>J20</f>
        <v>100</v>
      </c>
      <c r="X20" s="1565"/>
      <c r="Y20" s="3430"/>
      <c r="Z20" s="1573" t="str">
        <f>Q20</f>
        <v>自然及人文环境</v>
      </c>
      <c r="AA20" s="1574">
        <f t="shared" si="3"/>
        <v>1</v>
      </c>
      <c r="AB20" s="1574">
        <f t="shared" si="4"/>
        <v>1</v>
      </c>
      <c r="AC20" s="1574">
        <f t="shared" si="5"/>
        <v>1</v>
      </c>
    </row>
    <row r="21" spans="1:29" ht="15">
      <c r="A21" s="514"/>
      <c r="B21" s="565"/>
      <c r="C21" s="575" t="s">
        <v>3091</v>
      </c>
      <c r="D21" s="554"/>
      <c r="E21" s="575" t="s">
        <v>3091</v>
      </c>
      <c r="F21" s="556"/>
      <c r="G21" s="575" t="s">
        <v>3091</v>
      </c>
      <c r="H21" s="554"/>
      <c r="I21" s="575" t="s">
        <v>3091</v>
      </c>
      <c r="J21" s="554"/>
      <c r="K21" s="898"/>
      <c r="L21" s="2139"/>
      <c r="M21" s="2131"/>
      <c r="N21" s="2131"/>
      <c r="O21" s="2138"/>
      <c r="P21" s="3430"/>
      <c r="Q21" s="1570"/>
      <c r="R21" s="1571"/>
      <c r="S21" s="1572"/>
      <c r="T21" s="1571"/>
      <c r="U21" s="1572"/>
      <c r="V21" s="1571"/>
      <c r="W21" s="1572"/>
      <c r="X21" s="1565"/>
      <c r="Y21" s="3430"/>
      <c r="Z21" s="1573"/>
      <c r="AA21" s="1574">
        <v>1</v>
      </c>
      <c r="AB21" s="1574">
        <v>1</v>
      </c>
      <c r="AC21" s="1574">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0"/>
      <c r="Q22" s="1570" t="str">
        <f>B22</f>
        <v>楼层</v>
      </c>
      <c r="R22" s="1571" t="s">
        <v>8</v>
      </c>
      <c r="S22" s="1572">
        <f>F22</f>
        <v>100</v>
      </c>
      <c r="T22" s="1571" t="s">
        <v>8</v>
      </c>
      <c r="U22" s="1572">
        <f>H22</f>
        <v>100</v>
      </c>
      <c r="V22" s="1571" t="s">
        <v>8</v>
      </c>
      <c r="W22" s="1572">
        <f>J22</f>
        <v>100</v>
      </c>
      <c r="X22" s="1565"/>
      <c r="Y22" s="3430"/>
      <c r="Z22" s="1573" t="str">
        <f>Q22</f>
        <v>楼层</v>
      </c>
      <c r="AA22" s="1574">
        <f t="shared" si="3"/>
        <v>1</v>
      </c>
      <c r="AB22" s="1574">
        <f t="shared" si="4"/>
        <v>1</v>
      </c>
      <c r="AC22" s="1574">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0"/>
      <c r="Q23" s="1570">
        <f>B23</f>
        <v>111</v>
      </c>
      <c r="R23" s="1571" t="s">
        <v>8</v>
      </c>
      <c r="S23" s="1572">
        <f>F23</f>
        <v>100</v>
      </c>
      <c r="T23" s="1571" t="s">
        <v>8</v>
      </c>
      <c r="U23" s="1572">
        <f>H23</f>
        <v>100</v>
      </c>
      <c r="V23" s="1571" t="s">
        <v>8</v>
      </c>
      <c r="W23" s="1572">
        <f>J23</f>
        <v>100</v>
      </c>
      <c r="X23" s="1565"/>
      <c r="Y23" s="3430"/>
      <c r="Z23" s="1573">
        <f>Q23</f>
        <v>111</v>
      </c>
      <c r="AA23" s="1574">
        <f t="shared" si="3"/>
        <v>1</v>
      </c>
      <c r="AB23" s="1574">
        <f t="shared" si="4"/>
        <v>1</v>
      </c>
      <c r="AC23" s="1574">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0"/>
      <c r="Q24" s="1570">
        <f t="shared" ref="Q24:Q36" si="11">B24</f>
        <v>111</v>
      </c>
      <c r="R24" s="1571" t="s">
        <v>8</v>
      </c>
      <c r="S24" s="1572">
        <f>F24</f>
        <v>100</v>
      </c>
      <c r="T24" s="1571" t="s">
        <v>8</v>
      </c>
      <c r="U24" s="1572">
        <f>H24</f>
        <v>100</v>
      </c>
      <c r="V24" s="1571" t="s">
        <v>8</v>
      </c>
      <c r="W24" s="1572">
        <f>J24</f>
        <v>100</v>
      </c>
      <c r="X24" s="1565"/>
      <c r="Y24" s="3430"/>
      <c r="Z24" s="1573">
        <f>Q24</f>
        <v>111</v>
      </c>
      <c r="AA24" s="1574">
        <f t="shared" si="3"/>
        <v>1</v>
      </c>
      <c r="AB24" s="1574">
        <f t="shared" si="4"/>
        <v>1</v>
      </c>
      <c r="AC24" s="1574">
        <f t="shared" si="5"/>
        <v>1</v>
      </c>
    </row>
    <row r="25" spans="1:29" s="1219"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30"/>
      <c r="Q25" s="1150">
        <f t="shared" si="11"/>
        <v>111</v>
      </c>
      <c r="R25" s="1566" t="s">
        <v>8</v>
      </c>
      <c r="S25" s="1567">
        <f>F25</f>
        <v>100</v>
      </c>
      <c r="T25" s="1566" t="s">
        <v>8</v>
      </c>
      <c r="U25" s="1567">
        <f>H25</f>
        <v>100</v>
      </c>
      <c r="V25" s="1566" t="s">
        <v>8</v>
      </c>
      <c r="W25" s="1567">
        <f>J25</f>
        <v>100</v>
      </c>
      <c r="X25" s="1568"/>
      <c r="Y25" s="3430"/>
      <c r="Z25" s="1149">
        <f>Q25</f>
        <v>111</v>
      </c>
      <c r="AA25" s="1574">
        <f>D25/F25</f>
        <v>1</v>
      </c>
      <c r="AB25" s="1574">
        <f>D25/H25</f>
        <v>1</v>
      </c>
      <c r="AC25" s="1574">
        <f>D25/J25</f>
        <v>1</v>
      </c>
    </row>
    <row r="26" spans="1:29" ht="15">
      <c r="A26" s="2928" t="s">
        <v>2755</v>
      </c>
      <c r="B26" s="170" t="s">
        <v>806</v>
      </c>
      <c r="C26" s="927" t="str">
        <f>B1</f>
        <v>车库</v>
      </c>
      <c r="D26" s="554">
        <v>100</v>
      </c>
      <c r="E26" s="575" t="s">
        <v>3080</v>
      </c>
      <c r="F26" s="556">
        <f>SUMIF(79:79,E26,80:80)-SUMIF(79:79,C26,80:80)+100</f>
        <v>100</v>
      </c>
      <c r="G26" s="575" t="s">
        <v>3080</v>
      </c>
      <c r="H26" s="554">
        <f>SUMIF(79:79,G26,80:80)-SUMIF(79:79,C26,80:80)+100</f>
        <v>100</v>
      </c>
      <c r="I26" s="575" t="s">
        <v>3080</v>
      </c>
      <c r="J26" s="554">
        <f>SUMIF(79:79,I26,80:80)-SUMIF(79:79,C26,80:80)+100</f>
        <v>100</v>
      </c>
      <c r="K26" s="583"/>
      <c r="L26" s="2139"/>
      <c r="M26" s="2131"/>
      <c r="N26" s="2131"/>
      <c r="O26" s="2138"/>
      <c r="P26" s="3431"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2"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32"/>
      <c r="Q27" s="1603" t="str">
        <f t="shared" si="11"/>
        <v>项目停车位配比</v>
      </c>
      <c r="R27" s="1575" t="s">
        <v>8</v>
      </c>
      <c r="S27" s="1576">
        <f t="shared" si="12"/>
        <v>100</v>
      </c>
      <c r="T27" s="1575" t="s">
        <v>8</v>
      </c>
      <c r="U27" s="1576">
        <f t="shared" si="13"/>
        <v>100</v>
      </c>
      <c r="V27" s="1575" t="s">
        <v>8</v>
      </c>
      <c r="W27" s="1576">
        <f t="shared" si="14"/>
        <v>100</v>
      </c>
      <c r="X27" s="1577"/>
      <c r="Y27" s="3432"/>
      <c r="Z27" s="1578" t="str">
        <f t="shared" si="15"/>
        <v>项目停车位配比</v>
      </c>
      <c r="AA27" s="1574">
        <f t="shared" si="3"/>
        <v>1</v>
      </c>
      <c r="AB27" s="1574">
        <f t="shared" si="4"/>
        <v>1</v>
      </c>
      <c r="AC27" s="1574">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32"/>
      <c r="Q28" s="1570" t="str">
        <f t="shared" si="11"/>
        <v>公共部分装修</v>
      </c>
      <c r="R28" s="1571" t="s">
        <v>8</v>
      </c>
      <c r="S28" s="1572">
        <f t="shared" si="12"/>
        <v>100</v>
      </c>
      <c r="T28" s="1571" t="s">
        <v>8</v>
      </c>
      <c r="U28" s="1572">
        <f t="shared" si="13"/>
        <v>100</v>
      </c>
      <c r="V28" s="1571" t="s">
        <v>8</v>
      </c>
      <c r="W28" s="1572">
        <f t="shared" si="14"/>
        <v>100</v>
      </c>
      <c r="X28" s="1565"/>
      <c r="Y28" s="3432"/>
      <c r="Z28" s="1573" t="str">
        <f t="shared" si="15"/>
        <v>公共部分装修</v>
      </c>
      <c r="AA28" s="1574">
        <f t="shared" si="3"/>
        <v>1</v>
      </c>
      <c r="AB28" s="1574">
        <f t="shared" si="4"/>
        <v>1</v>
      </c>
      <c r="AC28" s="1574">
        <f t="shared" si="5"/>
        <v>1</v>
      </c>
    </row>
    <row r="29" spans="1:29" ht="15">
      <c r="A29" s="930"/>
      <c r="B29" s="581" t="s">
        <v>809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9"/>
      <c r="M29" s="2131"/>
      <c r="N29" s="2131"/>
      <c r="O29" s="2138"/>
      <c r="P29" s="3432"/>
      <c r="Q29" s="1570" t="str">
        <f t="shared" si="11"/>
        <v>成新率</v>
      </c>
      <c r="R29" s="1571" t="s">
        <v>8</v>
      </c>
      <c r="S29" s="1572">
        <f t="shared" si="12"/>
        <v>100</v>
      </c>
      <c r="T29" s="1571" t="s">
        <v>8</v>
      </c>
      <c r="U29" s="1572">
        <f t="shared" si="13"/>
        <v>100</v>
      </c>
      <c r="V29" s="1571" t="s">
        <v>8</v>
      </c>
      <c r="W29" s="1572">
        <f t="shared" si="14"/>
        <v>100</v>
      </c>
      <c r="X29" s="1565"/>
      <c r="Y29" s="3432"/>
      <c r="Z29" s="1573" t="str">
        <f t="shared" si="15"/>
        <v>成新率</v>
      </c>
      <c r="AA29" s="1574">
        <f t="shared" si="3"/>
        <v>1</v>
      </c>
      <c r="AB29" s="1574">
        <f t="shared" si="4"/>
        <v>1</v>
      </c>
      <c r="AC29" s="1574">
        <f t="shared" si="5"/>
        <v>1</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32"/>
      <c r="Q30" s="1570" t="str">
        <f t="shared" si="11"/>
        <v>物业等级</v>
      </c>
      <c r="R30" s="1571" t="s">
        <v>8</v>
      </c>
      <c r="S30" s="1572">
        <f t="shared" si="12"/>
        <v>100</v>
      </c>
      <c r="T30" s="1571" t="s">
        <v>8</v>
      </c>
      <c r="U30" s="1572">
        <f t="shared" si="13"/>
        <v>100</v>
      </c>
      <c r="V30" s="1571" t="s">
        <v>8</v>
      </c>
      <c r="W30" s="1572">
        <f t="shared" si="14"/>
        <v>100</v>
      </c>
      <c r="X30" s="1565"/>
      <c r="Y30" s="3432"/>
      <c r="Z30" s="1573" t="str">
        <f t="shared" si="15"/>
        <v>物业等级</v>
      </c>
      <c r="AA30" s="1574">
        <f t="shared" si="3"/>
        <v>1</v>
      </c>
      <c r="AB30" s="1574">
        <f t="shared" si="4"/>
        <v>1</v>
      </c>
      <c r="AC30" s="1574">
        <f t="shared" si="5"/>
        <v>1</v>
      </c>
    </row>
    <row r="31" spans="1:29" s="1219" customFormat="1" ht="15">
      <c r="A31" s="932"/>
      <c r="B31" s="581" t="s">
        <v>811</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2"/>
      <c r="M31" s="2133"/>
      <c r="N31" s="2133"/>
      <c r="O31" s="2134"/>
      <c r="P31" s="3432"/>
      <c r="Q31" s="1150" t="str">
        <f t="shared" si="11"/>
        <v>停车位面积</v>
      </c>
      <c r="R31" s="1566" t="s">
        <v>8</v>
      </c>
      <c r="S31" s="1567">
        <f t="shared" si="12"/>
        <v>98</v>
      </c>
      <c r="T31" s="1566" t="s">
        <v>8</v>
      </c>
      <c r="U31" s="1567">
        <f t="shared" si="13"/>
        <v>98</v>
      </c>
      <c r="V31" s="1566" t="s">
        <v>8</v>
      </c>
      <c r="W31" s="1567">
        <f t="shared" si="14"/>
        <v>98</v>
      </c>
      <c r="X31" s="1568"/>
      <c r="Y31" s="3432"/>
      <c r="Z31" s="1149" t="str">
        <f t="shared" si="15"/>
        <v>停车位面积</v>
      </c>
      <c r="AA31" s="1569">
        <f t="shared" si="3"/>
        <v>1.0204081632653061</v>
      </c>
      <c r="AB31" s="1569">
        <f t="shared" si="4"/>
        <v>1.0204081632653061</v>
      </c>
      <c r="AC31" s="1569">
        <f t="shared" si="5"/>
        <v>1.0204081632653061</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32" t="s">
        <v>550</v>
      </c>
      <c r="Q32" s="1570" t="str">
        <f t="shared" si="11"/>
        <v>车位类型</v>
      </c>
      <c r="R32" s="1571" t="s">
        <v>8</v>
      </c>
      <c r="S32" s="1572">
        <f t="shared" si="12"/>
        <v>100</v>
      </c>
      <c r="T32" s="1571" t="s">
        <v>8</v>
      </c>
      <c r="U32" s="1572">
        <f t="shared" si="13"/>
        <v>100</v>
      </c>
      <c r="V32" s="1571" t="s">
        <v>8</v>
      </c>
      <c r="W32" s="1572">
        <f t="shared" si="14"/>
        <v>100</v>
      </c>
      <c r="X32" s="1565"/>
      <c r="Y32" s="3432" t="s">
        <v>550</v>
      </c>
      <c r="Z32" s="1573" t="str">
        <f t="shared" si="15"/>
        <v>车位类型</v>
      </c>
      <c r="AA32" s="1574">
        <f t="shared" si="3"/>
        <v>1</v>
      </c>
      <c r="AB32" s="1574">
        <f t="shared" si="4"/>
        <v>1</v>
      </c>
      <c r="AC32" s="1574">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32"/>
      <c r="Q33" s="1570" t="str">
        <f t="shared" si="11"/>
        <v>是否直接入户</v>
      </c>
      <c r="R33" s="1571" t="s">
        <v>8</v>
      </c>
      <c r="S33" s="1572">
        <f t="shared" si="12"/>
        <v>100</v>
      </c>
      <c r="T33" s="1571" t="s">
        <v>8</v>
      </c>
      <c r="U33" s="1572">
        <f t="shared" si="13"/>
        <v>100</v>
      </c>
      <c r="V33" s="1571" t="s">
        <v>8</v>
      </c>
      <c r="W33" s="1572">
        <f t="shared" si="14"/>
        <v>100</v>
      </c>
      <c r="X33" s="1565"/>
      <c r="Y33" s="3432"/>
      <c r="Z33" s="1573" t="str">
        <f t="shared" si="15"/>
        <v>是否直接入户</v>
      </c>
      <c r="AA33" s="1574">
        <f t="shared" si="3"/>
        <v>1</v>
      </c>
      <c r="AB33" s="1574">
        <f t="shared" si="4"/>
        <v>1</v>
      </c>
      <c r="AC33" s="1574">
        <f t="shared" si="5"/>
        <v>1</v>
      </c>
    </row>
    <row r="34" spans="1:29" ht="15.75" thickBot="1">
      <c r="A34" s="930"/>
      <c r="B34" s="924" t="s">
        <v>3226</v>
      </c>
      <c r="C34" s="3191" t="s">
        <v>3227</v>
      </c>
      <c r="D34" s="539">
        <v>100</v>
      </c>
      <c r="E34" s="3191" t="s">
        <v>3228</v>
      </c>
      <c r="F34" s="574">
        <f>SUMIF(97:97,E34,98:98)-SUMIF(97:97,C34,98:98)+100</f>
        <v>95</v>
      </c>
      <c r="G34" s="3191" t="s">
        <v>3228</v>
      </c>
      <c r="H34" s="539">
        <f>SUMIF(97:97,G34,98:98)-SUMIF(97:97,C34,98:98)+100</f>
        <v>95</v>
      </c>
      <c r="I34" s="3191" t="s">
        <v>3228</v>
      </c>
      <c r="J34" s="539">
        <f>SUMIF(97:97,I34,98:98)-SUMIF(97:97,C34,98:98)+100</f>
        <v>95</v>
      </c>
      <c r="K34" s="580"/>
      <c r="L34" s="2139"/>
      <c r="M34" s="2131"/>
      <c r="N34" s="2131"/>
      <c r="O34" s="2138"/>
      <c r="P34" s="3432"/>
      <c r="Q34" s="1570" t="str">
        <f t="shared" si="11"/>
        <v xml:space="preserve">配套 </v>
      </c>
      <c r="R34" s="1571" t="s">
        <v>8</v>
      </c>
      <c r="S34" s="1572">
        <f t="shared" si="12"/>
        <v>95</v>
      </c>
      <c r="T34" s="1571" t="s">
        <v>8</v>
      </c>
      <c r="U34" s="1572">
        <f t="shared" si="13"/>
        <v>95</v>
      </c>
      <c r="V34" s="1571" t="s">
        <v>8</v>
      </c>
      <c r="W34" s="1572">
        <f t="shared" si="14"/>
        <v>95</v>
      </c>
      <c r="X34" s="1565"/>
      <c r="Y34" s="3432"/>
      <c r="Z34" s="1573" t="str">
        <f t="shared" si="15"/>
        <v xml:space="preserve">配套 </v>
      </c>
      <c r="AA34" s="1574">
        <f t="shared" si="3"/>
        <v>1.0526315789473684</v>
      </c>
      <c r="AB34" s="1574">
        <f t="shared" si="4"/>
        <v>1.0526315789473684</v>
      </c>
      <c r="AC34" s="1574">
        <f t="shared" si="5"/>
        <v>1.0526315789473684</v>
      </c>
    </row>
    <row r="35" spans="1:29" s="1338"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2"/>
      <c r="Q35" s="1603">
        <f t="shared" si="11"/>
        <v>111</v>
      </c>
      <c r="R35" s="1575" t="s">
        <v>8</v>
      </c>
      <c r="S35" s="1576">
        <f t="shared" si="12"/>
        <v>100</v>
      </c>
      <c r="T35" s="1575" t="s">
        <v>8</v>
      </c>
      <c r="U35" s="1576">
        <f t="shared" si="13"/>
        <v>100</v>
      </c>
      <c r="V35" s="1575" t="s">
        <v>8</v>
      </c>
      <c r="W35" s="1576">
        <f t="shared" si="14"/>
        <v>100</v>
      </c>
      <c r="X35" s="1577"/>
      <c r="Y35" s="3432"/>
      <c r="Z35" s="1578">
        <f t="shared" si="15"/>
        <v>111</v>
      </c>
      <c r="AA35" s="1574">
        <f t="shared" si="3"/>
        <v>1</v>
      </c>
      <c r="AB35" s="1574">
        <f t="shared" si="4"/>
        <v>1</v>
      </c>
      <c r="AC35" s="1574">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2"/>
      <c r="Q36" s="1570">
        <f t="shared" si="11"/>
        <v>111</v>
      </c>
      <c r="R36" s="1571" t="s">
        <v>8</v>
      </c>
      <c r="S36" s="1572">
        <f t="shared" si="12"/>
        <v>100</v>
      </c>
      <c r="T36" s="1571" t="s">
        <v>8</v>
      </c>
      <c r="U36" s="1572">
        <f t="shared" si="13"/>
        <v>100</v>
      </c>
      <c r="V36" s="1571" t="s">
        <v>8</v>
      </c>
      <c r="W36" s="1572">
        <f t="shared" si="14"/>
        <v>100</v>
      </c>
      <c r="X36" s="1565"/>
      <c r="Y36" s="3432"/>
      <c r="Z36" s="1573">
        <f t="shared" si="15"/>
        <v>111</v>
      </c>
      <c r="AA36" s="1574">
        <f t="shared" si="3"/>
        <v>1</v>
      </c>
      <c r="AB36" s="1574">
        <f t="shared" si="4"/>
        <v>1</v>
      </c>
      <c r="AC36" s="1574">
        <f t="shared" si="5"/>
        <v>1</v>
      </c>
    </row>
    <row r="37" spans="1:29" ht="15">
      <c r="A37" s="1844" t="s">
        <v>2077</v>
      </c>
      <c r="B37" s="3223" t="s">
        <v>2078</v>
      </c>
      <c r="C37" s="2648" t="s">
        <v>1</v>
      </c>
      <c r="D37" s="2649"/>
      <c r="E37" s="2650">
        <v>12018</v>
      </c>
      <c r="F37" s="2651"/>
      <c r="G37" s="3222">
        <v>11195</v>
      </c>
      <c r="H37" s="2653"/>
      <c r="I37" s="2650">
        <v>11423</v>
      </c>
      <c r="J37" s="2653"/>
      <c r="K37" s="1609"/>
      <c r="L37" s="2141"/>
      <c r="M37" s="2142"/>
      <c r="N37" s="2131"/>
      <c r="O37" s="2142"/>
      <c r="P37" s="3394" t="str">
        <f>A37</f>
        <v>成交单价</v>
      </c>
      <c r="Q37" s="3394"/>
      <c r="R37" s="3468">
        <f>E37</f>
        <v>12018</v>
      </c>
      <c r="S37" s="3468"/>
      <c r="T37" s="3468">
        <f>G37</f>
        <v>11195</v>
      </c>
      <c r="U37" s="3468"/>
      <c r="V37" s="3468">
        <f>I37</f>
        <v>11423</v>
      </c>
      <c r="W37" s="3468"/>
      <c r="X37" s="1557"/>
      <c r="Y37" s="1579"/>
      <c r="Z37" s="1557"/>
      <c r="AA37" s="1557"/>
      <c r="AB37" s="1557"/>
      <c r="AC37" s="1557"/>
    </row>
    <row r="38" spans="1:29" ht="15.75" thickBot="1">
      <c r="A38" s="614" t="s">
        <v>2760</v>
      </c>
      <c r="B38" s="887"/>
      <c r="C38" s="2654">
        <f>R39</f>
        <v>12199</v>
      </c>
      <c r="D38" s="2655"/>
      <c r="E38" s="2656">
        <f>R38</f>
        <v>12656</v>
      </c>
      <c r="F38" s="2656"/>
      <c r="G38" s="2654">
        <f>T38</f>
        <v>11789</v>
      </c>
      <c r="H38" s="2655"/>
      <c r="I38" s="2656">
        <f>V38</f>
        <v>12151</v>
      </c>
      <c r="J38" s="2655"/>
      <c r="K38" s="1610"/>
      <c r="L38" s="2141"/>
      <c r="M38" s="2142"/>
      <c r="N38" s="2142"/>
      <c r="O38" s="2142"/>
      <c r="P38" s="3394" t="str">
        <f>A38</f>
        <v>比较价格（元/平方米）</v>
      </c>
      <c r="Q38" s="3394"/>
      <c r="R38" s="3468">
        <f>IF(F1="售价",ROUND(PRODUCT(R37,AA7:AA36),0),ROUND(PRODUCT(R37,AA7:AA36),1))</f>
        <v>12656</v>
      </c>
      <c r="S38" s="3468"/>
      <c r="T38" s="3468">
        <f>IF(F1="售价",ROUND(PRODUCT(T37,AB7:AB36),0),ROUND(PRODUCT(T37,AB7:AB36),1))</f>
        <v>11789</v>
      </c>
      <c r="U38" s="3468"/>
      <c r="V38" s="3468">
        <f>IF(F1="售价",ROUND(PRODUCT(V37,AC7:AC36),0),ROUND(PRODUCT(V37,AC7:AC36),1))</f>
        <v>12151</v>
      </c>
      <c r="W38" s="3468"/>
      <c r="X38" s="1557"/>
      <c r="Y38" s="1557"/>
      <c r="Z38" s="1557"/>
      <c r="AA38" s="1557"/>
      <c r="AB38" s="1557"/>
      <c r="AC38" s="1557"/>
    </row>
    <row r="39" spans="1:29" ht="15.75" thickBot="1">
      <c r="A39" s="620" t="s">
        <v>2929</v>
      </c>
      <c r="B39" s="621"/>
      <c r="C39" s="2657">
        <f>R39</f>
        <v>12199</v>
      </c>
      <c r="D39" s="2657"/>
      <c r="E39" s="2657"/>
      <c r="F39" s="2657"/>
      <c r="G39" s="2657"/>
      <c r="H39" s="2657"/>
      <c r="I39" s="2657"/>
      <c r="J39" s="2657"/>
      <c r="K39" s="1611"/>
      <c r="L39" s="2141"/>
      <c r="M39" s="2142"/>
      <c r="N39" s="2142"/>
      <c r="O39" s="2142"/>
      <c r="P39" s="3391" t="str">
        <f>A39</f>
        <v>估价对象XX用房的比较价格（楼面单价，元/平方米）</v>
      </c>
      <c r="Q39" s="3392"/>
      <c r="R39" s="3470">
        <f>IF(F1="售价",ROUND(AVERAGE(R38:V38),0),ROUND(AVERAGE(R38:V38),1))</f>
        <v>12199</v>
      </c>
      <c r="S39" s="3470"/>
      <c r="T39" s="3470"/>
      <c r="U39" s="3470"/>
      <c r="V39" s="3470"/>
      <c r="W39" s="3470"/>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557</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558</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559</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529</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v>100</v>
      </c>
      <c r="E49" s="649">
        <v>99</v>
      </c>
      <c r="F49" s="649">
        <v>99</v>
      </c>
      <c r="G49" s="649">
        <v>99</v>
      </c>
      <c r="H49" s="649">
        <v>98</v>
      </c>
      <c r="I49" s="649">
        <v>98</v>
      </c>
      <c r="J49" s="649">
        <v>98</v>
      </c>
      <c r="K49" s="649">
        <v>97</v>
      </c>
      <c r="L49" s="649">
        <v>97</v>
      </c>
      <c r="M49" s="650">
        <v>97</v>
      </c>
      <c r="N49" s="649">
        <v>96</v>
      </c>
      <c r="O49" s="651">
        <v>96</v>
      </c>
      <c r="P49" s="2155"/>
      <c r="Q49" s="1990"/>
      <c r="R49" s="1990"/>
      <c r="S49" s="1990"/>
      <c r="T49" s="1990"/>
      <c r="U49" s="1990"/>
      <c r="V49" s="1990"/>
      <c r="W49" s="1990"/>
      <c r="X49" s="1990"/>
      <c r="Y49" s="1990"/>
      <c r="Z49" s="1990"/>
      <c r="AA49" s="1990"/>
      <c r="AB49" s="1990"/>
      <c r="AC49" s="1990"/>
    </row>
    <row r="50" spans="1:29" s="1219" customFormat="1" ht="15.75" thickBot="1">
      <c r="A50" s="652" t="s">
        <v>575</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531</v>
      </c>
      <c r="B51" s="647"/>
      <c r="C51" s="659" t="s">
        <v>576</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577</v>
      </c>
      <c r="B53" s="664" t="s">
        <v>534</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2558</v>
      </c>
      <c r="C65" s="707" t="s">
        <v>579</v>
      </c>
      <c r="D65" s="707" t="s">
        <v>580</v>
      </c>
      <c r="E65" s="707" t="s">
        <v>581</v>
      </c>
      <c r="F65" s="707" t="s">
        <v>582</v>
      </c>
      <c r="G65" s="707" t="s">
        <v>583</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98</v>
      </c>
      <c r="E66" s="678">
        <f>D66-$K16</f>
        <v>96</v>
      </c>
      <c r="F66" s="678">
        <f>E66-$K16</f>
        <v>94</v>
      </c>
      <c r="G66" s="678">
        <f>F66-$K16</f>
        <v>92</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2559</v>
      </c>
      <c r="C67" s="2619" t="s">
        <v>2560</v>
      </c>
      <c r="D67" s="2619" t="s">
        <v>2561</v>
      </c>
      <c r="E67" s="2619" t="s">
        <v>2562</v>
      </c>
      <c r="F67" s="2619" t="s">
        <v>2563</v>
      </c>
      <c r="G67" s="2619" t="s">
        <v>2564</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707" t="s">
        <v>579</v>
      </c>
      <c r="D69" s="707" t="s">
        <v>580</v>
      </c>
      <c r="E69" s="707" t="s">
        <v>581</v>
      </c>
      <c r="F69" s="707" t="s">
        <v>582</v>
      </c>
      <c r="G69" s="707" t="s">
        <v>583</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745</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551</v>
      </c>
      <c r="B79" s="664" t="s">
        <v>814</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815</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751</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818</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v>0</v>
      </c>
      <c r="D91" s="729">
        <v>40</v>
      </c>
      <c r="E91" s="729">
        <v>80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820</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t="str">
        <f>B34</f>
        <v xml:space="preserve">配套 </v>
      </c>
      <c r="C97" s="3192" t="s">
        <v>3229</v>
      </c>
      <c r="D97" s="3192" t="s">
        <v>3228</v>
      </c>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v>100</v>
      </c>
      <c r="D98" s="670">
        <v>95</v>
      </c>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北京龙湖京佰置业有限公司：</v>
      </c>
    </row>
    <row r="4" spans="1:4" ht="56.25">
      <c r="A4" s="1789"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7" spans="1:4" ht="56.25">
      <c r="A7" s="1793" t="s">
        <v>2747</v>
      </c>
    </row>
    <row r="8" spans="1:4" ht="18.75">
      <c r="A8" s="1792" t="s">
        <v>1907</v>
      </c>
    </row>
    <row r="9" spans="1:4" ht="56.25">
      <c r="A9" s="179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2018年5月18日（评估专业人员勘察现场之日）</v>
      </c>
    </row>
    <row r="12" spans="1:4" ht="18.75">
      <c r="A12" s="1795" t="s">
        <v>2025</v>
      </c>
    </row>
    <row r="13" spans="1:4" ht="18.75">
      <c r="A13" s="1789" t="s">
        <v>2937</v>
      </c>
    </row>
    <row r="14" spans="1:4" ht="37.5">
      <c r="A14" s="1789" t="str">
        <f>"根据"&amp;项目基本情况!F12&amp;"，本次评估估价对象证载（地类）用途为"&amp;项目基本情况!B12&amp;"。"</f>
        <v>根据《不动产权证书》[京（2016）海淀区不动产权第0000123号]，本次评估估价对象证载（地类）用途为。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11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628</v>
      </c>
      <c r="B1" s="737"/>
      <c r="C1" s="772" t="s">
        <v>3082</v>
      </c>
      <c r="D1" s="2047"/>
      <c r="E1" s="2408" t="s">
        <v>2375</v>
      </c>
      <c r="F1" s="2409">
        <f ca="1">J54</f>
        <v>0</v>
      </c>
      <c r="G1" s="773">
        <f>MATCH(C1,'数据-取费表'!A6:A16,0)+5</f>
        <v>9</v>
      </c>
      <c r="H1" s="1349"/>
      <c r="I1" s="2048"/>
      <c r="J1" s="2048"/>
      <c r="K1" s="2049"/>
      <c r="L1" s="2048"/>
      <c r="M1" s="2048"/>
      <c r="N1" s="2050"/>
      <c r="O1" s="2050"/>
      <c r="P1" s="2050"/>
      <c r="Q1" s="2050"/>
      <c r="R1" s="2050"/>
      <c r="S1" s="2050"/>
      <c r="T1" s="2050"/>
      <c r="U1" s="2050"/>
      <c r="V1" s="2050"/>
      <c r="W1" s="2050"/>
      <c r="X1" s="2050"/>
      <c r="Y1" s="2050"/>
    </row>
    <row r="2" spans="1:25" ht="18" customHeight="1">
      <c r="A2" s="1642" t="s">
        <v>629</v>
      </c>
      <c r="B2" s="774">
        <f ca="1">IF(ISERROR(C45+J31),0,C45+J31)</f>
        <v>1264</v>
      </c>
      <c r="C2" s="1350"/>
      <c r="D2" s="2052"/>
      <c r="E2" s="2053"/>
      <c r="F2" s="2053"/>
      <c r="G2" s="1588"/>
      <c r="H2" s="1362"/>
      <c r="I2" s="2054"/>
      <c r="J2" s="2054"/>
      <c r="K2" s="2055"/>
      <c r="L2" s="2054"/>
      <c r="M2" s="2054"/>
    </row>
    <row r="3" spans="1:25" ht="18" customHeight="1">
      <c r="A3" s="1643" t="s">
        <v>1687</v>
      </c>
      <c r="B3" s="1389">
        <f ca="1">ROUND(B2*10000/'数据-汇总表'!E3,0)</f>
        <v>195</v>
      </c>
      <c r="C3" s="1350"/>
      <c r="D3" s="2052"/>
      <c r="E3" s="2053"/>
      <c r="F3" s="2053"/>
      <c r="G3" s="1588"/>
      <c r="H3" s="775" t="s">
        <v>695</v>
      </c>
      <c r="I3" s="2054"/>
      <c r="J3" s="2054"/>
      <c r="K3" s="2055"/>
      <c r="L3" s="2054"/>
      <c r="M3" s="2054"/>
    </row>
    <row r="4" spans="1:25" ht="18" customHeight="1">
      <c r="A4" s="1644" t="s">
        <v>696</v>
      </c>
      <c r="B4" s="1351">
        <f ca="1">ROUND(B2*10000/'数据-汇总表'!D3,0)</f>
        <v>1033</v>
      </c>
      <c r="C4" s="427"/>
      <c r="D4" s="2052"/>
      <c r="E4" s="2053"/>
      <c r="F4" s="2053"/>
      <c r="G4" s="1588"/>
      <c r="H4" s="775"/>
      <c r="I4" s="2054"/>
      <c r="J4" s="2054"/>
      <c r="K4" s="2055"/>
      <c r="L4" s="2054"/>
      <c r="M4" s="2054"/>
    </row>
    <row r="5" spans="1:25" ht="18" customHeight="1" thickBot="1">
      <c r="A5" s="1645"/>
      <c r="B5" s="429">
        <f ca="1">ROUND(B2/('数据-汇总表'!D3/666.67),0)</f>
        <v>69</v>
      </c>
      <c r="C5" s="430" t="s">
        <v>697</v>
      </c>
      <c r="D5" s="2052"/>
      <c r="E5" s="2053"/>
      <c r="F5" s="2053"/>
      <c r="G5" s="1588"/>
      <c r="H5" s="775"/>
      <c r="I5" s="2054"/>
      <c r="J5" s="2054"/>
      <c r="K5" s="2055"/>
      <c r="L5" s="2054"/>
      <c r="M5" s="2054"/>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190</v>
      </c>
      <c r="D7" s="2517" t="s">
        <v>2462</v>
      </c>
      <c r="E7" s="2511"/>
      <c r="F7" s="2512"/>
      <c r="G7" s="1590"/>
      <c r="H7" s="780">
        <v>1</v>
      </c>
      <c r="I7" s="781" t="s">
        <v>2459</v>
      </c>
      <c r="J7" s="53">
        <f ca="1">J8+J12+J14</f>
        <v>0</v>
      </c>
      <c r="K7" s="2517" t="s">
        <v>2462</v>
      </c>
      <c r="L7" s="2511"/>
      <c r="M7" s="2512"/>
    </row>
    <row r="8" spans="1:25" ht="18" customHeight="1">
      <c r="A8" s="1828" t="s">
        <v>1825</v>
      </c>
      <c r="B8" s="3478" t="s">
        <v>2464</v>
      </c>
      <c r="C8" s="1823">
        <f ca="1">ROUND(F8*F10*F9*(1-F11)/10000,0)</f>
        <v>190</v>
      </c>
      <c r="D8" s="1820" t="s">
        <v>2535</v>
      </c>
      <c r="E8" s="61" t="s">
        <v>637</v>
      </c>
      <c r="F8" s="784">
        <f ca="1">INDIRECT("'数据-取费表'!u"&amp;$G$1)</f>
        <v>3.3</v>
      </c>
      <c r="G8" s="1590"/>
      <c r="H8" s="2525" t="s">
        <v>1825</v>
      </c>
      <c r="I8" s="3478" t="s">
        <v>2464</v>
      </c>
      <c r="J8" s="782">
        <f ca="1">ROUND(M8*M10*M9*(1-M11)/10000,0)</f>
        <v>0</v>
      </c>
      <c r="K8" s="340" t="s">
        <v>2535</v>
      </c>
      <c r="L8" s="783" t="s">
        <v>1739</v>
      </c>
      <c r="M8" s="784">
        <f ca="1">INDIRECT("'数据-取费表'!z"&amp;$G$1)</f>
        <v>0</v>
      </c>
    </row>
    <row r="9" spans="1:25" ht="18" customHeight="1">
      <c r="A9" s="2521"/>
      <c r="B9" s="3479"/>
      <c r="C9" s="1824"/>
      <c r="D9" s="1821"/>
      <c r="E9" s="61" t="s">
        <v>638</v>
      </c>
      <c r="F9" s="784">
        <f ca="1">IF(INDIRECT("'数据-取费表'!ah"&amp;$G$1)="",INDIRECT("'数据-取费表'!k"&amp;$G$1),INDIRECT("'数据-取费表'!ah"&amp;$G$1))</f>
        <v>1755</v>
      </c>
      <c r="G9" s="1590"/>
      <c r="H9" s="2510"/>
      <c r="I9" s="3479"/>
      <c r="J9" s="787"/>
      <c r="K9" s="788"/>
      <c r="L9" s="783" t="s">
        <v>1740</v>
      </c>
      <c r="M9" s="784">
        <f ca="1">F9</f>
        <v>1755</v>
      </c>
    </row>
    <row r="10" spans="1:25" ht="18" customHeight="1">
      <c r="A10" s="2514"/>
      <c r="B10" s="3480"/>
      <c r="C10" s="1824"/>
      <c r="D10" s="1821"/>
      <c r="E10" s="61" t="s">
        <v>639</v>
      </c>
      <c r="F10" s="784">
        <f ca="1">INDIRECT("'数据-取费表'!ai"&amp;$G$1)</f>
        <v>365</v>
      </c>
      <c r="G10" s="1590"/>
      <c r="H10" s="2510"/>
      <c r="I10" s="3480"/>
      <c r="J10" s="787"/>
      <c r="K10" s="788"/>
      <c r="L10" s="783" t="s">
        <v>1741</v>
      </c>
      <c r="M10" s="784">
        <f ca="1">INDIRECT("'数据-取费表'!ai"&amp;$G$1)</f>
        <v>365</v>
      </c>
    </row>
    <row r="11" spans="1:25" ht="18" customHeight="1">
      <c r="A11" s="785"/>
      <c r="B11" s="3481"/>
      <c r="C11" s="1824"/>
      <c r="D11" s="1821"/>
      <c r="E11" s="61" t="s">
        <v>640</v>
      </c>
      <c r="F11" s="793">
        <f ca="1">INDIRECT("'数据-取费表'!w"&amp;$G$1)</f>
        <v>0.1</v>
      </c>
      <c r="G11" s="1590"/>
      <c r="H11" s="2526"/>
      <c r="I11" s="3480"/>
      <c r="J11" s="787"/>
      <c r="K11" s="788"/>
      <c r="L11" s="794" t="s">
        <v>1742</v>
      </c>
      <c r="M11" s="795">
        <f ca="1">INDIRECT("'数据-取费表'!ab"&amp;$G$1)</f>
        <v>0</v>
      </c>
    </row>
    <row r="12" spans="1:25" ht="18" customHeight="1">
      <c r="A12" s="1828" t="s">
        <v>1826</v>
      </c>
      <c r="B12" s="2515" t="s">
        <v>2460</v>
      </c>
      <c r="C12" s="798">
        <f ca="1">ROUND(IF(F12="押一",C8/12*F13,IF(F12="押二",C8/12*2*F13,IF(F12="押三",C8/12*3*F13,C13*F13))),0)</f>
        <v>0</v>
      </c>
      <c r="D12" s="2522" t="s">
        <v>2971</v>
      </c>
      <c r="E12" s="2519" t="s">
        <v>2465</v>
      </c>
      <c r="F12" s="2642"/>
      <c r="G12" s="1590"/>
      <c r="H12" s="2582" t="s">
        <v>1826</v>
      </c>
      <c r="I12" s="2587" t="s">
        <v>2460</v>
      </c>
      <c r="J12" s="782">
        <f ca="1">ROUND(IF(M12="押一",J8/12*M13,IF(M12="押二",J8/12*2*M13,IF(M12="押三",J8/12*3*M13,J13*M13))),0)</f>
        <v>0</v>
      </c>
      <c r="K12" s="2522" t="s">
        <v>2971</v>
      </c>
      <c r="L12" s="2519" t="s">
        <v>2465</v>
      </c>
      <c r="M12" s="2642"/>
    </row>
    <row r="13" spans="1:25" ht="18" customHeight="1">
      <c r="A13" s="789"/>
      <c r="B13" s="2516" t="s">
        <v>2574</v>
      </c>
      <c r="C13" s="2520"/>
      <c r="D13" s="788"/>
      <c r="E13" s="2519" t="s">
        <v>2457</v>
      </c>
      <c r="F13" s="795">
        <f ca="1">'数据-取费表'!B39</f>
        <v>1.4999999999999999E-2</v>
      </c>
      <c r="G13" s="1590"/>
      <c r="H13" s="2583"/>
      <c r="I13" s="2516" t="s">
        <v>2574</v>
      </c>
      <c r="J13" s="2520"/>
      <c r="K13" s="2584"/>
      <c r="L13" s="2519" t="s">
        <v>2457</v>
      </c>
      <c r="M13" s="2513">
        <f ca="1">'数据-取费表'!B39</f>
        <v>1.4999999999999999E-2</v>
      </c>
    </row>
    <row r="14" spans="1:25" ht="18" customHeight="1" thickBot="1">
      <c r="A14" s="2558" t="s">
        <v>2468</v>
      </c>
      <c r="B14" s="2559" t="s">
        <v>2461</v>
      </c>
      <c r="C14" s="2560"/>
      <c r="D14" s="2561"/>
      <c r="E14" s="2562"/>
      <c r="F14" s="2563"/>
      <c r="G14" s="1590"/>
      <c r="H14" s="2572" t="s">
        <v>2468</v>
      </c>
      <c r="I14" s="2585" t="s">
        <v>2461</v>
      </c>
      <c r="J14" s="2586"/>
      <c r="K14" s="2561"/>
      <c r="L14" s="2562"/>
      <c r="M14" s="2575"/>
    </row>
    <row r="15" spans="1:25" ht="18" customHeight="1" thickTop="1">
      <c r="A15" s="1827" t="s">
        <v>1875</v>
      </c>
      <c r="B15" s="1825" t="s">
        <v>641</v>
      </c>
      <c r="C15" s="791">
        <f ca="1">ROUND(C31*F15,0)</f>
        <v>667</v>
      </c>
      <c r="D15" s="1832" t="s">
        <v>642</v>
      </c>
      <c r="E15" s="794" t="s">
        <v>643</v>
      </c>
      <c r="F15" s="799">
        <f ca="1">INDIRECT("'数据-取费表'!y"&amp;$G$1)</f>
        <v>1</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473</v>
      </c>
      <c r="D16" s="1976" t="s">
        <v>646</v>
      </c>
      <c r="E16" s="1977"/>
      <c r="F16" s="804"/>
      <c r="G16" s="1590"/>
      <c r="H16" s="802" t="s">
        <v>2069</v>
      </c>
      <c r="I16" s="2228" t="s">
        <v>2825</v>
      </c>
      <c r="J16" s="53">
        <f ca="1">C31</f>
        <v>667</v>
      </c>
      <c r="K16" s="26"/>
      <c r="L16" s="800"/>
      <c r="M16" s="801"/>
    </row>
    <row r="17" spans="1:25" s="2061" customFormat="1" ht="18" customHeight="1">
      <c r="A17" s="802" t="s">
        <v>1850</v>
      </c>
      <c r="B17" s="783" t="s">
        <v>647</v>
      </c>
      <c r="C17" s="53">
        <f ca="1">ROUND(C16*F17,0)</f>
        <v>14</v>
      </c>
      <c r="D17" s="805" t="s">
        <v>648</v>
      </c>
      <c r="E17" s="805" t="s">
        <v>649</v>
      </c>
      <c r="F17" s="806">
        <f>'数据-取费表'!B33</f>
        <v>0.03</v>
      </c>
      <c r="G17" s="1591"/>
      <c r="H17" s="802" t="s">
        <v>2070</v>
      </c>
      <c r="I17" s="783" t="s">
        <v>643</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16</v>
      </c>
      <c r="K18" s="26" t="s">
        <v>652</v>
      </c>
      <c r="L18" s="1979"/>
      <c r="M18" s="56"/>
    </row>
    <row r="19" spans="1:25" s="2061" customFormat="1" ht="18" customHeight="1">
      <c r="A19" s="802" t="s">
        <v>1852</v>
      </c>
      <c r="B19" s="783" t="s">
        <v>653</v>
      </c>
      <c r="C19" s="53">
        <f ca="1">ROUND(F19*(INDIRECT("'数据-取费表'!k"&amp;$G$1)+INDIRECT("'数据-取费表'!S"&amp;$G$1))/10000,0)</f>
        <v>38</v>
      </c>
      <c r="D19" s="783" t="s">
        <v>654</v>
      </c>
      <c r="E19" s="783" t="s">
        <v>655</v>
      </c>
      <c r="F19" s="56">
        <f>'数据-取费表'!B35</f>
        <v>200</v>
      </c>
      <c r="G19" s="1591"/>
      <c r="H19" s="802" t="s">
        <v>2069</v>
      </c>
      <c r="I19" s="783" t="s">
        <v>656</v>
      </c>
      <c r="J19" s="53">
        <f ca="1">ROUND(IF(项目基本情况!B11="自然人",J7*M19,J20+J21+J22),0)</f>
        <v>6</v>
      </c>
      <c r="K19" s="1976" t="s">
        <v>657</v>
      </c>
      <c r="L19" s="1974" t="s">
        <v>658</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1853</v>
      </c>
      <c r="B20" s="783" t="s">
        <v>659</v>
      </c>
      <c r="C20" s="53">
        <f ca="1">ROUND(C16*F20,0)</f>
        <v>7</v>
      </c>
      <c r="D20" s="783" t="s">
        <v>648</v>
      </c>
      <c r="E20" s="783" t="s">
        <v>649</v>
      </c>
      <c r="F20" s="808">
        <f>'数据-取费表'!B36</f>
        <v>1.4999999999999999E-2</v>
      </c>
      <c r="G20" s="1591"/>
      <c r="H20" s="802" t="s">
        <v>1832</v>
      </c>
      <c r="I20" s="783" t="s">
        <v>660</v>
      </c>
      <c r="J20" s="53">
        <f ca="1">ROUND(J7*M20/1.05,1)</f>
        <v>0</v>
      </c>
      <c r="K20" s="1974" t="s">
        <v>661</v>
      </c>
      <c r="L20" s="783" t="s">
        <v>649</v>
      </c>
      <c r="M20" s="808">
        <f>'数据-取费表'!B41</f>
        <v>5.6000000000000001E-2</v>
      </c>
      <c r="N20" s="2060"/>
      <c r="O20" s="2060"/>
      <c r="P20" s="2060"/>
      <c r="Q20" s="2060"/>
      <c r="R20" s="2060"/>
      <c r="S20" s="2060"/>
      <c r="T20" s="2060"/>
      <c r="U20" s="2060"/>
      <c r="V20" s="2060"/>
      <c r="W20" s="2060"/>
      <c r="X20" s="2060"/>
      <c r="Y20" s="2060"/>
    </row>
    <row r="21" spans="1:25" ht="18" customHeight="1">
      <c r="A21" s="802" t="s">
        <v>1877</v>
      </c>
      <c r="B21" s="783" t="s">
        <v>662</v>
      </c>
      <c r="C21" s="53">
        <f ca="1">SUM(C16:C20)</f>
        <v>532</v>
      </c>
      <c r="D21" s="260" t="s">
        <v>663</v>
      </c>
      <c r="E21" s="1979"/>
      <c r="F21" s="56"/>
      <c r="G21" s="1590"/>
      <c r="H21" s="1828" t="s">
        <v>1850</v>
      </c>
      <c r="I21" s="783" t="s">
        <v>664</v>
      </c>
      <c r="J21" s="53">
        <f ca="1">IF(K21="按租金收入计税",ROUND(J7*M21,1),ROUND(C31*F35*0.7,1))</f>
        <v>5.6</v>
      </c>
      <c r="K21" s="810" t="s">
        <v>665</v>
      </c>
      <c r="L21" s="783" t="s">
        <v>649</v>
      </c>
      <c r="M21" s="808">
        <f>IF(K21="按租金收入计税",'数据-取费表'!B51,'数据-取费表'!B50)</f>
        <v>1.2E-2</v>
      </c>
    </row>
    <row r="22" spans="1:25" s="2061" customFormat="1" ht="18" customHeight="1">
      <c r="A22" s="802" t="s">
        <v>1878</v>
      </c>
      <c r="B22" s="783" t="s">
        <v>666</v>
      </c>
      <c r="C22" s="53">
        <f ca="1">ROUND(C21*F22,0)</f>
        <v>11</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0"/>
      <c r="O22" s="2060"/>
      <c r="P22" s="2060"/>
      <c r="Q22" s="2060"/>
      <c r="R22" s="2060"/>
      <c r="S22" s="2060"/>
      <c r="T22" s="2060"/>
      <c r="U22" s="2060"/>
      <c r="V22" s="2060"/>
      <c r="W22" s="2060"/>
      <c r="X22" s="2060"/>
      <c r="Y22" s="2060"/>
    </row>
    <row r="23" spans="1:25" s="2061"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361.48</v>
      </c>
      <c r="N23" s="2060"/>
      <c r="O23" s="2060"/>
      <c r="P23" s="2060"/>
      <c r="Q23" s="2060"/>
      <c r="R23" s="2060"/>
      <c r="S23" s="2060"/>
      <c r="T23" s="2060"/>
      <c r="U23" s="2060"/>
      <c r="V23" s="2060"/>
      <c r="W23" s="2060"/>
      <c r="X23" s="2060"/>
      <c r="Y23" s="2060"/>
    </row>
    <row r="24" spans="1:25" ht="18" customHeight="1">
      <c r="A24" s="802" t="s">
        <v>1880</v>
      </c>
      <c r="B24" s="783" t="s">
        <v>675</v>
      </c>
      <c r="C24" s="53"/>
      <c r="D24" s="2593" t="str">
        <f>IF(F25&lt;=1,"单利计息。","复利计息。")&amp;"建造成本、管理费用、销售费用产生的利息。"</f>
        <v>复利计息。建造成本、管理费用、销售费用产生的利息。</v>
      </c>
      <c r="E24" s="1979"/>
      <c r="F24" s="56"/>
      <c r="G24" s="1590"/>
      <c r="H24" s="1829" t="s">
        <v>2070</v>
      </c>
      <c r="I24" s="783" t="s">
        <v>676</v>
      </c>
      <c r="J24" s="53">
        <f ca="1">ROUND(J16*M24,0)</f>
        <v>10</v>
      </c>
      <c r="K24" s="1974" t="s">
        <v>677</v>
      </c>
      <c r="L24" s="783" t="s">
        <v>649</v>
      </c>
      <c r="M24" s="816">
        <f ca="1">INDIRECT("'数据-取费表'!Ak"&amp;$G$1)</f>
        <v>1.4999999999999999E-2</v>
      </c>
    </row>
    <row r="25" spans="1:25" s="2061" customFormat="1" ht="18" customHeight="1">
      <c r="A25" s="802" t="s">
        <v>1876</v>
      </c>
      <c r="B25" s="783" t="s">
        <v>2438</v>
      </c>
      <c r="C25" s="53">
        <f ca="1">ROUND(IF('数据-取费表'!B22&lt;=1,(C21+C22)*F26*F25/2,(C21+C22)*(POWER((1+F26),F25/2)-1)),0)</f>
        <v>19</v>
      </c>
      <c r="D25" s="2592" t="str">
        <f>IF(F25&lt;=1,"(建造成本+管理费用)×利率×(建设周期÷2)","(建造成本+管理费用)×((1+利率)^(建设周期÷2)-1)")</f>
        <v>(建造成本+管理费用)×((1+利率)^(建设周期÷2)-1)</v>
      </c>
      <c r="E25" s="783" t="s">
        <v>678</v>
      </c>
      <c r="F25" s="639">
        <f>'数据-取费表'!B20</f>
        <v>1.5</v>
      </c>
      <c r="G25" s="1591"/>
      <c r="H25" s="802" t="s">
        <v>1879</v>
      </c>
      <c r="I25" s="783" t="s">
        <v>679</v>
      </c>
      <c r="J25" s="53">
        <f ca="1">ROUND(J15*M25,0)</f>
        <v>0</v>
      </c>
      <c r="K25" s="1974" t="s">
        <v>680</v>
      </c>
      <c r="L25" s="783" t="s">
        <v>649</v>
      </c>
      <c r="M25" s="817">
        <f ca="1">INDIRECT("'数据-取费表'!Al"&amp;$G$1)</f>
        <v>1.5E-3</v>
      </c>
      <c r="N25" s="2060"/>
      <c r="O25" s="2060"/>
      <c r="P25" s="2060"/>
      <c r="Q25" s="2060"/>
      <c r="R25" s="2060"/>
      <c r="S25" s="2060"/>
      <c r="T25" s="2060"/>
      <c r="U25" s="2060"/>
      <c r="V25" s="2060"/>
      <c r="W25" s="2060"/>
      <c r="X25" s="2060"/>
      <c r="Y25" s="2060"/>
    </row>
    <row r="26" spans="1:25" s="2061" customFormat="1" ht="18" customHeight="1">
      <c r="A26" s="802" t="s">
        <v>1850</v>
      </c>
      <c r="B26" s="783" t="s">
        <v>681</v>
      </c>
      <c r="C26" s="53">
        <f ca="1">ROUND(IF('数据-取费表'!B22&lt;=1,F23*F26*F25/2,F23*(POWER((1+F26),F25/2)-1)),4)</f>
        <v>6.9999999999999999E-4</v>
      </c>
      <c r="D26" s="2592"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4" t="s">
        <v>683</v>
      </c>
      <c r="L26" s="783" t="s">
        <v>649</v>
      </c>
      <c r="M26" s="793">
        <f ca="1">INDIRECT("'数据-取费表'!Am"&amp;$G$1)</f>
        <v>0.01</v>
      </c>
      <c r="N26" s="2060"/>
      <c r="O26" s="2060"/>
      <c r="P26" s="2060"/>
      <c r="Q26" s="2060"/>
      <c r="R26" s="2060"/>
      <c r="S26" s="2060"/>
      <c r="T26" s="2060"/>
      <c r="U26" s="2060"/>
      <c r="V26" s="2060"/>
      <c r="W26" s="2060"/>
      <c r="X26" s="2060"/>
      <c r="Y26" s="2060"/>
    </row>
    <row r="27" spans="1:25" ht="18" customHeight="1">
      <c r="A27" s="802" t="s">
        <v>1882</v>
      </c>
      <c r="B27" s="783" t="s">
        <v>684</v>
      </c>
      <c r="C27" s="53"/>
      <c r="D27" s="260" t="s">
        <v>685</v>
      </c>
      <c r="E27" s="1979"/>
      <c r="F27" s="56"/>
      <c r="G27" s="1590"/>
      <c r="H27" s="796" t="s">
        <v>1829</v>
      </c>
      <c r="I27" s="3032" t="s">
        <v>2822</v>
      </c>
      <c r="J27" s="798">
        <f ca="1">J7-J18</f>
        <v>-16</v>
      </c>
      <c r="K27" s="1976" t="s">
        <v>700</v>
      </c>
      <c r="L27" s="1978"/>
      <c r="M27" s="819"/>
    </row>
    <row r="28" spans="1:25" ht="18" customHeight="1">
      <c r="A28" s="802" t="s">
        <v>1876</v>
      </c>
      <c r="B28" s="783" t="s">
        <v>2439</v>
      </c>
      <c r="C28" s="53">
        <f ca="1">ROUND((C21+C22)*F28,0)</f>
        <v>54</v>
      </c>
      <c r="D28" s="811" t="s">
        <v>701</v>
      </c>
      <c r="E28" s="794" t="s">
        <v>702</v>
      </c>
      <c r="F28" s="793">
        <f ca="1">INDIRECT("'数据-取费表'!q"&amp;$G$1)</f>
        <v>0.1</v>
      </c>
      <c r="G28" s="1590"/>
      <c r="H28" s="780" t="s">
        <v>1838</v>
      </c>
      <c r="I28" s="781" t="s">
        <v>703</v>
      </c>
      <c r="J28" s="782">
        <f ca="1">IF(J7&lt;&gt;0,ROUND(J27*(1-((1+M30)/(1+M28))^M29)/(M28-M30),0),0)</f>
        <v>0</v>
      </c>
      <c r="K28" s="813" t="s">
        <v>704</v>
      </c>
      <c r="L28" s="783" t="s">
        <v>705</v>
      </c>
      <c r="M28" s="793">
        <f ca="1">INDIRECT("'数据-取费表'!I"&amp;$G$1)</f>
        <v>0.09</v>
      </c>
    </row>
    <row r="29" spans="1:25" ht="18" customHeight="1">
      <c r="A29" s="802" t="s">
        <v>1850</v>
      </c>
      <c r="B29" s="783" t="s">
        <v>686</v>
      </c>
      <c r="C29" s="53">
        <f ca="1">ROUND(F23*F28,4)</f>
        <v>2E-3</v>
      </c>
      <c r="D29" s="811" t="s">
        <v>706</v>
      </c>
      <c r="E29" s="805"/>
      <c r="F29" s="806"/>
      <c r="G29" s="1590"/>
      <c r="H29" s="785"/>
      <c r="I29" s="786"/>
      <c r="J29" s="787"/>
      <c r="K29" s="820" t="s">
        <v>707</v>
      </c>
      <c r="L29" s="783" t="s">
        <v>708</v>
      </c>
      <c r="M29" s="821">
        <f ca="1">INDIRECT("'数据-取费表'!ag"&amp;$G$1)</f>
        <v>0</v>
      </c>
    </row>
    <row r="30" spans="1:25" s="2061"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1884</v>
      </c>
      <c r="B31" s="2562" t="s">
        <v>2823</v>
      </c>
      <c r="C31" s="2565">
        <f ca="1">ROUND((C21+C22+C25+C28)/(1-F23-C26-C29-C30),0)</f>
        <v>667</v>
      </c>
      <c r="D31" s="2566"/>
      <c r="E31" s="2567"/>
      <c r="F31" s="2568"/>
      <c r="G31" s="1591"/>
      <c r="H31" s="822" t="s">
        <v>1873</v>
      </c>
      <c r="I31" s="3033" t="s">
        <v>2824</v>
      </c>
      <c r="J31" s="824">
        <f ca="1">ROUND(J28/(1+F45)^F46,0)</f>
        <v>0</v>
      </c>
      <c r="K31" s="825" t="s">
        <v>688</v>
      </c>
      <c r="L31" s="826"/>
      <c r="M31" s="827">
        <f ca="1">INDIRECT("'数据-取费表'!k"&amp;$G$1)</f>
        <v>1755</v>
      </c>
      <c r="N31" s="2060"/>
      <c r="O31" s="2060"/>
      <c r="P31" s="2060"/>
      <c r="Q31" s="2060"/>
      <c r="R31" s="2060"/>
      <c r="S31" s="2060"/>
      <c r="T31" s="2060"/>
      <c r="U31" s="2060"/>
      <c r="V31" s="2060"/>
      <c r="W31" s="2060"/>
      <c r="X31" s="2060"/>
      <c r="Y31" s="2060"/>
    </row>
    <row r="32" spans="1:25" ht="18" customHeight="1" thickTop="1">
      <c r="A32" s="1827" t="s">
        <v>7</v>
      </c>
      <c r="B32" s="1825" t="s">
        <v>689</v>
      </c>
      <c r="C32" s="791">
        <f ca="1">ROUND(C33+C38+C39+C40,0)</f>
        <v>29</v>
      </c>
      <c r="D32" s="1819" t="s">
        <v>652</v>
      </c>
      <c r="E32" s="2508"/>
      <c r="F32" s="2512"/>
      <c r="G32" s="2059"/>
      <c r="H32" s="2062"/>
      <c r="I32" s="2063"/>
      <c r="J32" s="2064"/>
      <c r="K32" s="2065"/>
      <c r="L32" s="2066"/>
      <c r="M32" s="2067"/>
    </row>
    <row r="33" spans="1:18" ht="18" customHeight="1">
      <c r="A33" s="802" t="s">
        <v>1877</v>
      </c>
      <c r="B33" s="783" t="s">
        <v>656</v>
      </c>
      <c r="C33" s="53">
        <f ca="1">ROUND(IF(项目基本情况!B11="自然人",C7*F33,C34+C35+C36),1)</f>
        <v>15.8</v>
      </c>
      <c r="D33" s="1976" t="s">
        <v>657</v>
      </c>
      <c r="E33" s="1974" t="s">
        <v>690</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1876</v>
      </c>
      <c r="B34" s="783" t="s">
        <v>660</v>
      </c>
      <c r="C34" s="53">
        <f ca="1">ROUND(C7*F34/1.05,1)</f>
        <v>10.1</v>
      </c>
      <c r="D34" s="1974" t="s">
        <v>661</v>
      </c>
      <c r="E34" s="783" t="s">
        <v>649</v>
      </c>
      <c r="F34" s="808">
        <f>'数据-取费表'!B41</f>
        <v>5.6000000000000001E-2</v>
      </c>
      <c r="G34" s="2059"/>
      <c r="H34" s="2068"/>
      <c r="I34" s="2069"/>
      <c r="J34" s="2070"/>
      <c r="K34" s="2071"/>
      <c r="L34" s="2072"/>
      <c r="M34" s="2073"/>
    </row>
    <row r="35" spans="1:18" ht="18" customHeight="1">
      <c r="A35" s="802" t="s">
        <v>1850</v>
      </c>
      <c r="B35" s="783" t="s">
        <v>664</v>
      </c>
      <c r="C35" s="53">
        <f ca="1">IF(D35="按租金收入计税",ROUND(C7*F35,1),IF(D35="按房产原值计税",ROUND(C31*F35*0.7,1),INDIRECT("'数据-取费表'!Aj"&amp;$G$1)))</f>
        <v>5.6</v>
      </c>
      <c r="D35" s="810" t="s">
        <v>1681</v>
      </c>
      <c r="E35" s="783" t="s">
        <v>649</v>
      </c>
      <c r="F35" s="808">
        <f>IF(D35="按租金收入计税",'数据-取费表'!B51,'数据-取费表'!B50)</f>
        <v>1.2E-2</v>
      </c>
      <c r="G35" s="2059"/>
      <c r="H35" s="2074"/>
      <c r="I35" s="2074"/>
      <c r="J35" s="2074"/>
      <c r="K35" s="2075"/>
      <c r="L35" s="2074"/>
      <c r="M35" s="2074"/>
    </row>
    <row r="36" spans="1:18" ht="18" customHeight="1">
      <c r="A36" s="812" t="s">
        <v>1881</v>
      </c>
      <c r="B36" s="340" t="s">
        <v>668</v>
      </c>
      <c r="C36" s="54">
        <f ca="1">ROUND(F36*F37/10000,1)</f>
        <v>0.1</v>
      </c>
      <c r="D36" s="813" t="s">
        <v>669</v>
      </c>
      <c r="E36" s="783" t="s">
        <v>670</v>
      </c>
      <c r="F36" s="639">
        <f>'数据-取费表'!B52</f>
        <v>3</v>
      </c>
      <c r="G36" s="2059"/>
      <c r="H36" s="2062"/>
      <c r="I36" s="3477"/>
      <c r="J36" s="2076"/>
      <c r="K36" s="2077"/>
      <c r="L36" s="2076"/>
      <c r="M36" s="2076"/>
    </row>
    <row r="37" spans="1:18" ht="18" customHeight="1">
      <c r="A37" s="814"/>
      <c r="B37" s="792"/>
      <c r="C37" s="69"/>
      <c r="D37" s="815"/>
      <c r="E37" s="783" t="s">
        <v>674</v>
      </c>
      <c r="F37" s="784">
        <f ca="1">INDIRECT("'数据-取费表'!r"&amp;$G$1)</f>
        <v>361.48</v>
      </c>
      <c r="G37" s="2059"/>
      <c r="H37" s="2062"/>
      <c r="I37" s="3477"/>
      <c r="J37" s="2074"/>
      <c r="K37" s="2075"/>
      <c r="L37" s="2074"/>
      <c r="M37" s="2074"/>
    </row>
    <row r="38" spans="1:18" ht="18" customHeight="1">
      <c r="A38" s="802" t="s">
        <v>1878</v>
      </c>
      <c r="B38" s="783" t="s">
        <v>676</v>
      </c>
      <c r="C38" s="53">
        <f ca="1">ROUND(C31*F38,1)</f>
        <v>10</v>
      </c>
      <c r="D38" s="1974" t="s">
        <v>691</v>
      </c>
      <c r="E38" s="783" t="s">
        <v>649</v>
      </c>
      <c r="F38" s="816">
        <f ca="1">INDIRECT("'数据-取费表'!Ak"&amp;$G$1)</f>
        <v>1.4999999999999999E-2</v>
      </c>
      <c r="G38" s="2059"/>
      <c r="H38" s="2074"/>
      <c r="I38" s="2078"/>
      <c r="J38" s="1985"/>
      <c r="K38" s="2079"/>
      <c r="L38" s="2074"/>
      <c r="M38" s="2074"/>
    </row>
    <row r="39" spans="1:18" ht="18" customHeight="1">
      <c r="A39" s="802" t="s">
        <v>1879</v>
      </c>
      <c r="B39" s="783" t="s">
        <v>679</v>
      </c>
      <c r="C39" s="53">
        <f ca="1">ROUND(C15*F39,1)</f>
        <v>1</v>
      </c>
      <c r="D39" s="1974" t="s">
        <v>680</v>
      </c>
      <c r="E39" s="783" t="s">
        <v>649</v>
      </c>
      <c r="F39" s="817">
        <f ca="1">INDIRECT("'数据-取费表'!Al"&amp;$G$1)</f>
        <v>1.5E-3</v>
      </c>
      <c r="G39" s="2059"/>
      <c r="H39" s="2074"/>
      <c r="I39" s="2078"/>
      <c r="J39" s="1985"/>
      <c r="K39" s="2079"/>
      <c r="L39" s="2074"/>
      <c r="M39" s="2074"/>
    </row>
    <row r="40" spans="1:18" ht="18" customHeight="1" thickBot="1">
      <c r="A40" s="2581" t="s">
        <v>1880</v>
      </c>
      <c r="B40" s="2567" t="s">
        <v>666</v>
      </c>
      <c r="C40" s="2565">
        <f ca="1">ROUND(C7*F40,1)</f>
        <v>1.9</v>
      </c>
      <c r="D40" s="2566" t="s">
        <v>683</v>
      </c>
      <c r="E40" s="2567" t="s">
        <v>649</v>
      </c>
      <c r="F40" s="2563">
        <f ca="1">INDIRECT("'数据-取费表'!Am"&amp;$G$1)</f>
        <v>0.01</v>
      </c>
      <c r="G40" s="2059"/>
      <c r="H40" s="2074"/>
      <c r="I40" s="2078"/>
      <c r="J40" s="1985"/>
      <c r="K40" s="2080"/>
      <c r="L40" s="2074"/>
      <c r="M40" s="2074"/>
    </row>
    <row r="41" spans="1:18" ht="18" customHeight="1" thickTop="1">
      <c r="A41" s="1827">
        <v>4</v>
      </c>
      <c r="B41" s="1825" t="s">
        <v>692</v>
      </c>
      <c r="C41" s="1352"/>
      <c r="D41" s="1353"/>
      <c r="E41" s="1353"/>
      <c r="F41" s="1354"/>
      <c r="G41" s="2059"/>
      <c r="H41" s="2059"/>
      <c r="I41" s="2059"/>
      <c r="J41" s="2059"/>
      <c r="K41" s="2080"/>
      <c r="L41" s="2059"/>
      <c r="M41" s="2059"/>
    </row>
    <row r="42" spans="1:18" ht="18" customHeight="1">
      <c r="A42" s="802" t="s">
        <v>1877</v>
      </c>
      <c r="B42" s="834" t="s">
        <v>693</v>
      </c>
      <c r="C42" s="828">
        <f ca="1">C7-C32</f>
        <v>161</v>
      </c>
      <c r="D42" s="1976" t="s">
        <v>694</v>
      </c>
      <c r="E42" s="1978"/>
      <c r="F42" s="819"/>
      <c r="G42" s="2059"/>
      <c r="H42" s="2059"/>
      <c r="I42" s="2059"/>
      <c r="J42" s="2059"/>
      <c r="K42" s="2080"/>
      <c r="L42" s="2059"/>
      <c r="M42" s="2059"/>
    </row>
    <row r="43" spans="1:18" ht="18" customHeight="1">
      <c r="A43" s="802" t="s">
        <v>1878</v>
      </c>
      <c r="B43" s="834" t="s">
        <v>711</v>
      </c>
      <c r="C43" s="835">
        <f ca="1">ROUND(C15*F43,0)</f>
        <v>57</v>
      </c>
      <c r="D43" s="1355" t="s">
        <v>712</v>
      </c>
      <c r="E43" s="3146" t="s">
        <v>2959</v>
      </c>
      <c r="F43" s="3147">
        <f ca="1">INDIRECT("'数据-取费表'!j"&amp;$G$1)</f>
        <v>8.5000000000000006E-2</v>
      </c>
      <c r="G43" s="2059"/>
      <c r="H43" s="2059"/>
      <c r="I43" s="2059"/>
      <c r="J43" s="2059"/>
      <c r="K43" s="2080"/>
      <c r="L43" s="2059"/>
      <c r="M43" s="2059"/>
    </row>
    <row r="44" spans="1:18" ht="18" customHeight="1">
      <c r="A44" s="802" t="s">
        <v>1879</v>
      </c>
      <c r="B44" s="834" t="s">
        <v>713</v>
      </c>
      <c r="C44" s="1356">
        <f ca="1">C42-C43</f>
        <v>104</v>
      </c>
      <c r="D44" s="462" t="s">
        <v>714</v>
      </c>
      <c r="E44" s="463"/>
      <c r="F44" s="464"/>
      <c r="G44" s="2059"/>
      <c r="H44" s="2059"/>
      <c r="I44" s="2059"/>
      <c r="J44" s="2059"/>
      <c r="K44" s="2080"/>
      <c r="L44" s="2059"/>
      <c r="M44" s="2059"/>
    </row>
    <row r="45" spans="1:18" ht="18" customHeight="1">
      <c r="A45" s="802" t="s">
        <v>1880</v>
      </c>
      <c r="B45" s="1355" t="s">
        <v>715</v>
      </c>
      <c r="C45" s="3057">
        <f ca="1">ROUND(-PV(F45,F46,C44,0),0)</f>
        <v>1264</v>
      </c>
      <c r="D45" s="1357" t="s">
        <v>716</v>
      </c>
      <c r="E45" s="805" t="s">
        <v>717</v>
      </c>
      <c r="F45" s="829">
        <f ca="1">INDIRECT("'数据-取费表'!h"&amp;$G$1)</f>
        <v>0.08</v>
      </c>
      <c r="G45" s="2059"/>
      <c r="H45" s="2059"/>
      <c r="I45" s="2059"/>
      <c r="J45" s="2059"/>
      <c r="K45" s="2080"/>
      <c r="L45" s="2059"/>
      <c r="M45" s="2059"/>
    </row>
    <row r="46" spans="1:18" ht="18" customHeight="1" thickBot="1">
      <c r="A46" s="830"/>
      <c r="B46" s="1358"/>
      <c r="C46" s="1359"/>
      <c r="D46" s="1360"/>
      <c r="E46" s="3148" t="s">
        <v>2962</v>
      </c>
      <c r="F46" s="827">
        <f ca="1">IF(INDIRECT("'数据-取费表'!af"&amp;$G$1)=0,INDIRECT("'数据-取费表'!ae"&amp;$G$1),INDIRECT("'数据-取费表'!af"&amp;$G$1))</f>
        <v>46.61</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e">
        <f ca="1">IF(M48="住宅",0,IF(L49&gt;J52,L61,J61))</f>
        <v>#DIV/0!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50</v>
      </c>
      <c r="M48" s="3143"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48.11</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667</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23</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482"/>
      <c r="L54" s="3483"/>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120" t="s">
        <v>2356</v>
      </c>
      <c r="J56" s="3144"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143" t="s">
        <v>1679</v>
      </c>
      <c r="K57" s="2380" t="s">
        <v>2363</v>
      </c>
      <c r="L57" s="2389">
        <f ca="1">IF(L49&lt;J52,"——",L49-J52)</f>
        <v>48.11</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23</v>
      </c>
      <c r="O58" s="2419" t="s">
        <v>2380</v>
      </c>
      <c r="P58" s="2420" t="s">
        <v>2406</v>
      </c>
      <c r="Q58" s="2421">
        <f ca="1">C41+J31</f>
        <v>0</v>
      </c>
      <c r="R58" s="2420" t="s">
        <v>2381</v>
      </c>
    </row>
    <row r="59" spans="1:18" s="2056" customFormat="1" ht="29.25" thickBot="1">
      <c r="A59" s="2093"/>
      <c r="B59" s="2094"/>
      <c r="C59" s="2094"/>
      <c r="I59" s="2401" t="s">
        <v>2360</v>
      </c>
      <c r="J59" s="3145"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122" t="s">
        <v>2938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123">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124">
        <v>0</v>
      </c>
      <c r="O65" s="2425" t="s">
        <v>2416</v>
      </c>
      <c r="P65" s="1590"/>
      <c r="Q65" s="1602"/>
      <c r="R65" s="1590"/>
    </row>
    <row r="66" spans="1:18" s="2056" customFormat="1" ht="15.75" thickBot="1">
      <c r="A66" s="2093"/>
      <c r="B66" s="2094"/>
      <c r="C66" s="2094"/>
      <c r="I66" s="2406" t="s">
        <v>2373</v>
      </c>
      <c r="J66" s="2407">
        <v>40</v>
      </c>
      <c r="K66" s="2407">
        <v>30</v>
      </c>
      <c r="L66" s="2407">
        <v>50</v>
      </c>
      <c r="M66" s="3123">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23</v>
      </c>
      <c r="R69" s="2427" t="s">
        <v>2417</v>
      </c>
    </row>
    <row r="70" spans="1:18" s="2056" customFormat="1" ht="20.25" thickBot="1">
      <c r="A70" s="2093"/>
      <c r="B70" s="2094"/>
      <c r="C70" s="2094"/>
      <c r="K70" s="2083"/>
      <c r="O70" s="2422" t="s">
        <v>2385</v>
      </c>
      <c r="P70" s="2428" t="s">
        <v>2399</v>
      </c>
      <c r="Q70" s="2421">
        <f ca="1">ROUND(Q71-Q72*Q73,0)</f>
        <v>104</v>
      </c>
      <c r="R70" s="2424"/>
    </row>
    <row r="71" spans="1:18" s="2056" customFormat="1" ht="15.75" thickBot="1">
      <c r="A71" s="2093"/>
      <c r="B71" s="2094"/>
      <c r="C71" s="2094"/>
      <c r="K71" s="2083"/>
      <c r="O71" s="2422" t="s">
        <v>2400</v>
      </c>
      <c r="P71" s="2428" t="s">
        <v>2401</v>
      </c>
      <c r="Q71" s="2421">
        <f ca="1">C42</f>
        <v>161</v>
      </c>
      <c r="R71" s="2420" t="s">
        <v>2381</v>
      </c>
    </row>
    <row r="72" spans="1:18" s="2056" customFormat="1" ht="15.75" thickBot="1">
      <c r="A72" s="2093"/>
      <c r="B72" s="2094"/>
      <c r="C72" s="2094"/>
      <c r="K72" s="2083"/>
      <c r="O72" s="2422" t="s">
        <v>2402</v>
      </c>
      <c r="P72" s="2428" t="s">
        <v>2403</v>
      </c>
      <c r="Q72" s="2421">
        <f ca="1">C15</f>
        <v>667</v>
      </c>
      <c r="R72" s="2420" t="s">
        <v>2381</v>
      </c>
    </row>
    <row r="73" spans="1:18" s="2056" customFormat="1" ht="15.75" thickBot="1">
      <c r="A73" s="2093"/>
      <c r="B73" s="2094"/>
      <c r="C73" s="2094"/>
      <c r="K73" s="2083"/>
      <c r="O73" s="2422" t="s">
        <v>2404</v>
      </c>
      <c r="P73" s="2428" t="s">
        <v>2405</v>
      </c>
      <c r="Q73" s="2423">
        <f ca="1">F43</f>
        <v>8.5000000000000006E-2</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90" t="s">
        <v>2577</v>
      </c>
      <c r="C1" s="3490"/>
      <c r="D1" s="3490"/>
      <c r="E1" s="3490"/>
      <c r="F1" s="3490"/>
      <c r="G1" s="3489" t="s">
        <v>2578</v>
      </c>
      <c r="H1" s="3489"/>
      <c r="I1" s="3489"/>
      <c r="J1" s="3489"/>
      <c r="K1" s="3489"/>
      <c r="L1" s="3489"/>
      <c r="N1" s="3489" t="s">
        <v>2579</v>
      </c>
      <c r="O1" s="3489"/>
      <c r="P1" s="3489"/>
      <c r="Q1" s="3489"/>
      <c r="R1" s="2675"/>
      <c r="S1" s="3489" t="s">
        <v>2580</v>
      </c>
      <c r="T1" s="3489"/>
      <c r="U1" s="3489"/>
      <c r="V1" s="3489"/>
      <c r="X1" s="3488" t="s">
        <v>2640</v>
      </c>
      <c r="Y1" s="3489"/>
      <c r="Z1" s="3489"/>
      <c r="AA1" s="3489"/>
      <c r="AB1" s="3489"/>
      <c r="AD1" s="3488" t="s">
        <v>2644</v>
      </c>
      <c r="AE1" s="3489"/>
      <c r="AF1" s="3489"/>
      <c r="AG1" s="3489"/>
      <c r="AH1" s="3489"/>
    </row>
    <row r="2" spans="1:34" s="2777" customFormat="1" ht="14.25" thickBot="1">
      <c r="B2" s="2785" t="s">
        <v>2581</v>
      </c>
      <c r="C2" s="2785" t="s">
        <v>2642</v>
      </c>
      <c r="D2" s="2778" t="s">
        <v>1645</v>
      </c>
      <c r="E2" s="2778" t="s">
        <v>1952</v>
      </c>
      <c r="F2" s="2785" t="s">
        <v>2643</v>
      </c>
      <c r="G2" s="2781"/>
      <c r="H2" s="2780"/>
      <c r="I2" s="2785" t="s">
        <v>2953</v>
      </c>
      <c r="J2" s="2778" t="s">
        <v>2955</v>
      </c>
      <c r="K2" s="2778" t="s">
        <v>2956</v>
      </c>
      <c r="L2" s="2785" t="s">
        <v>2957</v>
      </c>
      <c r="N2" s="2785" t="s">
        <v>2581</v>
      </c>
      <c r="O2" s="2778" t="s">
        <v>2954</v>
      </c>
      <c r="P2" s="2778" t="s">
        <v>1952</v>
      </c>
      <c r="Q2" s="2785" t="s">
        <v>2643</v>
      </c>
      <c r="R2" s="2779"/>
      <c r="S2" s="2785" t="s">
        <v>2581</v>
      </c>
      <c r="T2" s="2778" t="s">
        <v>2954</v>
      </c>
      <c r="U2" s="2778" t="s">
        <v>1952</v>
      </c>
      <c r="V2" s="2785" t="s">
        <v>2643</v>
      </c>
      <c r="X2" s="2785" t="s">
        <v>2581</v>
      </c>
      <c r="Y2" s="2785" t="s">
        <v>2642</v>
      </c>
      <c r="Z2" s="2778" t="s">
        <v>1645</v>
      </c>
      <c r="AA2" s="2778" t="s">
        <v>1952</v>
      </c>
      <c r="AB2" s="2785" t="s">
        <v>2643</v>
      </c>
      <c r="AD2" s="2785" t="s">
        <v>2581</v>
      </c>
      <c r="AE2" s="2785" t="s">
        <v>2642</v>
      </c>
      <c r="AF2" s="2778" t="s">
        <v>1645</v>
      </c>
      <c r="AG2" s="2778" t="s">
        <v>1952</v>
      </c>
      <c r="AH2" s="2785" t="s">
        <v>2643</v>
      </c>
    </row>
    <row r="3" spans="1:34" s="3158" customFormat="1" ht="14.25">
      <c r="A3" s="3170" t="s">
        <v>2966</v>
      </c>
      <c r="B3" s="3159"/>
      <c r="C3" s="3159"/>
      <c r="D3" s="3160"/>
      <c r="E3" s="3160"/>
      <c r="F3" s="3159"/>
      <c r="G3" s="3161"/>
      <c r="H3" s="3162"/>
      <c r="I3" s="3169">
        <f>ROUND(AVERAGE($I7:$I22),2)</f>
        <v>2.4500000000000002</v>
      </c>
      <c r="J3" s="3169">
        <f>ROUND(AVERAGE($J7:$J22),2)</f>
        <v>1.65</v>
      </c>
      <c r="K3" s="3169">
        <f>ROUND(AVERAGE($K7:$K22),2)</f>
        <v>2.71</v>
      </c>
      <c r="L3" s="3169">
        <f>ROUND(AVERAGE($L7:$L22),2)</f>
        <v>1.39</v>
      </c>
      <c r="N3" s="3161"/>
      <c r="O3" s="3163"/>
      <c r="P3" s="3163"/>
      <c r="Q3" s="3163"/>
      <c r="R3" s="3163"/>
      <c r="S3" s="3161"/>
      <c r="T3" s="3163"/>
      <c r="U3" s="3163"/>
      <c r="V3" s="3163"/>
      <c r="W3" s="3166"/>
      <c r="X3" s="3164">
        <f>ROUND(SUMPRODUCT(PRODUCT(1+N3:N$21)),4)</f>
        <v>1.4517</v>
      </c>
      <c r="Y3" s="3164">
        <f>ROUND(SUMPRODUCT(PRODUCT(1+O3:O$21)),4)</f>
        <v>1.2928999999999999</v>
      </c>
      <c r="Z3" s="3164">
        <f t="shared" ref="Z3:Z19" si="0">Y3</f>
        <v>1.2928999999999999</v>
      </c>
      <c r="AA3" s="3164">
        <f>ROUND(SUMPRODUCT(PRODUCT(1+P3:P$21)),4)</f>
        <v>1.5068999999999999</v>
      </c>
      <c r="AB3" s="3164">
        <f>ROUND(SUMPRODUCT(PRODUCT(1+Q3:Q$21)),4)</f>
        <v>1.2557</v>
      </c>
      <c r="AD3" s="3165">
        <f>ROUND(AVERAGE(I3:I$22)/100,4)</f>
        <v>2.2800000000000001E-2</v>
      </c>
      <c r="AE3" s="3165">
        <f>ROUND(AVERAGE(J3:J$22)/100,4)</f>
        <v>1.5699999999999999E-2</v>
      </c>
      <c r="AF3" s="3165">
        <f t="shared" ref="AF3:AF20" si="1">AE3</f>
        <v>1.5699999999999999E-2</v>
      </c>
      <c r="AG3" s="3165">
        <f>ROUND(AVERAGE(K3:K$22)/100,4)</f>
        <v>2.5100000000000001E-2</v>
      </c>
      <c r="AH3" s="3165">
        <f>ROUND(AVERAGE(L3:L$22)/100,4)</f>
        <v>1.35E-2</v>
      </c>
    </row>
    <row r="4" spans="1:34" s="2770" customFormat="1" ht="14.25">
      <c r="B4" s="2771"/>
      <c r="C4" s="2771"/>
      <c r="D4" s="2772"/>
      <c r="E4" s="2772"/>
      <c r="F4" s="2771"/>
      <c r="G4" s="2776"/>
      <c r="H4" s="2773"/>
      <c r="I4" s="3151"/>
      <c r="J4" s="3151"/>
      <c r="K4" s="3151"/>
      <c r="L4" s="3151"/>
      <c r="N4" s="2776"/>
      <c r="O4" s="2774"/>
      <c r="P4" s="2774"/>
      <c r="Q4" s="2774"/>
      <c r="R4" s="2774"/>
      <c r="S4" s="2776"/>
      <c r="T4" s="2774"/>
      <c r="U4" s="2774"/>
      <c r="V4" s="2774"/>
      <c r="W4" s="3167"/>
      <c r="X4" s="2775"/>
      <c r="Y4" s="2775"/>
      <c r="Z4" s="2775"/>
      <c r="AA4" s="2775"/>
      <c r="AB4" s="2775"/>
      <c r="AD4" s="2695"/>
      <c r="AE4" s="2695"/>
      <c r="AF4" s="2695"/>
      <c r="AG4" s="2695"/>
      <c r="AH4" s="2695"/>
    </row>
    <row r="5" spans="1:34" s="3137" customFormat="1">
      <c r="A5" s="3135" t="s">
        <v>2973</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6">
        <v>2</v>
      </c>
      <c r="I5" s="3152">
        <v>0</v>
      </c>
      <c r="J5" s="3152">
        <v>0</v>
      </c>
      <c r="K5" s="3152">
        <v>0</v>
      </c>
      <c r="L5" s="3152">
        <v>0</v>
      </c>
      <c r="N5" s="2783">
        <f t="shared" ref="N5" si="6">I5/100</f>
        <v>0</v>
      </c>
      <c r="O5" s="2783">
        <f t="shared" ref="O5" si="7">J5/100</f>
        <v>0</v>
      </c>
      <c r="P5" s="2783">
        <f t="shared" ref="P5" si="8">K5/100</f>
        <v>0</v>
      </c>
      <c r="Q5" s="2783">
        <f t="shared" ref="Q5" si="9">L5/100</f>
        <v>0</v>
      </c>
      <c r="R5" s="3138"/>
      <c r="S5" s="3139"/>
      <c r="T5" s="3138"/>
      <c r="U5" s="3138"/>
      <c r="V5" s="3138"/>
      <c r="W5" s="3168" t="s">
        <v>2967</v>
      </c>
      <c r="X5" s="3140">
        <f>ROUND(SUMPRODUCT(PRODUCT(1+N5:N$21)),4)</f>
        <v>1.4517</v>
      </c>
      <c r="Y5" s="3140">
        <f>ROUND(SUMPRODUCT(PRODUCT(1+O5:O$21)),4)</f>
        <v>1.2928999999999999</v>
      </c>
      <c r="Z5" s="3140">
        <f t="shared" ref="Z5" si="10">Y5</f>
        <v>1.2928999999999999</v>
      </c>
      <c r="AA5" s="3140">
        <f>ROUND(SUMPRODUCT(PRODUCT(1+P5:P$21)),4)</f>
        <v>1.5068999999999999</v>
      </c>
      <c r="AB5" s="3140">
        <f>ROUND(SUMPRODUCT(PRODUCT(1+Q5:Q$21)),4)</f>
        <v>1.2557</v>
      </c>
      <c r="AD5" s="3141">
        <f>ROUND(AVERAGE(I5:I$22)/100,4)</f>
        <v>2.2700000000000001E-2</v>
      </c>
      <c r="AE5" s="3141">
        <f>ROUND(AVERAGE(J5:J$22)/100,4)</f>
        <v>1.5699999999999999E-2</v>
      </c>
      <c r="AF5" s="3141">
        <f t="shared" ref="AF5" si="11">AE5</f>
        <v>1.5699999999999999E-2</v>
      </c>
      <c r="AG5" s="3141">
        <f>ROUND(AVERAGE(K5:K$22)/100,4)</f>
        <v>2.5000000000000001E-2</v>
      </c>
      <c r="AH5" s="3141">
        <f>ROUND(AVERAGE(L5:L$22)/100,4)</f>
        <v>1.35E-2</v>
      </c>
    </row>
    <row r="6" spans="1:34" s="2782" customFormat="1" ht="13.5" thickBot="1">
      <c r="A6" s="2676" t="s">
        <v>2974</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7">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2964</v>
      </c>
      <c r="B7" s="3172">
        <v>439</v>
      </c>
      <c r="C7" s="3172">
        <v>327</v>
      </c>
      <c r="D7" s="3172">
        <f t="shared" si="13"/>
        <v>327</v>
      </c>
      <c r="E7" s="3172">
        <v>627</v>
      </c>
      <c r="F7" s="3173">
        <v>283</v>
      </c>
      <c r="G7" s="3155">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2968</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7"/>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2582</v>
      </c>
      <c r="B9" s="2690">
        <f t="shared" si="25"/>
        <v>419.31181600000002</v>
      </c>
      <c r="C9" s="2690">
        <f t="shared" si="25"/>
        <v>313.95436800000004</v>
      </c>
      <c r="D9" s="2690">
        <f t="shared" si="13"/>
        <v>313.95436800000004</v>
      </c>
      <c r="E9" s="2690">
        <f t="shared" si="26"/>
        <v>596.63028431999999</v>
      </c>
      <c r="F9" s="2690">
        <f t="shared" si="26"/>
        <v>274.74220703999998</v>
      </c>
      <c r="G9" s="3156"/>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2583</v>
      </c>
      <c r="B10" s="2690">
        <f t="shared" si="25"/>
        <v>405.524</v>
      </c>
      <c r="C10" s="2690">
        <f t="shared" si="25"/>
        <v>307.79840000000002</v>
      </c>
      <c r="D10" s="2690">
        <f t="shared" si="13"/>
        <v>307.79840000000002</v>
      </c>
      <c r="E10" s="2690">
        <f t="shared" si="26"/>
        <v>574.67759999999998</v>
      </c>
      <c r="F10" s="2690">
        <f t="shared" si="26"/>
        <v>270.20280000000002</v>
      </c>
      <c r="G10" s="3157"/>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971</v>
      </c>
      <c r="B11" s="2682">
        <v>392</v>
      </c>
      <c r="C11" s="2682">
        <v>302</v>
      </c>
      <c r="D11" s="2682">
        <f t="shared" si="13"/>
        <v>302</v>
      </c>
      <c r="E11" s="2682">
        <v>553</v>
      </c>
      <c r="F11" s="2683">
        <v>266</v>
      </c>
      <c r="G11" s="348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970</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85"/>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960</v>
      </c>
      <c r="B13" s="2690">
        <f t="shared" si="34"/>
        <v>360.06949782209392</v>
      </c>
      <c r="C13" s="2690">
        <f t="shared" si="34"/>
        <v>289.84672674747821</v>
      </c>
      <c r="D13" s="2690">
        <f t="shared" si="35"/>
        <v>289.84672674747821</v>
      </c>
      <c r="E13" s="2690">
        <f t="shared" si="36"/>
        <v>501.06543001181495</v>
      </c>
      <c r="F13" s="2690">
        <f t="shared" si="36"/>
        <v>256.82882500744967</v>
      </c>
      <c r="G13" s="3485"/>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969</v>
      </c>
      <c r="B14" s="2690">
        <f t="shared" si="34"/>
        <v>346.720748986128</v>
      </c>
      <c r="C14" s="2690">
        <f t="shared" si="34"/>
        <v>284.30282172386285</v>
      </c>
      <c r="D14" s="2690">
        <f t="shared" si="35"/>
        <v>284.30282172386285</v>
      </c>
      <c r="E14" s="2690">
        <f t="shared" si="36"/>
        <v>479.58023546306947</v>
      </c>
      <c r="F14" s="2690">
        <f t="shared" si="36"/>
        <v>253.25788877571213</v>
      </c>
      <c r="G14" s="3486"/>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968</v>
      </c>
      <c r="B15" s="2682">
        <v>333</v>
      </c>
      <c r="C15" s="2682">
        <v>277</v>
      </c>
      <c r="D15" s="2682">
        <f t="shared" si="35"/>
        <v>277</v>
      </c>
      <c r="E15" s="2682">
        <v>459</v>
      </c>
      <c r="F15" s="2683">
        <v>249</v>
      </c>
      <c r="G15" s="3484">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967</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85"/>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966</v>
      </c>
      <c r="B17" s="2690">
        <f t="shared" si="38"/>
        <v>322.34053690220776</v>
      </c>
      <c r="C17" s="2690">
        <f t="shared" si="38"/>
        <v>271.46160770422546</v>
      </c>
      <c r="D17" s="2690">
        <f t="shared" si="35"/>
        <v>271.46160770422546</v>
      </c>
      <c r="E17" s="2690">
        <f t="shared" si="39"/>
        <v>442.69434542172456</v>
      </c>
      <c r="F17" s="2690">
        <f t="shared" si="39"/>
        <v>241.34030753190925</v>
      </c>
      <c r="G17" s="3485"/>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965</v>
      </c>
      <c r="B18" s="2690">
        <f t="shared" si="38"/>
        <v>319.87748030386797</v>
      </c>
      <c r="C18" s="2690">
        <f t="shared" si="38"/>
        <v>269.60135833173649</v>
      </c>
      <c r="D18" s="2690">
        <f t="shared" si="35"/>
        <v>269.60135833173649</v>
      </c>
      <c r="E18" s="2690">
        <f t="shared" si="39"/>
        <v>439.18089823583784</v>
      </c>
      <c r="F18" s="2690">
        <f t="shared" si="39"/>
        <v>239.23503918706311</v>
      </c>
      <c r="G18" s="3486"/>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964</v>
      </c>
      <c r="B19" s="2704">
        <v>318</v>
      </c>
      <c r="C19" s="2704">
        <v>268</v>
      </c>
      <c r="D19" s="2704">
        <f t="shared" si="35"/>
        <v>268</v>
      </c>
      <c r="E19" s="2704">
        <v>437</v>
      </c>
      <c r="F19" s="2705">
        <v>237</v>
      </c>
      <c r="G19" s="3484">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963</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85"/>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962</v>
      </c>
      <c r="B21" s="2690">
        <f t="shared" si="40"/>
        <v>314.72141172386546</v>
      </c>
      <c r="C21" s="2690">
        <f t="shared" si="40"/>
        <v>263.03901319069001</v>
      </c>
      <c r="D21" s="2690">
        <f t="shared" si="35"/>
        <v>263.03901319069001</v>
      </c>
      <c r="E21" s="2690">
        <f t="shared" si="41"/>
        <v>433.65745506782821</v>
      </c>
      <c r="F21" s="2690">
        <f t="shared" si="41"/>
        <v>233.23005080045735</v>
      </c>
      <c r="G21" s="3485"/>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961</v>
      </c>
      <c r="B22" s="2709">
        <f t="shared" si="40"/>
        <v>307.34512863658733</v>
      </c>
      <c r="C22" s="2709">
        <f t="shared" si="40"/>
        <v>257.80556031626975</v>
      </c>
      <c r="D22" s="2709">
        <f t="shared" si="35"/>
        <v>257.80556031626975</v>
      </c>
      <c r="E22" s="2709">
        <f t="shared" si="41"/>
        <v>422.70928459677179</v>
      </c>
      <c r="F22" s="2709">
        <f t="shared" si="41"/>
        <v>229.73803270336617</v>
      </c>
      <c r="G22" s="3486"/>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2641</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2584</v>
      </c>
      <c r="B23" s="2682">
        <v>299</v>
      </c>
      <c r="C23" s="2682">
        <v>252</v>
      </c>
      <c r="D23" s="2682">
        <f t="shared" si="35"/>
        <v>252</v>
      </c>
      <c r="E23" s="2682">
        <v>409</v>
      </c>
      <c r="F23" s="2683">
        <v>227</v>
      </c>
      <c r="G23" s="349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2585</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9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2586</v>
      </c>
      <c r="B25" s="2690">
        <f t="shared" si="44"/>
        <v>288.2649053828776</v>
      </c>
      <c r="C25" s="2690">
        <f t="shared" si="44"/>
        <v>243.64564425013293</v>
      </c>
      <c r="D25" s="2690">
        <f t="shared" si="35"/>
        <v>243.64564425013293</v>
      </c>
      <c r="E25" s="2690">
        <f t="shared" si="45"/>
        <v>393.31080825986544</v>
      </c>
      <c r="F25" s="2690">
        <f t="shared" si="45"/>
        <v>223.07903790551154</v>
      </c>
      <c r="G25" s="349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2587</v>
      </c>
      <c r="B26" s="2690">
        <f t="shared" si="44"/>
        <v>282.50186729015837</v>
      </c>
      <c r="C26" s="2690">
        <f t="shared" si="44"/>
        <v>238.09796174155468</v>
      </c>
      <c r="D26" s="2690">
        <f t="shared" si="35"/>
        <v>238.09796174155468</v>
      </c>
      <c r="E26" s="2690">
        <f t="shared" si="45"/>
        <v>385.33438646014054</v>
      </c>
      <c r="F26" s="2690">
        <f t="shared" si="45"/>
        <v>221.55034055567739</v>
      </c>
      <c r="G26" s="349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2588</v>
      </c>
      <c r="B27" s="2720">
        <v>278</v>
      </c>
      <c r="C27" s="2720">
        <v>234</v>
      </c>
      <c r="D27" s="2720">
        <f t="shared" si="35"/>
        <v>234</v>
      </c>
      <c r="E27" s="2720">
        <v>379</v>
      </c>
      <c r="F27" s="2721">
        <v>220</v>
      </c>
      <c r="G27" s="3484">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2589</v>
      </c>
      <c r="B28" s="2690">
        <f>B27/(1+N27)</f>
        <v>275.49301357645425</v>
      </c>
      <c r="C28" s="2690">
        <f>C27/(1+O27)</f>
        <v>232.41954707985698</v>
      </c>
      <c r="D28" s="2690">
        <f t="shared" si="35"/>
        <v>232.41954707985698</v>
      </c>
      <c r="E28" s="2690">
        <f t="shared" ref="E28:F30" si="46">E27/(1+P27)</f>
        <v>375.32184591008121</v>
      </c>
      <c r="F28" s="2690">
        <f t="shared" si="46"/>
        <v>218.03766105054513</v>
      </c>
      <c r="G28" s="3485"/>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2590</v>
      </c>
      <c r="B29" s="2690">
        <f>B28/(1+N28)</f>
        <v>275.24529281292263</v>
      </c>
      <c r="C29" s="2690">
        <f>C28/(1+O28)</f>
        <v>231.74747938962707</v>
      </c>
      <c r="D29" s="2690">
        <f t="shared" si="35"/>
        <v>231.74747938962707</v>
      </c>
      <c r="E29" s="2690">
        <f t="shared" si="46"/>
        <v>375.35938184826603</v>
      </c>
      <c r="F29" s="2690">
        <f t="shared" si="46"/>
        <v>216.78033510692495</v>
      </c>
      <c r="G29" s="3485"/>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2591</v>
      </c>
      <c r="B30" s="2690">
        <f>B29/(1+N29)</f>
        <v>275.19025476197027</v>
      </c>
      <c r="C30" s="2722">
        <v>232</v>
      </c>
      <c r="D30" s="2722">
        <f t="shared" si="35"/>
        <v>232</v>
      </c>
      <c r="E30" s="2690">
        <f t="shared" si="46"/>
        <v>375.65990977608692</v>
      </c>
      <c r="F30" s="2690">
        <f t="shared" si="46"/>
        <v>214.12518283971252</v>
      </c>
      <c r="G30" s="3486"/>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2592</v>
      </c>
      <c r="B31" s="2682">
        <v>275</v>
      </c>
      <c r="C31" s="2682">
        <v>232</v>
      </c>
      <c r="D31" s="2682">
        <f t="shared" si="35"/>
        <v>232</v>
      </c>
      <c r="E31" s="2682">
        <v>376</v>
      </c>
      <c r="F31" s="2683">
        <v>213</v>
      </c>
      <c r="G31" s="3484">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2593</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85">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2594</v>
      </c>
      <c r="B33" s="2690">
        <f t="shared" si="47"/>
        <v>275.19335084830601</v>
      </c>
      <c r="C33" s="2690">
        <f t="shared" si="47"/>
        <v>230.18088050139744</v>
      </c>
      <c r="D33" s="2690">
        <f t="shared" si="35"/>
        <v>230.18088050139744</v>
      </c>
      <c r="E33" s="2690">
        <f t="shared" si="48"/>
        <v>377.58482925212331</v>
      </c>
      <c r="F33" s="2690">
        <f t="shared" si="48"/>
        <v>210.90687997847917</v>
      </c>
      <c r="G33" s="3485">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2595</v>
      </c>
      <c r="B34" s="2690">
        <f t="shared" si="47"/>
        <v>276.29854502841971</v>
      </c>
      <c r="C34" s="2690">
        <f t="shared" si="47"/>
        <v>229.79023709833027</v>
      </c>
      <c r="D34" s="2690">
        <f t="shared" si="35"/>
        <v>229.79023709833027</v>
      </c>
      <c r="E34" s="2690">
        <f t="shared" si="48"/>
        <v>379.78759731655936</v>
      </c>
      <c r="F34" s="2690">
        <f t="shared" si="48"/>
        <v>211.32953905659235</v>
      </c>
      <c r="G34" s="3486">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2596</v>
      </c>
      <c r="B35" s="2682">
        <v>269</v>
      </c>
      <c r="C35" s="2682">
        <v>221</v>
      </c>
      <c r="D35" s="2682">
        <f t="shared" si="35"/>
        <v>221</v>
      </c>
      <c r="E35" s="2682">
        <v>373</v>
      </c>
      <c r="F35" s="2683">
        <v>196</v>
      </c>
      <c r="G35" s="3484">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2597</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85">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2598</v>
      </c>
      <c r="B37" s="2690">
        <f t="shared" si="49"/>
        <v>242.95398227588385</v>
      </c>
      <c r="C37" s="2690">
        <f t="shared" si="49"/>
        <v>199.59137053614126</v>
      </c>
      <c r="D37" s="2690">
        <f t="shared" si="35"/>
        <v>199.59137053614126</v>
      </c>
      <c r="E37" s="2690">
        <f t="shared" si="50"/>
        <v>335.92189522342125</v>
      </c>
      <c r="F37" s="2690">
        <f t="shared" si="50"/>
        <v>183.10139991109489</v>
      </c>
      <c r="G37" s="3485">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2599</v>
      </c>
      <c r="B38" s="2690">
        <f t="shared" si="49"/>
        <v>232.06990378821649</v>
      </c>
      <c r="C38" s="2690">
        <f t="shared" si="49"/>
        <v>192.74878854286936</v>
      </c>
      <c r="D38" s="2690">
        <f t="shared" si="35"/>
        <v>192.74878854286936</v>
      </c>
      <c r="E38" s="2690">
        <f t="shared" si="50"/>
        <v>319.71247284992984</v>
      </c>
      <c r="F38" s="2690">
        <f t="shared" si="50"/>
        <v>175.67053622862409</v>
      </c>
      <c r="G38" s="3486">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2600</v>
      </c>
      <c r="B39" s="2682">
        <v>220</v>
      </c>
      <c r="C39" s="2682">
        <v>187</v>
      </c>
      <c r="D39" s="2682">
        <f t="shared" si="35"/>
        <v>187</v>
      </c>
      <c r="E39" s="2682">
        <v>301</v>
      </c>
      <c r="F39" s="2683">
        <v>168</v>
      </c>
      <c r="G39" s="3484">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2601</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85">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2602</v>
      </c>
      <c r="B41" s="2690">
        <f t="shared" si="51"/>
        <v>210.630522469011</v>
      </c>
      <c r="C41" s="2690">
        <f t="shared" si="51"/>
        <v>181.69567812247232</v>
      </c>
      <c r="D41" s="2690">
        <f t="shared" si="35"/>
        <v>181.69567812247232</v>
      </c>
      <c r="E41" s="2690">
        <f t="shared" si="52"/>
        <v>286.13517466736738</v>
      </c>
      <c r="F41" s="2690">
        <f t="shared" si="52"/>
        <v>165.47535084591149</v>
      </c>
      <c r="G41" s="3485">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2603</v>
      </c>
      <c r="B42" s="2690">
        <f t="shared" si="51"/>
        <v>208.83454537875372</v>
      </c>
      <c r="C42" s="2690">
        <f t="shared" si="51"/>
        <v>183.77230517090351</v>
      </c>
      <c r="D42" s="2690">
        <f t="shared" si="35"/>
        <v>183.77230517090351</v>
      </c>
      <c r="E42" s="2690">
        <f t="shared" si="52"/>
        <v>281.10342338870947</v>
      </c>
      <c r="F42" s="2690">
        <f t="shared" si="52"/>
        <v>168.97309388942256</v>
      </c>
      <c r="G42" s="3486">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2604</v>
      </c>
      <c r="B43" s="2720">
        <v>214</v>
      </c>
      <c r="C43" s="2720">
        <v>188</v>
      </c>
      <c r="D43" s="2720">
        <f t="shared" si="35"/>
        <v>188</v>
      </c>
      <c r="E43" s="2720">
        <v>289</v>
      </c>
      <c r="F43" s="2721">
        <v>166</v>
      </c>
      <c r="G43" s="3484">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2605</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85">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2606</v>
      </c>
      <c r="B45" s="2690">
        <f t="shared" si="53"/>
        <v>206.31694671589116</v>
      </c>
      <c r="C45" s="2690">
        <f t="shared" si="53"/>
        <v>183.61041121036101</v>
      </c>
      <c r="D45" s="2690">
        <f t="shared" si="35"/>
        <v>183.61041121036101</v>
      </c>
      <c r="E45" s="2690">
        <f t="shared" si="54"/>
        <v>276.66850301795557</v>
      </c>
      <c r="F45" s="2690">
        <f t="shared" si="54"/>
        <v>165.1360938278614</v>
      </c>
      <c r="G45" s="3485">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2607</v>
      </c>
      <c r="B46" s="2723">
        <f t="shared" si="53"/>
        <v>196.62341248059772</v>
      </c>
      <c r="C46" s="2723">
        <f t="shared" si="53"/>
        <v>170.99125648199012</v>
      </c>
      <c r="D46" s="2723">
        <f t="shared" si="35"/>
        <v>170.99125648199012</v>
      </c>
      <c r="E46" s="2723">
        <f t="shared" si="54"/>
        <v>266.07857570490052</v>
      </c>
      <c r="F46" s="2723">
        <f t="shared" si="54"/>
        <v>154.53499328828505</v>
      </c>
      <c r="G46" s="3486">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2608</v>
      </c>
      <c r="B47" s="2682">
        <v>188</v>
      </c>
      <c r="C47" s="2682">
        <v>165</v>
      </c>
      <c r="D47" s="2682">
        <f t="shared" si="35"/>
        <v>165</v>
      </c>
      <c r="E47" s="2682">
        <v>254</v>
      </c>
      <c r="F47" s="2683">
        <v>148</v>
      </c>
      <c r="G47" s="3484">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2609</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85">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2610</v>
      </c>
      <c r="B49" s="2690">
        <f t="shared" si="57"/>
        <v>168.82017748715555</v>
      </c>
      <c r="C49" s="2690">
        <f t="shared" si="57"/>
        <v>148.06267029972753</v>
      </c>
      <c r="D49" s="2690">
        <f t="shared" si="35"/>
        <v>148.06267029972753</v>
      </c>
      <c r="E49" s="2690">
        <f t="shared" si="58"/>
        <v>216.46288379323747</v>
      </c>
      <c r="F49" s="2690">
        <f t="shared" si="58"/>
        <v>134.23529411764704</v>
      </c>
      <c r="G49" s="3485">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2611</v>
      </c>
      <c r="B50" s="2690">
        <f t="shared" si="57"/>
        <v>163.84913591779542</v>
      </c>
      <c r="C50" s="2690">
        <f t="shared" si="57"/>
        <v>145.0283378746594</v>
      </c>
      <c r="D50" s="2690">
        <f t="shared" si="35"/>
        <v>145.0283378746594</v>
      </c>
      <c r="E50" s="2690">
        <f t="shared" si="58"/>
        <v>204.95180722891567</v>
      </c>
      <c r="F50" s="2690">
        <f t="shared" si="58"/>
        <v>125.95920303605313</v>
      </c>
      <c r="G50" s="3486">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2612</v>
      </c>
      <c r="B51" s="2704">
        <v>159</v>
      </c>
      <c r="C51" s="2704">
        <v>141</v>
      </c>
      <c r="D51" s="2704">
        <f t="shared" si="35"/>
        <v>141</v>
      </c>
      <c r="E51" s="2704">
        <v>195</v>
      </c>
      <c r="F51" s="2705">
        <v>122</v>
      </c>
      <c r="G51" s="3484">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2613</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85">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2614</v>
      </c>
      <c r="B53" s="2690">
        <f t="shared" si="61"/>
        <v>146.57412060301507</v>
      </c>
      <c r="C53" s="2690">
        <f t="shared" si="61"/>
        <v>136.46831955922866</v>
      </c>
      <c r="D53" s="2690">
        <f t="shared" si="35"/>
        <v>136.46831955922866</v>
      </c>
      <c r="E53" s="2690">
        <f t="shared" si="62"/>
        <v>166.73864894795128</v>
      </c>
      <c r="F53" s="2690">
        <f t="shared" si="62"/>
        <v>115.05882352941177</v>
      </c>
      <c r="G53" s="3485">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2615</v>
      </c>
      <c r="B54" s="2690">
        <f t="shared" si="61"/>
        <v>144.04145728643215</v>
      </c>
      <c r="C54" s="2690">
        <f t="shared" si="61"/>
        <v>136.12396694214877</v>
      </c>
      <c r="D54" s="2690">
        <f t="shared" si="35"/>
        <v>136.12396694214877</v>
      </c>
      <c r="E54" s="2690">
        <f t="shared" si="62"/>
        <v>158.32225913621264</v>
      </c>
      <c r="F54" s="2690">
        <f t="shared" si="62"/>
        <v>114.04278074866311</v>
      </c>
      <c r="G54" s="3486">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2616</v>
      </c>
      <c r="B55" s="2704">
        <v>138</v>
      </c>
      <c r="C55" s="2704">
        <v>131</v>
      </c>
      <c r="D55" s="2704">
        <f t="shared" si="35"/>
        <v>131</v>
      </c>
      <c r="E55" s="2704">
        <v>155</v>
      </c>
      <c r="F55" s="2705">
        <v>114</v>
      </c>
      <c r="G55" s="3484">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2617</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85">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2618</v>
      </c>
      <c r="B57" s="2690">
        <f t="shared" si="65"/>
        <v>124.29032258064517</v>
      </c>
      <c r="C57" s="2690">
        <f t="shared" si="65"/>
        <v>123.8968609865471</v>
      </c>
      <c r="D57" s="2690">
        <f t="shared" si="35"/>
        <v>123.8968609865471</v>
      </c>
      <c r="E57" s="2690">
        <f t="shared" si="66"/>
        <v>138.00507614213197</v>
      </c>
      <c r="F57" s="2690">
        <f t="shared" si="66"/>
        <v>107.96106557377048</v>
      </c>
      <c r="G57" s="3485">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2619</v>
      </c>
      <c r="B58" s="2690">
        <f t="shared" si="65"/>
        <v>122.57204301075269</v>
      </c>
      <c r="C58" s="2690">
        <f t="shared" si="65"/>
        <v>123.4932735426009</v>
      </c>
      <c r="D58" s="2690">
        <f t="shared" si="35"/>
        <v>123.4932735426009</v>
      </c>
      <c r="E58" s="2690">
        <f t="shared" si="66"/>
        <v>129.82233502538071</v>
      </c>
      <c r="F58" s="2690">
        <f t="shared" si="66"/>
        <v>107.39446721311475</v>
      </c>
      <c r="G58" s="3486">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2620</v>
      </c>
      <c r="B59" s="2720">
        <v>121</v>
      </c>
      <c r="C59" s="2720">
        <v>122</v>
      </c>
      <c r="D59" s="2720">
        <f t="shared" si="35"/>
        <v>122</v>
      </c>
      <c r="E59" s="2720">
        <v>124</v>
      </c>
      <c r="F59" s="2721">
        <v>107</v>
      </c>
      <c r="G59" s="3484">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2621</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85">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2622</v>
      </c>
      <c r="B61" s="2690">
        <f t="shared" si="69"/>
        <v>116.99099099099099</v>
      </c>
      <c r="C61" s="2690">
        <f t="shared" si="69"/>
        <v>118.84848484848486</v>
      </c>
      <c r="D61" s="2690">
        <f t="shared" si="35"/>
        <v>118.84848484848486</v>
      </c>
      <c r="E61" s="2690">
        <f t="shared" si="70"/>
        <v>117.60960960960961</v>
      </c>
      <c r="F61" s="2690">
        <f t="shared" si="70"/>
        <v>104</v>
      </c>
      <c r="G61" s="3485">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2623</v>
      </c>
      <c r="B62" s="2723">
        <f t="shared" si="69"/>
        <v>112.48648648648648</v>
      </c>
      <c r="C62" s="2723">
        <f t="shared" si="69"/>
        <v>115.21212121212122</v>
      </c>
      <c r="D62" s="2723">
        <f t="shared" si="35"/>
        <v>115.21212121212122</v>
      </c>
      <c r="E62" s="2723">
        <f t="shared" si="70"/>
        <v>110.4024024024024</v>
      </c>
      <c r="F62" s="2723">
        <f t="shared" si="70"/>
        <v>104</v>
      </c>
      <c r="G62" s="3486">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2624</v>
      </c>
      <c r="B63" s="2741">
        <v>111</v>
      </c>
      <c r="C63" s="2741">
        <v>114</v>
      </c>
      <c r="D63" s="2741">
        <f t="shared" si="35"/>
        <v>114</v>
      </c>
      <c r="E63" s="2741">
        <v>108</v>
      </c>
      <c r="F63" s="2742">
        <v>104</v>
      </c>
      <c r="G63" s="3484">
        <v>2003</v>
      </c>
      <c r="H63" s="2731">
        <v>4</v>
      </c>
      <c r="I63" s="2743"/>
      <c r="J63" s="2743"/>
      <c r="K63" s="2743"/>
      <c r="L63" s="2743"/>
      <c r="N63" s="2744"/>
      <c r="O63" s="2743"/>
      <c r="P63" s="2743"/>
      <c r="Q63" s="2743"/>
      <c r="S63" s="2744"/>
      <c r="T63" s="2743"/>
      <c r="U63" s="2743"/>
      <c r="V63" s="2743"/>
      <c r="X63" s="2735"/>
      <c r="Y63" s="2735"/>
      <c r="Z63" s="2735"/>
    </row>
    <row r="64" spans="1:26">
      <c r="A64" s="2676" t="s">
        <v>2625</v>
      </c>
      <c r="B64" s="2745">
        <f t="shared" ref="B64:C66" si="71">B65+(B$63-B$67)/4</f>
        <v>109.75</v>
      </c>
      <c r="C64" s="2745">
        <f t="shared" si="71"/>
        <v>112.25</v>
      </c>
      <c r="D64" s="2745">
        <f t="shared" si="35"/>
        <v>112.25</v>
      </c>
      <c r="E64" s="2745">
        <f t="shared" ref="E64:F66" si="72">E65+(E$63-E$67)/4</f>
        <v>107.25</v>
      </c>
      <c r="F64" s="2745">
        <f t="shared" si="72"/>
        <v>103.5</v>
      </c>
      <c r="G64" s="3485">
        <v>2003</v>
      </c>
      <c r="H64" s="2701">
        <v>3</v>
      </c>
      <c r="I64" s="2743"/>
      <c r="J64" s="2743"/>
      <c r="K64" s="2743"/>
      <c r="L64" s="2743"/>
      <c r="X64" s="2735"/>
      <c r="Y64" s="2735"/>
      <c r="Z64" s="2735"/>
    </row>
    <row r="65" spans="1:26">
      <c r="A65" s="2676" t="s">
        <v>2626</v>
      </c>
      <c r="B65" s="2745">
        <f t="shared" si="71"/>
        <v>108.5</v>
      </c>
      <c r="C65" s="2745">
        <f t="shared" si="71"/>
        <v>110.5</v>
      </c>
      <c r="D65" s="2745">
        <f t="shared" si="35"/>
        <v>110.5</v>
      </c>
      <c r="E65" s="2745">
        <f t="shared" si="72"/>
        <v>106.5</v>
      </c>
      <c r="F65" s="2745">
        <f t="shared" si="72"/>
        <v>103</v>
      </c>
      <c r="G65" s="3485">
        <v>2003</v>
      </c>
      <c r="H65" s="2681">
        <v>2</v>
      </c>
      <c r="I65" s="2743"/>
      <c r="J65" s="2743"/>
      <c r="K65" s="2743"/>
      <c r="L65" s="2743"/>
      <c r="X65" s="2735"/>
      <c r="Y65" s="2735"/>
      <c r="Z65" s="2735"/>
    </row>
    <row r="66" spans="1:26" ht="13.5" thickBot="1">
      <c r="A66" s="2676" t="s">
        <v>2627</v>
      </c>
      <c r="B66" s="2745">
        <f t="shared" si="71"/>
        <v>107.25</v>
      </c>
      <c r="C66" s="2745">
        <f t="shared" si="71"/>
        <v>108.75</v>
      </c>
      <c r="D66" s="2745">
        <f t="shared" si="35"/>
        <v>108.75</v>
      </c>
      <c r="E66" s="2745">
        <f t="shared" si="72"/>
        <v>105.75</v>
      </c>
      <c r="F66" s="2745">
        <f t="shared" si="72"/>
        <v>102.5</v>
      </c>
      <c r="G66" s="3486">
        <v>2003</v>
      </c>
      <c r="H66" s="2746">
        <v>1</v>
      </c>
      <c r="I66" s="2743"/>
      <c r="J66" s="2743"/>
      <c r="K66" s="2743"/>
      <c r="L66" s="2743"/>
      <c r="S66" s="2685"/>
      <c r="T66" s="2686"/>
      <c r="U66" s="2686"/>
      <c r="X66" s="2735"/>
      <c r="Y66" s="2735"/>
      <c r="Z66" s="2735"/>
    </row>
    <row r="67" spans="1:26" ht="13.5" thickBot="1">
      <c r="A67" s="2676" t="s">
        <v>2628</v>
      </c>
      <c r="B67" s="2747">
        <v>106</v>
      </c>
      <c r="C67" s="2747">
        <v>107</v>
      </c>
      <c r="D67" s="2747">
        <f t="shared" si="35"/>
        <v>107</v>
      </c>
      <c r="E67" s="2747">
        <v>105</v>
      </c>
      <c r="F67" s="2748">
        <v>102</v>
      </c>
      <c r="G67" s="3484">
        <v>2002</v>
      </c>
      <c r="H67" s="2696">
        <v>4</v>
      </c>
      <c r="I67" s="2743"/>
      <c r="J67" s="2743"/>
      <c r="K67" s="2743"/>
      <c r="L67" s="2743"/>
      <c r="N67" s="2744"/>
      <c r="O67" s="2743"/>
      <c r="P67" s="2743"/>
      <c r="Q67" s="2743"/>
      <c r="S67" s="2744"/>
      <c r="T67" s="2743"/>
      <c r="U67" s="2743"/>
      <c r="V67" s="2743"/>
      <c r="X67" s="2735"/>
      <c r="Y67" s="2735"/>
      <c r="Z67" s="2735"/>
    </row>
    <row r="68" spans="1:26">
      <c r="A68" s="2676" t="s">
        <v>2629</v>
      </c>
      <c r="B68" s="2745">
        <f t="shared" ref="B68:C70" si="73">B69+(B$67-B$71)/4</f>
        <v>105</v>
      </c>
      <c r="C68" s="2745">
        <f t="shared" si="73"/>
        <v>106</v>
      </c>
      <c r="D68" s="2745">
        <f t="shared" si="35"/>
        <v>106</v>
      </c>
      <c r="E68" s="2745">
        <f t="shared" ref="E68:F70" si="74">E69+(E$67-E$71)/4</f>
        <v>104.5</v>
      </c>
      <c r="F68" s="2745">
        <f t="shared" si="74"/>
        <v>101.5</v>
      </c>
      <c r="G68" s="3485">
        <v>2002</v>
      </c>
      <c r="H68" s="2701">
        <v>3</v>
      </c>
      <c r="I68" s="2743"/>
      <c r="J68" s="2743"/>
      <c r="K68" s="2743"/>
      <c r="L68" s="2743"/>
      <c r="X68" s="2735"/>
      <c r="Y68" s="2735"/>
      <c r="Z68" s="2735"/>
    </row>
    <row r="69" spans="1:26">
      <c r="A69" s="2676" t="s">
        <v>2630</v>
      </c>
      <c r="B69" s="2745">
        <f t="shared" si="73"/>
        <v>104</v>
      </c>
      <c r="C69" s="2745">
        <f t="shared" si="73"/>
        <v>105</v>
      </c>
      <c r="D69" s="2745">
        <f t="shared" si="35"/>
        <v>105</v>
      </c>
      <c r="E69" s="2745">
        <f t="shared" si="74"/>
        <v>104</v>
      </c>
      <c r="F69" s="2745">
        <f t="shared" si="74"/>
        <v>101</v>
      </c>
      <c r="G69" s="3485">
        <v>2002</v>
      </c>
      <c r="H69" s="2681">
        <v>2</v>
      </c>
      <c r="I69" s="2743"/>
      <c r="J69" s="2743"/>
      <c r="K69" s="2743"/>
      <c r="L69" s="2743"/>
      <c r="X69" s="2735"/>
      <c r="Y69" s="2735"/>
      <c r="Z69" s="2735"/>
    </row>
    <row r="70" spans="1:26" s="2712" customFormat="1" ht="13.5" thickBot="1">
      <c r="A70" s="2708" t="s">
        <v>2631</v>
      </c>
      <c r="B70" s="2749">
        <f t="shared" si="73"/>
        <v>103</v>
      </c>
      <c r="C70" s="2749">
        <f t="shared" si="73"/>
        <v>104</v>
      </c>
      <c r="D70" s="2749">
        <f t="shared" si="35"/>
        <v>104</v>
      </c>
      <c r="E70" s="2749">
        <f t="shared" si="74"/>
        <v>103.5</v>
      </c>
      <c r="F70" s="2749">
        <f t="shared" si="74"/>
        <v>100.5</v>
      </c>
      <c r="G70" s="3486">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2632</v>
      </c>
      <c r="G73" s="2759"/>
      <c r="N73" s="2759"/>
      <c r="S73" s="2759"/>
    </row>
    <row r="74" spans="1:26" s="2758" customFormat="1">
      <c r="A74" s="2758" t="s">
        <v>2633</v>
      </c>
      <c r="G74" s="2759"/>
      <c r="N74" s="2759"/>
      <c r="S74" s="2759"/>
    </row>
    <row r="75" spans="1:26" s="2758" customFormat="1">
      <c r="A75" s="2758" t="s">
        <v>2634</v>
      </c>
      <c r="G75" s="2759"/>
      <c r="I75" s="2760"/>
      <c r="J75" s="2760"/>
      <c r="K75" s="2760"/>
      <c r="L75" s="2760"/>
      <c r="N75" s="2761"/>
      <c r="O75" s="2760"/>
      <c r="P75" s="2760"/>
      <c r="Q75" s="2760"/>
      <c r="S75" s="2761"/>
      <c r="T75" s="2760"/>
      <c r="U75" s="2760"/>
      <c r="V75" s="2760"/>
    </row>
    <row r="76" spans="1:26" s="2758" customFormat="1">
      <c r="A76" s="2758" t="s">
        <v>2635</v>
      </c>
      <c r="G76" s="2759"/>
      <c r="N76" s="2759"/>
      <c r="S76" s="2759"/>
    </row>
    <row r="83" spans="7:22" ht="13.5" thickBot="1"/>
    <row r="84" spans="7:22">
      <c r="G84" s="2684"/>
      <c r="S84" s="2762" t="s">
        <v>2636</v>
      </c>
      <c r="T84" s="2763" t="s">
        <v>2637</v>
      </c>
      <c r="U84" s="2763" t="s">
        <v>2638</v>
      </c>
      <c r="V84" s="2763" t="s">
        <v>2639</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4" sqref="E24"/>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1726</v>
      </c>
      <c r="B1" s="737"/>
      <c r="C1" s="772" t="s">
        <v>3082</v>
      </c>
      <c r="D1" s="3149" t="s">
        <v>3232</v>
      </c>
      <c r="E1" s="2408" t="s">
        <v>2375</v>
      </c>
      <c r="F1" s="2409">
        <f ca="1">J53</f>
        <v>46.61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1727</v>
      </c>
      <c r="B2" s="774">
        <f ca="1">C40+J29+L46</f>
        <v>2196</v>
      </c>
      <c r="C2" s="2054"/>
      <c r="D2" s="2052"/>
      <c r="E2" s="2053"/>
      <c r="F2" s="2053"/>
      <c r="G2" s="1588"/>
      <c r="H2" s="2054"/>
      <c r="I2" s="2054"/>
      <c r="J2" s="2054"/>
      <c r="K2" s="2055"/>
      <c r="L2" s="2054"/>
      <c r="M2" s="2054"/>
    </row>
    <row r="3" spans="1:33" ht="18" customHeight="1" thickBot="1">
      <c r="A3" s="832" t="s">
        <v>1728</v>
      </c>
      <c r="B3" s="833">
        <f ca="1">IF(ISERROR(B2*10000/F43),0,ROUND(B2*10000/F43,0))</f>
        <v>12513</v>
      </c>
      <c r="C3" s="2054"/>
      <c r="D3" s="2052"/>
      <c r="E3" s="2053"/>
      <c r="F3" s="2053"/>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190</v>
      </c>
      <c r="D5" s="2517" t="s">
        <v>2462</v>
      </c>
      <c r="E5" s="2511"/>
      <c r="F5" s="2512"/>
      <c r="G5" s="1590"/>
      <c r="H5" s="780">
        <v>1</v>
      </c>
      <c r="I5" s="781" t="s">
        <v>2459</v>
      </c>
      <c r="J5" s="55">
        <f ca="1">J6+J10+J12</f>
        <v>0</v>
      </c>
      <c r="K5" s="2517" t="s">
        <v>2462</v>
      </c>
      <c r="L5" s="2511"/>
      <c r="M5" s="2512"/>
    </row>
    <row r="6" spans="1:33" ht="18" customHeight="1">
      <c r="A6" s="1828" t="s">
        <v>1825</v>
      </c>
      <c r="B6" s="3478" t="s">
        <v>2464</v>
      </c>
      <c r="C6" s="782">
        <f ca="1">ROUND(F6*F8*F7*(1-F9)/10000,0)</f>
        <v>190</v>
      </c>
      <c r="D6" s="2518" t="s">
        <v>2463</v>
      </c>
      <c r="E6" s="783" t="s">
        <v>1739</v>
      </c>
      <c r="F6" s="784">
        <f ca="1">INDIRECT("'数据-取费表'!u"&amp;$G$1)</f>
        <v>3.3</v>
      </c>
      <c r="G6" s="1590"/>
      <c r="H6" s="2525" t="s">
        <v>2469</v>
      </c>
      <c r="I6" s="3478" t="s">
        <v>2464</v>
      </c>
      <c r="J6" s="782">
        <f ca="1">ROUND(M6*M8*M7*(1-M9)/10000,0)</f>
        <v>0</v>
      </c>
      <c r="K6" s="340" t="s">
        <v>1738</v>
      </c>
      <c r="L6" s="783" t="s">
        <v>1739</v>
      </c>
      <c r="M6" s="784">
        <f ca="1">INDIRECT("'数据-取费表'!z"&amp;$G$1)</f>
        <v>0</v>
      </c>
    </row>
    <row r="7" spans="1:33" ht="18" customHeight="1">
      <c r="A7" s="2521"/>
      <c r="B7" s="3479"/>
      <c r="C7" s="787"/>
      <c r="D7" s="788"/>
      <c r="E7" s="783" t="s">
        <v>1740</v>
      </c>
      <c r="F7" s="784">
        <f ca="1">IF(INDIRECT("'数据-取费表'!ah"&amp;$G$1)="",INDIRECT("'数据-取费表'!k"&amp;$G$1),INDIRECT("'数据-取费表'!ah"&amp;$G$1))</f>
        <v>1755</v>
      </c>
      <c r="G7" s="1590"/>
      <c r="H7" s="2510"/>
      <c r="I7" s="3479"/>
      <c r="J7" s="787"/>
      <c r="K7" s="788"/>
      <c r="L7" s="783" t="s">
        <v>1740</v>
      </c>
      <c r="M7" s="784">
        <f ca="1">F7</f>
        <v>1755</v>
      </c>
    </row>
    <row r="8" spans="1:33" ht="18" customHeight="1">
      <c r="A8" s="2514"/>
      <c r="B8" s="3480"/>
      <c r="C8" s="787"/>
      <c r="D8" s="788"/>
      <c r="E8" s="783" t="s">
        <v>1741</v>
      </c>
      <c r="F8" s="784">
        <f ca="1">INDIRECT("'数据-取费表'!ai"&amp;$G$1)</f>
        <v>365</v>
      </c>
      <c r="G8" s="1590"/>
      <c r="H8" s="2510"/>
      <c r="I8" s="3480"/>
      <c r="J8" s="787"/>
      <c r="K8" s="788"/>
      <c r="L8" s="783" t="s">
        <v>1741</v>
      </c>
      <c r="M8" s="784">
        <f ca="1">INDIRECT("'数据-取费表'!ai"&amp;$G$1)</f>
        <v>365</v>
      </c>
    </row>
    <row r="9" spans="1:33" ht="18" customHeight="1">
      <c r="A9" s="785"/>
      <c r="B9" s="3481"/>
      <c r="C9" s="787"/>
      <c r="D9" s="788"/>
      <c r="E9" s="783" t="s">
        <v>1742</v>
      </c>
      <c r="F9" s="793">
        <f ca="1">INDIRECT("'数据-取费表'!w"&amp;$G$1)</f>
        <v>0.1</v>
      </c>
      <c r="G9" s="1590"/>
      <c r="H9" s="2526"/>
      <c r="I9" s="3480"/>
      <c r="J9" s="787"/>
      <c r="K9" s="788"/>
      <c r="L9" s="794" t="s">
        <v>1742</v>
      </c>
      <c r="M9" s="795">
        <f ca="1">INDIRECT("'数据-取费表'!ab"&amp;$G$1)</f>
        <v>0</v>
      </c>
    </row>
    <row r="10" spans="1:33" ht="18" customHeight="1">
      <c r="A10" s="1828" t="s">
        <v>2467</v>
      </c>
      <c r="B10" s="2515" t="s">
        <v>2460</v>
      </c>
      <c r="C10" s="798">
        <f ca="1">ROUND(IF(F10="押一",C6/12*F11,IF(F10="押二",C6/12*2*F11,IF(F10="押三",C6/12*3*F11,C11*F11))),0)</f>
        <v>0</v>
      </c>
      <c r="D10" s="2522" t="s">
        <v>2971</v>
      </c>
      <c r="E10" s="2519" t="s">
        <v>2465</v>
      </c>
      <c r="F10" s="3225"/>
      <c r="G10" s="1590"/>
      <c r="H10" s="2582" t="s">
        <v>2470</v>
      </c>
      <c r="I10" s="2587" t="s">
        <v>2460</v>
      </c>
      <c r="J10" s="782">
        <f ca="1">ROUND(IF(M10="押一",J6/12*M11,IF(M10="押二",J6/12*2*M11,IF(M10="押三",J6/12*3*M11,J11*M11))),0)</f>
        <v>0</v>
      </c>
      <c r="K10" s="2522" t="s">
        <v>2971</v>
      </c>
      <c r="L10" s="2519" t="s">
        <v>2465</v>
      </c>
      <c r="M10" s="2642"/>
    </row>
    <row r="11" spans="1:33" ht="18" customHeight="1">
      <c r="A11" s="789"/>
      <c r="B11" s="2516" t="s">
        <v>2574</v>
      </c>
      <c r="C11" s="2520"/>
      <c r="D11" s="788"/>
      <c r="E11" s="2519" t="s">
        <v>2466</v>
      </c>
      <c r="F11" s="795">
        <f ca="1">'数据-取费表'!B39</f>
        <v>1.4999999999999999E-2</v>
      </c>
      <c r="G11" s="1590"/>
      <c r="H11" s="2583"/>
      <c r="I11" s="2516" t="s">
        <v>2574</v>
      </c>
      <c r="J11" s="2520"/>
      <c r="K11" s="2584"/>
      <c r="L11" s="2519" t="s">
        <v>2466</v>
      </c>
      <c r="M11" s="2513">
        <f ca="1">'数据-取费表'!B39</f>
        <v>1.4999999999999999E-2</v>
      </c>
    </row>
    <row r="12" spans="1:33" ht="18" customHeight="1" thickBot="1">
      <c r="A12" s="2558" t="s">
        <v>2468</v>
      </c>
      <c r="B12" s="2559" t="s">
        <v>2461</v>
      </c>
      <c r="C12" s="2560"/>
      <c r="D12" s="2561"/>
      <c r="E12" s="2562"/>
      <c r="F12" s="2563"/>
      <c r="G12" s="1590"/>
      <c r="H12" s="2572" t="s">
        <v>2471</v>
      </c>
      <c r="I12" s="2585" t="s">
        <v>2461</v>
      </c>
      <c r="J12" s="2586"/>
      <c r="K12" s="2561"/>
      <c r="L12" s="2562"/>
      <c r="M12" s="2575"/>
    </row>
    <row r="13" spans="1:33" ht="18" customHeight="1" thickTop="1">
      <c r="A13" s="1827">
        <v>2</v>
      </c>
      <c r="B13" s="1825" t="s">
        <v>1743</v>
      </c>
      <c r="C13" s="791">
        <f ca="1">ROUND(C29*F13,0)</f>
        <v>667</v>
      </c>
      <c r="D13" s="1832" t="s">
        <v>2297</v>
      </c>
      <c r="E13" s="1832" t="s">
        <v>1745</v>
      </c>
      <c r="F13" s="2557">
        <f ca="1">INDIRECT("'数据-取费表'!y"&amp;$G$1)</f>
        <v>1</v>
      </c>
      <c r="G13" s="1590"/>
      <c r="H13" s="1827">
        <v>2</v>
      </c>
      <c r="I13" s="1825" t="s">
        <v>1743</v>
      </c>
      <c r="J13" s="1817">
        <f ca="1">ROUND(J14*J15,0)</f>
        <v>0</v>
      </c>
      <c r="K13" s="1819" t="s">
        <v>1744</v>
      </c>
      <c r="L13" s="2573"/>
      <c r="M13" s="2574"/>
    </row>
    <row r="14" spans="1:33" ht="18" customHeight="1">
      <c r="A14" s="1646" t="s">
        <v>1885</v>
      </c>
      <c r="B14" s="783" t="s">
        <v>645</v>
      </c>
      <c r="C14" s="803">
        <f ca="1">INDIRECT("'数据-取费表'!m"&amp;$G$1)+INDIRECT("'数据-取费表'!t"&amp;$G$1)</f>
        <v>473</v>
      </c>
      <c r="D14" s="1976" t="s">
        <v>1746</v>
      </c>
      <c r="E14" s="1977"/>
      <c r="F14" s="804"/>
      <c r="G14" s="1590"/>
      <c r="H14" s="1647" t="s">
        <v>1831</v>
      </c>
      <c r="I14" s="2228" t="s">
        <v>2826</v>
      </c>
      <c r="J14" s="53">
        <f ca="1">C29</f>
        <v>667</v>
      </c>
      <c r="K14" s="26"/>
      <c r="L14" s="800"/>
      <c r="M14" s="801"/>
    </row>
    <row r="15" spans="1:33" s="2061" customFormat="1" ht="18" customHeight="1" thickBot="1">
      <c r="A15" s="1646" t="s">
        <v>1886</v>
      </c>
      <c r="B15" s="783" t="s">
        <v>647</v>
      </c>
      <c r="C15" s="53">
        <f ca="1">ROUND(C14*F15,0)</f>
        <v>14</v>
      </c>
      <c r="D15" s="805" t="s">
        <v>1747</v>
      </c>
      <c r="E15" s="805" t="s">
        <v>1748</v>
      </c>
      <c r="F15" s="806">
        <f>'数据-取费表'!B33</f>
        <v>0.03</v>
      </c>
      <c r="G15" s="1591"/>
      <c r="H15" s="2572" t="s">
        <v>1890</v>
      </c>
      <c r="I15" s="2567" t="s">
        <v>1745</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16</v>
      </c>
      <c r="K16" s="1819" t="s">
        <v>1751</v>
      </c>
      <c r="L16" s="2507"/>
      <c r="M16" s="2512"/>
    </row>
    <row r="17" spans="1:33" s="2061" customFormat="1" ht="18" customHeight="1">
      <c r="A17" s="1646" t="s">
        <v>1888</v>
      </c>
      <c r="B17" s="783" t="s">
        <v>653</v>
      </c>
      <c r="C17" s="53">
        <f ca="1">ROUND(F17*(F43+INDIRECT("'数据-取费表'!S"&amp;$G$1))/10000,0)</f>
        <v>38</v>
      </c>
      <c r="D17" s="783" t="s">
        <v>1752</v>
      </c>
      <c r="E17" s="783" t="s">
        <v>1753</v>
      </c>
      <c r="F17" s="56">
        <f>'数据-取费表'!B35</f>
        <v>200</v>
      </c>
      <c r="G17" s="1591"/>
      <c r="H17" s="1647" t="s">
        <v>1831</v>
      </c>
      <c r="I17" s="783" t="s">
        <v>656</v>
      </c>
      <c r="J17" s="53">
        <f ca="1">ROUND(IF(项目基本情况!B11="自然人",J5*M17,J18+J19+J20),0)</f>
        <v>6</v>
      </c>
      <c r="K17" s="2506" t="s">
        <v>1754</v>
      </c>
      <c r="L17" s="2505" t="s">
        <v>1755</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3" t="s">
        <v>659</v>
      </c>
      <c r="C18" s="53">
        <f ca="1">ROUND(C14*F18,0)</f>
        <v>7</v>
      </c>
      <c r="D18" s="783" t="s">
        <v>1747</v>
      </c>
      <c r="E18" s="783" t="s">
        <v>1748</v>
      </c>
      <c r="F18" s="808">
        <f>'数据-取费表'!B36</f>
        <v>1.4999999999999999E-2</v>
      </c>
      <c r="G18" s="1591"/>
      <c r="H18" s="1646" t="s">
        <v>1885</v>
      </c>
      <c r="I18" s="783" t="s">
        <v>1756</v>
      </c>
      <c r="J18" s="53">
        <f ca="1">ROUND(J5*M18/1.05,1)</f>
        <v>0</v>
      </c>
      <c r="K18" s="2505" t="s">
        <v>1757</v>
      </c>
      <c r="L18" s="783" t="s">
        <v>1748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1831</v>
      </c>
      <c r="B19" s="783" t="s">
        <v>662</v>
      </c>
      <c r="C19" s="53">
        <f ca="1">SUM(C14:C18)</f>
        <v>532</v>
      </c>
      <c r="D19" s="260" t="s">
        <v>1758</v>
      </c>
      <c r="E19" s="1979"/>
      <c r="F19" s="56"/>
      <c r="G19" s="1590"/>
      <c r="H19" s="1646" t="s">
        <v>1886</v>
      </c>
      <c r="I19" s="783" t="s">
        <v>1759</v>
      </c>
      <c r="J19" s="53">
        <f ca="1">IF(K19="按租金收入计税",ROUND(J5*M19,1),ROUND(C29*F33*0.7,1))</f>
        <v>5.6</v>
      </c>
      <c r="K19" s="810" t="s">
        <v>665</v>
      </c>
      <c r="L19" s="783" t="s">
        <v>1748</v>
      </c>
      <c r="M19" s="808">
        <f>IF(K19="按租金收入计税",'数据-取费表'!B51,'数据-取费表'!B50)</f>
        <v>1.2E-2</v>
      </c>
    </row>
    <row r="20" spans="1:33" s="2061" customFormat="1" ht="18" customHeight="1">
      <c r="A20" s="1647" t="s">
        <v>1890</v>
      </c>
      <c r="B20" s="783" t="s">
        <v>666</v>
      </c>
      <c r="C20" s="53">
        <f ca="1">ROUND(C19*F20,0)</f>
        <v>11</v>
      </c>
      <c r="D20" s="811" t="s">
        <v>1760</v>
      </c>
      <c r="E20" s="783" t="s">
        <v>1748</v>
      </c>
      <c r="F20" s="808">
        <f>'数据-取费表'!B37</f>
        <v>0.02</v>
      </c>
      <c r="G20" s="1591"/>
      <c r="H20" s="1649" t="s">
        <v>1881</v>
      </c>
      <c r="I20" s="340" t="s">
        <v>1761</v>
      </c>
      <c r="J20" s="54">
        <f ca="1">ROUND(M20*M21/10000,0)</f>
        <v>0</v>
      </c>
      <c r="K20" s="813" t="s">
        <v>1762</v>
      </c>
      <c r="L20" s="783" t="s">
        <v>1763</v>
      </c>
      <c r="M20" s="639">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3" t="s">
        <v>1764</v>
      </c>
      <c r="C21" s="53" t="s">
        <v>1765</v>
      </c>
      <c r="D21" s="811" t="s">
        <v>2298</v>
      </c>
      <c r="E21" s="783" t="s">
        <v>1766</v>
      </c>
      <c r="F21" s="808">
        <f>'数据-取费表'!B38</f>
        <v>0.02</v>
      </c>
      <c r="G21" s="1591"/>
      <c r="H21" s="2527"/>
      <c r="I21" s="792"/>
      <c r="J21" s="69"/>
      <c r="K21" s="815"/>
      <c r="L21" s="783" t="s">
        <v>1767</v>
      </c>
      <c r="M21" s="784">
        <f ca="1">INDIRECT("'数据-取费表'!r"&amp;$G$1)</f>
        <v>361.48</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3" t="s">
        <v>1768</v>
      </c>
      <c r="C22" s="53"/>
      <c r="D22" s="2593" t="str">
        <f>IF(F23&lt;=1,"单利计息。","复利计息。")&amp;"建造成本、管理费用、销售费用产生的利息。"</f>
        <v>复利计息。建造成本、管理费用、销售费用产生的利息。</v>
      </c>
      <c r="E22" s="1979"/>
      <c r="F22" s="56"/>
      <c r="G22" s="1590"/>
      <c r="H22" s="1647" t="s">
        <v>1890</v>
      </c>
      <c r="I22" s="783" t="s">
        <v>1769</v>
      </c>
      <c r="J22" s="53">
        <f ca="1">ROUND(J14*M22,0)</f>
        <v>10</v>
      </c>
      <c r="K22" s="2505" t="s">
        <v>1770</v>
      </c>
      <c r="L22" s="783" t="s">
        <v>1748</v>
      </c>
      <c r="M22" s="816">
        <f ca="1">INDIRECT("'数据-取费表'!Ak"&amp;$G$1)</f>
        <v>1.4999999999999999E-2</v>
      </c>
    </row>
    <row r="23" spans="1:33" s="2061" customFormat="1" ht="18" customHeight="1">
      <c r="A23" s="1646" t="s">
        <v>1832</v>
      </c>
      <c r="B23" s="783" t="s">
        <v>2536</v>
      </c>
      <c r="C23" s="53">
        <f ca="1">ROUND(IF('数据-取费表'!B22&lt;=1,(C19+C20)*F24*F23/2,(C19+C20)*(POWER((1+F24),F23/2)-1)),0)</f>
        <v>19</v>
      </c>
      <c r="D23" s="2592" t="str">
        <f>IF(F23&lt;=1,"(建造成本+管理费用)×利率×(建设周期÷2)","(建造成本+管理费用)×((1+利率)^(建设周期÷2)-1)")</f>
        <v>(建造成本+管理费用)×((1+利率)^(建设周期÷2)-1)</v>
      </c>
      <c r="E23" s="783" t="s">
        <v>1771</v>
      </c>
      <c r="F23" s="639">
        <f>'数据-取费表'!B20</f>
        <v>1.5</v>
      </c>
      <c r="G23" s="1591"/>
      <c r="H23" s="1647" t="s">
        <v>1891</v>
      </c>
      <c r="I23" s="783" t="s">
        <v>679</v>
      </c>
      <c r="J23" s="53">
        <f ca="1">ROUND(J13*M23,0)</f>
        <v>0</v>
      </c>
      <c r="K23" s="2505" t="s">
        <v>1772</v>
      </c>
      <c r="L23" s="783" t="s">
        <v>1748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3" t="s">
        <v>1773</v>
      </c>
      <c r="C24" s="53">
        <f ca="1">ROUND(IF('数据-取费表'!B22&lt;=1,F21*F24*F23/2,F21*(POWER((1+F24),F23/2)-1)),4)</f>
        <v>6.9999999999999999E-4</v>
      </c>
      <c r="D24" s="2592" t="str">
        <f>IF(F23&lt;=1,"销售费用×利率×(建设周期÷2)","销售费用×((1+利率)^(建设周期÷2)-1)")</f>
        <v>销售费用×((1+利率)^(建设周期÷2)-1)</v>
      </c>
      <c r="E24" s="783" t="s">
        <v>1774</v>
      </c>
      <c r="F24" s="818">
        <f ca="1">'数据-取费表'!B40</f>
        <v>4.7500000000000001E-2</v>
      </c>
      <c r="G24" s="1591"/>
      <c r="H24" s="2572" t="s">
        <v>1892</v>
      </c>
      <c r="I24" s="2567" t="s">
        <v>666</v>
      </c>
      <c r="J24" s="2565">
        <f ca="1">ROUND(J5*M24,0)</f>
        <v>0</v>
      </c>
      <c r="K24" s="2566" t="s">
        <v>1775</v>
      </c>
      <c r="L24" s="2567" t="s">
        <v>1748</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3" t="s">
        <v>684</v>
      </c>
      <c r="C25" s="53"/>
      <c r="D25" s="260" t="s">
        <v>1776</v>
      </c>
      <c r="E25" s="1979"/>
      <c r="F25" s="56"/>
      <c r="G25" s="1590"/>
      <c r="H25" s="1827" t="s">
        <v>1777</v>
      </c>
      <c r="I25" s="3031" t="s">
        <v>2822</v>
      </c>
      <c r="J25" s="791">
        <f ca="1">J5-J16</f>
        <v>-16</v>
      </c>
      <c r="K25" s="2569" t="s">
        <v>1778</v>
      </c>
      <c r="L25" s="2570"/>
      <c r="M25" s="2571"/>
    </row>
    <row r="26" spans="1:33" ht="18" customHeight="1">
      <c r="A26" s="1646" t="s">
        <v>1832</v>
      </c>
      <c r="B26" s="783" t="s">
        <v>2439</v>
      </c>
      <c r="C26" s="53">
        <f ca="1">ROUND((C19+C20)*F26,0)</f>
        <v>54</v>
      </c>
      <c r="D26" s="811" t="s">
        <v>1779</v>
      </c>
      <c r="E26" s="794" t="s">
        <v>1780</v>
      </c>
      <c r="F26" s="793">
        <f ca="1">INDIRECT("'数据-取费表'!q"&amp;$G$1)</f>
        <v>0.1</v>
      </c>
      <c r="G26" s="1590"/>
      <c r="H26" s="2523" t="s">
        <v>1781</v>
      </c>
      <c r="I26" s="2229" t="s">
        <v>2827</v>
      </c>
      <c r="J26" s="782">
        <f ca="1">IF(J5&lt;&gt;0,ROUND(J25*(1-((1+M28)/(1+M26))^M27)/(M26-M28),0),0)</f>
        <v>0</v>
      </c>
      <c r="K26" s="813" t="s">
        <v>1782</v>
      </c>
      <c r="L26" s="783" t="s">
        <v>2420</v>
      </c>
      <c r="M26" s="793">
        <f ca="1">INDIRECT("'数据-取费表'!I"&amp;$G$1)</f>
        <v>0.09</v>
      </c>
    </row>
    <row r="27" spans="1:33" ht="18" customHeight="1">
      <c r="A27" s="1646" t="s">
        <v>1833</v>
      </c>
      <c r="B27" s="783" t="s">
        <v>686</v>
      </c>
      <c r="C27" s="53">
        <f ca="1">ROUND(F21*F26,4)</f>
        <v>2E-3</v>
      </c>
      <c r="D27" s="811" t="s">
        <v>1783</v>
      </c>
      <c r="E27" s="805"/>
      <c r="F27" s="806"/>
      <c r="G27" s="1590"/>
      <c r="H27" s="2524"/>
      <c r="I27" s="786"/>
      <c r="J27" s="787"/>
      <c r="K27" s="820" t="s">
        <v>1784</v>
      </c>
      <c r="L27" s="783" t="s">
        <v>1785</v>
      </c>
      <c r="M27" s="821">
        <f ca="1">INDIRECT("'数据-取费表'!ag"&amp;$G$1)</f>
        <v>0</v>
      </c>
    </row>
    <row r="28" spans="1:33" s="2061" customFormat="1" ht="18" customHeight="1">
      <c r="A28" s="1648" t="s">
        <v>1842</v>
      </c>
      <c r="B28" s="783" t="s">
        <v>687</v>
      </c>
      <c r="C28" s="53">
        <f>ROUND(F28/(1+'数据-取费表'!C42),4)</f>
        <v>5.33E-2</v>
      </c>
      <c r="D28" s="811" t="s">
        <v>2299</v>
      </c>
      <c r="E28" s="783" t="s">
        <v>1786</v>
      </c>
      <c r="F28" s="808">
        <f>'数据-取费表'!B41</f>
        <v>5.6000000000000001E-2</v>
      </c>
      <c r="G28" s="1591"/>
      <c r="H28" s="1827"/>
      <c r="I28" s="790"/>
      <c r="J28" s="791"/>
      <c r="K28" s="815"/>
      <c r="L28" s="783" t="s">
        <v>1787</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2300</v>
      </c>
      <c r="C29" s="2565">
        <f ca="1">ROUND((C19+C20+C23+C26)/(1-F21-C24-C27-C28),0)</f>
        <v>667</v>
      </c>
      <c r="D29" s="2566"/>
      <c r="E29" s="2567"/>
      <c r="F29" s="2568"/>
      <c r="G29" s="1591"/>
      <c r="H29" s="822" t="s">
        <v>1788</v>
      </c>
      <c r="I29" s="823" t="s">
        <v>1789</v>
      </c>
      <c r="J29" s="824">
        <f ca="1">ROUND(J26/(1+F40)^F41,0)</f>
        <v>0</v>
      </c>
      <c r="K29" s="825" t="s">
        <v>1790</v>
      </c>
      <c r="L29" s="826"/>
      <c r="M29" s="827">
        <f ca="1">INDIRECT("'数据-取费表'!k"&amp;$G$1)</f>
        <v>1755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1894</v>
      </c>
      <c r="B30" s="1825" t="s">
        <v>1791</v>
      </c>
      <c r="C30" s="791">
        <f ca="1">ROUND(C31+C36+C37+C38,0)</f>
        <v>29</v>
      </c>
      <c r="D30" s="1819" t="s">
        <v>1792</v>
      </c>
      <c r="E30" s="2507"/>
      <c r="F30" s="2512"/>
      <c r="G30" s="2059"/>
      <c r="H30" s="2062"/>
      <c r="I30" s="2063"/>
      <c r="J30" s="2064"/>
      <c r="K30" s="2065"/>
      <c r="L30" s="2066"/>
      <c r="M30" s="2067"/>
    </row>
    <row r="31" spans="1:33" ht="18" customHeight="1">
      <c r="A31" s="1647" t="s">
        <v>1831</v>
      </c>
      <c r="B31" s="783" t="s">
        <v>656</v>
      </c>
      <c r="C31" s="53">
        <f ca="1">ROUND(IF(项目基本情况!B11="自然人",C5*F31,C32+C33+C34),1)</f>
        <v>15.8</v>
      </c>
      <c r="D31" s="1976" t="s">
        <v>1793</v>
      </c>
      <c r="E31" s="1974" t="s">
        <v>1794</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3" t="s">
        <v>1795</v>
      </c>
      <c r="C32" s="53">
        <f ca="1">ROUND(C5*F32/1.05,1)</f>
        <v>10.1</v>
      </c>
      <c r="D32" s="1974" t="s">
        <v>1796</v>
      </c>
      <c r="E32" s="783" t="s">
        <v>1797</v>
      </c>
      <c r="F32" s="808">
        <f>'数据-取费表'!B41</f>
        <v>5.6000000000000001E-2</v>
      </c>
      <c r="G32" s="2059"/>
      <c r="H32" s="2068"/>
      <c r="I32" s="2069"/>
      <c r="J32" s="2070"/>
      <c r="K32" s="2071"/>
      <c r="L32" s="2072"/>
      <c r="M32" s="2073"/>
    </row>
    <row r="33" spans="1:18" ht="18" customHeight="1">
      <c r="A33" s="1646" t="s">
        <v>1833</v>
      </c>
      <c r="B33" s="783" t="s">
        <v>1798</v>
      </c>
      <c r="C33" s="53">
        <f ca="1">IF(D33="按租金收入计税",ROUND(C5*F33,1),IF(D33="按房产原值计税",ROUND(C29*F33*0.7,1),INDIRECT("'数据-取费表'!Aj"&amp;$G$1)))</f>
        <v>5.6</v>
      </c>
      <c r="D33" s="3224" t="s">
        <v>1681</v>
      </c>
      <c r="E33" s="783" t="s">
        <v>1797</v>
      </c>
      <c r="F33" s="808">
        <f>IF(D33="按租金收入计税",'数据-取费表'!B51,'数据-取费表'!B50)</f>
        <v>1.2E-2</v>
      </c>
      <c r="G33" s="2059"/>
      <c r="H33" s="2074"/>
      <c r="I33" s="2074"/>
      <c r="J33" s="2074"/>
      <c r="K33" s="2075"/>
      <c r="L33" s="2074"/>
      <c r="M33" s="2074"/>
    </row>
    <row r="34" spans="1:18" ht="18" customHeight="1">
      <c r="A34" s="1649" t="s">
        <v>1834</v>
      </c>
      <c r="B34" s="340" t="s">
        <v>1799</v>
      </c>
      <c r="C34" s="54">
        <f ca="1">ROUND(F34*F35/10000,1)</f>
        <v>0.1</v>
      </c>
      <c r="D34" s="813" t="s">
        <v>1800</v>
      </c>
      <c r="E34" s="783" t="s">
        <v>1801</v>
      </c>
      <c r="F34" s="639">
        <f>'数据-取费表'!B52</f>
        <v>3</v>
      </c>
      <c r="G34" s="2059"/>
      <c r="H34" s="2062"/>
      <c r="I34" s="834" t="s">
        <v>1814</v>
      </c>
      <c r="J34" s="835"/>
      <c r="K34" s="2077"/>
      <c r="L34" s="2076"/>
      <c r="M34" s="2076"/>
    </row>
    <row r="35" spans="1:18" ht="18" customHeight="1">
      <c r="A35" s="814"/>
      <c r="B35" s="792"/>
      <c r="C35" s="69"/>
      <c r="D35" s="815"/>
      <c r="E35" s="783" t="s">
        <v>1802</v>
      </c>
      <c r="F35" s="784">
        <f ca="1">INDIRECT("'数据-取费表'!r"&amp;$G$1)</f>
        <v>361.48</v>
      </c>
      <c r="G35" s="2059"/>
      <c r="H35" s="2062"/>
      <c r="I35" s="836" t="s">
        <v>1815</v>
      </c>
      <c r="J35" s="837">
        <f ca="1">ROUND(C13*J36,0)</f>
        <v>57</v>
      </c>
      <c r="K35" s="2075"/>
      <c r="L35" s="2074"/>
      <c r="M35" s="2074"/>
    </row>
    <row r="36" spans="1:18" ht="18" customHeight="1">
      <c r="A36" s="1647" t="s">
        <v>1890</v>
      </c>
      <c r="B36" s="783" t="s">
        <v>1803</v>
      </c>
      <c r="C36" s="53">
        <f ca="1">ROUND(C29*F36,1)</f>
        <v>10</v>
      </c>
      <c r="D36" s="1974" t="s">
        <v>1804</v>
      </c>
      <c r="E36" s="783" t="s">
        <v>1797</v>
      </c>
      <c r="F36" s="816">
        <f ca="1">INDIRECT("'数据-取费表'!Ak"&amp;$G$1)</f>
        <v>1.4999999999999999E-2</v>
      </c>
      <c r="G36" s="2059"/>
      <c r="H36" s="2074"/>
      <c r="I36" s="838" t="s">
        <v>1816</v>
      </c>
      <c r="J36" s="839">
        <f ca="1">INDIRECT("'数据-取费表'!j"&amp;$G$1)</f>
        <v>8.5000000000000006E-2</v>
      </c>
      <c r="K36" s="2079"/>
      <c r="L36" s="2074"/>
      <c r="M36" s="2074"/>
    </row>
    <row r="37" spans="1:18" ht="18" customHeight="1">
      <c r="A37" s="1647" t="s">
        <v>1891</v>
      </c>
      <c r="B37" s="783" t="s">
        <v>679</v>
      </c>
      <c r="C37" s="53">
        <f ca="1">ROUND(C13*F37,1)</f>
        <v>1</v>
      </c>
      <c r="D37" s="1974" t="s">
        <v>1805</v>
      </c>
      <c r="E37" s="783" t="s">
        <v>1797</v>
      </c>
      <c r="F37" s="817">
        <f ca="1">INDIRECT("'数据-取费表'!Al"&amp;$G$1)</f>
        <v>1.5E-3</v>
      </c>
      <c r="G37" s="2059"/>
      <c r="H37" s="2074"/>
      <c r="I37" s="840" t="s">
        <v>1817</v>
      </c>
      <c r="J37" s="841"/>
      <c r="K37" s="2079"/>
      <c r="L37" s="2074"/>
      <c r="M37" s="2074"/>
    </row>
    <row r="38" spans="1:18" ht="18" customHeight="1" thickBot="1">
      <c r="A38" s="2572" t="s">
        <v>1892</v>
      </c>
      <c r="B38" s="2567" t="s">
        <v>666</v>
      </c>
      <c r="C38" s="2565">
        <f ca="1">ROUND(C5*F38,1)</f>
        <v>1.9</v>
      </c>
      <c r="D38" s="2566" t="s">
        <v>1806</v>
      </c>
      <c r="E38" s="2567" t="s">
        <v>1797</v>
      </c>
      <c r="F38" s="2563">
        <f ca="1">INDIRECT("'数据-取费表'!Am"&amp;$G$1)</f>
        <v>0.01</v>
      </c>
      <c r="G38" s="2059"/>
      <c r="H38" s="2074"/>
      <c r="I38" s="842" t="s">
        <v>1818</v>
      </c>
      <c r="J38" s="843"/>
      <c r="K38" s="2080"/>
      <c r="L38" s="2074"/>
      <c r="M38" s="2074"/>
    </row>
    <row r="39" spans="1:18" ht="24.6" customHeight="1" thickTop="1">
      <c r="A39" s="1827" t="s">
        <v>1895</v>
      </c>
      <c r="B39" s="3031" t="s">
        <v>2822</v>
      </c>
      <c r="C39" s="791">
        <f ca="1">C5-C30</f>
        <v>161</v>
      </c>
      <c r="D39" s="2569" t="s">
        <v>1807</v>
      </c>
      <c r="E39" s="2570"/>
      <c r="F39" s="2571"/>
      <c r="G39" s="2059"/>
      <c r="H39" s="2074"/>
      <c r="I39" s="836" t="s">
        <v>1819</v>
      </c>
      <c r="J39" s="844">
        <f ca="1">ROUND(J35/C39,3)</f>
        <v>0.35399999999999998</v>
      </c>
      <c r="K39" s="2080"/>
      <c r="L39" s="2074"/>
      <c r="M39" s="2074"/>
    </row>
    <row r="40" spans="1:18" ht="18" customHeight="1">
      <c r="A40" s="780" t="s">
        <v>1896</v>
      </c>
      <c r="B40" s="2229" t="s">
        <v>2301</v>
      </c>
      <c r="C40" s="782">
        <f ca="1">ROUND(C39*(1-((1+F42)/(1+F40))^F41)/(F40-F42),0)</f>
        <v>2196</v>
      </c>
      <c r="D40" s="813" t="s">
        <v>1808</v>
      </c>
      <c r="E40" s="783" t="s">
        <v>2420</v>
      </c>
      <c r="F40" s="793">
        <f ca="1">INDIRECT("'数据-取费表'!I"&amp;$G$1)</f>
        <v>0.09</v>
      </c>
      <c r="G40" s="2059"/>
      <c r="H40" s="2059"/>
      <c r="I40" s="836" t="s">
        <v>1820</v>
      </c>
      <c r="J40" s="844">
        <f ca="1">1-J39</f>
        <v>0.64600000000000002</v>
      </c>
      <c r="K40" s="2080"/>
      <c r="L40" s="2059"/>
      <c r="M40" s="2059"/>
    </row>
    <row r="41" spans="1:18" ht="18" customHeight="1">
      <c r="A41" s="785"/>
      <c r="B41" s="786"/>
      <c r="C41" s="787"/>
      <c r="D41" s="820" t="s">
        <v>1809</v>
      </c>
      <c r="E41" s="783" t="s">
        <v>2961</v>
      </c>
      <c r="F41" s="821">
        <f ca="1">IF(INDIRECT("'数据-取费表'!af"&amp;$G$1)=0,INDIRECT("'数据-取费表'!ae"&amp;$G$1),INDIRECT("'数据-取费表'!af"&amp;$G$1))</f>
        <v>46.61</v>
      </c>
      <c r="G41" s="2059"/>
      <c r="H41" s="1985"/>
      <c r="I41" s="842" t="s">
        <v>1821</v>
      </c>
      <c r="J41" s="845"/>
      <c r="K41" s="2079"/>
      <c r="L41" s="1985"/>
      <c r="M41" s="1985"/>
    </row>
    <row r="42" spans="1:18" ht="18" customHeight="1">
      <c r="A42" s="789"/>
      <c r="B42" s="790"/>
      <c r="C42" s="791"/>
      <c r="D42" s="815"/>
      <c r="E42" s="783" t="s">
        <v>1810</v>
      </c>
      <c r="F42" s="793">
        <f ca="1">INDIRECT("'数据-取费表'!v"&amp;$G$1)</f>
        <v>0.02</v>
      </c>
      <c r="G42" s="2059"/>
      <c r="H42" s="1985"/>
      <c r="I42" s="846" t="s">
        <v>1822</v>
      </c>
      <c r="J42" s="844">
        <f ca="1">ROUND(C13/C40,3)</f>
        <v>0.30399999999999999</v>
      </c>
      <c r="K42" s="2079"/>
      <c r="L42" s="1985"/>
      <c r="M42" s="1985"/>
    </row>
    <row r="43" spans="1:18" ht="18" customHeight="1" thickBot="1">
      <c r="A43" s="822" t="s">
        <v>1788</v>
      </c>
      <c r="B43" s="823" t="s">
        <v>1811</v>
      </c>
      <c r="C43" s="824">
        <f ca="1">ROUND(C40*10000/F43,0)</f>
        <v>12513</v>
      </c>
      <c r="D43" s="825" t="s">
        <v>1812</v>
      </c>
      <c r="E43" s="826" t="s">
        <v>1813</v>
      </c>
      <c r="F43" s="827">
        <f ca="1">INDIRECT("'数据-取费表'!k"&amp;$G$1)</f>
        <v>1755</v>
      </c>
      <c r="G43" s="2059"/>
      <c r="H43" s="1985"/>
      <c r="I43" s="846" t="s">
        <v>1823</v>
      </c>
      <c r="J43" s="847">
        <f ca="1">1-J42</f>
        <v>0.69599999999999995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95">
        <f ca="1">C67-C40</f>
        <v>-2381</v>
      </c>
      <c r="D46" s="2082"/>
      <c r="E46" s="2082"/>
      <c r="F46" s="2082"/>
      <c r="I46" s="2375" t="s">
        <v>2343</v>
      </c>
      <c r="J46" s="2376"/>
      <c r="K46" s="2377"/>
      <c r="L46" s="2378">
        <f>IF(OR(M47="住宅",D1="土地（套用方法）"),0,IF(L48&gt;J51,L60,J60))</f>
        <v>0</v>
      </c>
      <c r="O46" s="2415" t="s">
        <v>2411</v>
      </c>
      <c r="P46" s="1590"/>
      <c r="Q46" s="1602"/>
      <c r="R46" s="1590"/>
    </row>
    <row r="47" spans="1:18" s="2056" customFormat="1" ht="18" customHeight="1" thickBot="1">
      <c r="A47" s="2369">
        <v>1</v>
      </c>
      <c r="B47" s="2370" t="s">
        <v>635</v>
      </c>
      <c r="C47" s="2595">
        <f ca="1">C48+C52+C54</f>
        <v>0</v>
      </c>
      <c r="D47" s="2082"/>
      <c r="E47" s="2082"/>
      <c r="F47" s="2082"/>
      <c r="I47" s="2379" t="s">
        <v>2344</v>
      </c>
      <c r="J47" s="2384" t="s">
        <v>3233</v>
      </c>
      <c r="K47" s="2385" t="s">
        <v>2350</v>
      </c>
      <c r="L47" s="2386">
        <f ca="1">INDIRECT("'数据-取费表'!d"&amp;$G$1)</f>
        <v>50</v>
      </c>
      <c r="M47" s="1602" t="str">
        <f>IF(ISNUMBER(FIND("住宅",C1)),"住宅","非住宅")</f>
        <v>非住宅</v>
      </c>
      <c r="O47" s="2416" t="s">
        <v>2376</v>
      </c>
      <c r="P47" s="2417" t="s">
        <v>2377</v>
      </c>
      <c r="Q47" s="2418" t="s">
        <v>2378</v>
      </c>
      <c r="R47" s="2417" t="s">
        <v>2379</v>
      </c>
    </row>
    <row r="48" spans="1:18" s="2056" customFormat="1" ht="18" customHeight="1" thickBot="1">
      <c r="A48" s="2663" t="s">
        <v>2538</v>
      </c>
      <c r="B48" s="2664" t="s">
        <v>2539</v>
      </c>
      <c r="C48" s="2371">
        <f ca="1">ROUND(F48*F50*F49*(1-F51)/10000,0)</f>
        <v>0</v>
      </c>
      <c r="D48" s="2372" t="s">
        <v>636</v>
      </c>
      <c r="E48" s="2373" t="s">
        <v>2296</v>
      </c>
      <c r="F48" s="2374"/>
      <c r="G48" s="2087"/>
      <c r="I48" s="2380" t="s">
        <v>2345</v>
      </c>
      <c r="J48" s="2387" t="s">
        <v>2351</v>
      </c>
      <c r="K48" s="2388" t="s">
        <v>2352</v>
      </c>
      <c r="L48" s="2389">
        <f ca="1">INDIRECT("'数据-取费表'!f"&amp;$G$1)</f>
        <v>48.11</v>
      </c>
      <c r="O48" s="2419" t="s">
        <v>2380</v>
      </c>
      <c r="P48" s="2420" t="s">
        <v>2406</v>
      </c>
      <c r="Q48" s="2421">
        <f ca="1">C40+J29</f>
        <v>2196</v>
      </c>
      <c r="R48" s="2420" t="s">
        <v>2381</v>
      </c>
    </row>
    <row r="49" spans="1:18" s="2056" customFormat="1" ht="18" customHeight="1" thickBot="1">
      <c r="A49" s="785"/>
      <c r="B49" s="786"/>
      <c r="C49" s="787"/>
      <c r="D49" s="788"/>
      <c r="E49" s="783" t="s">
        <v>1740</v>
      </c>
      <c r="F49" s="784">
        <f ca="1">F7</f>
        <v>1755</v>
      </c>
      <c r="G49" s="2087"/>
      <c r="H49" s="2090"/>
      <c r="I49" s="2380" t="s">
        <v>2346</v>
      </c>
      <c r="J49" s="2390">
        <v>2018</v>
      </c>
      <c r="K49" s="2391" t="s">
        <v>2353</v>
      </c>
      <c r="L49" s="2392"/>
      <c r="O49" s="2419" t="s">
        <v>2382</v>
      </c>
      <c r="P49" s="2420" t="s">
        <v>2407</v>
      </c>
      <c r="Q49" s="2421" t="str">
        <f ca="1">J60</f>
        <v>0</v>
      </c>
      <c r="R49" s="2420" t="s">
        <v>2383</v>
      </c>
    </row>
    <row r="50" spans="1:18" s="2056" customFormat="1" ht="18" customHeight="1" thickBot="1">
      <c r="A50" s="785"/>
      <c r="B50" s="786"/>
      <c r="C50" s="787"/>
      <c r="D50" s="788"/>
      <c r="E50" s="783" t="s">
        <v>1741</v>
      </c>
      <c r="F50" s="784">
        <f ca="1">F8</f>
        <v>365</v>
      </c>
      <c r="G50" s="2092"/>
      <c r="H50" s="2090"/>
      <c r="I50" s="2380" t="s">
        <v>2347</v>
      </c>
      <c r="J50" s="2393">
        <f>SUMPRODUCT((I63:I65=J47)*(J62:L62=J48)*(J63:L65))</f>
        <v>60</v>
      </c>
      <c r="K50" s="2391" t="s">
        <v>2354</v>
      </c>
      <c r="L50" s="2392"/>
      <c r="O50" s="2422" t="s">
        <v>2384</v>
      </c>
      <c r="P50" s="2420" t="s">
        <v>2408</v>
      </c>
      <c r="Q50" s="2421">
        <f ca="1">C29</f>
        <v>667</v>
      </c>
      <c r="R50" s="2420" t="s">
        <v>2381</v>
      </c>
    </row>
    <row r="51" spans="1:18" s="2056" customFormat="1" ht="18" customHeight="1" thickBot="1">
      <c r="A51" s="785"/>
      <c r="B51" s="786"/>
      <c r="C51" s="787"/>
      <c r="D51" s="788"/>
      <c r="E51" s="783" t="s">
        <v>640</v>
      </c>
      <c r="F51" s="2368"/>
      <c r="H51" s="2090"/>
      <c r="I51" s="2381" t="s">
        <v>2348</v>
      </c>
      <c r="J51" s="2394">
        <f>IF(J49="",J50,J49+J50-YEAR('数据-取费表'!B2))</f>
        <v>60</v>
      </c>
      <c r="K51" s="2380" t="s">
        <v>2355</v>
      </c>
      <c r="L51" s="2395">
        <f ca="1">ROUND(-PV(INDIRECT("'数据-取费表'!h"&amp;$G$1),L48,(C39-C13*J36),0),0)</f>
        <v>1272</v>
      </c>
      <c r="O51" s="2422" t="s">
        <v>2385</v>
      </c>
      <c r="P51" s="2420" t="s">
        <v>2386</v>
      </c>
      <c r="Q51" s="2423" t="e">
        <f ca="1">J58</f>
        <v>#VALUE!</v>
      </c>
      <c r="R51" s="2424"/>
    </row>
    <row r="52" spans="1:18" s="2056" customFormat="1" ht="18" customHeight="1" thickBot="1">
      <c r="A52" s="780" t="s">
        <v>2537</v>
      </c>
      <c r="B52" s="2515" t="s">
        <v>2460</v>
      </c>
      <c r="C52" s="798">
        <f ca="1">ROUND(IF(F52="押一",C48/12*F11,IF(F52="押二",C48/12*2*F11,IF(F52="押三",C48/12*3*F11,C53*F11))),0)</f>
        <v>0</v>
      </c>
      <c r="D52" s="2522" t="s">
        <v>2972</v>
      </c>
      <c r="E52" s="2519" t="s">
        <v>2465</v>
      </c>
      <c r="F52" s="2642"/>
      <c r="I52" s="2382" t="s">
        <v>2422</v>
      </c>
      <c r="J52" s="2396"/>
      <c r="K52" s="2382" t="s">
        <v>2421</v>
      </c>
      <c r="L52" s="2396"/>
      <c r="O52" s="2422" t="s">
        <v>2387</v>
      </c>
      <c r="P52" s="2420" t="s">
        <v>2388</v>
      </c>
      <c r="Q52" s="2423">
        <f>J52</f>
        <v>0</v>
      </c>
      <c r="R52" s="2424"/>
    </row>
    <row r="53" spans="1:18" s="2056" customFormat="1" ht="39.75" customHeight="1" thickBot="1">
      <c r="A53" s="785"/>
      <c r="B53" s="2516" t="s">
        <v>2574</v>
      </c>
      <c r="C53" s="2520"/>
      <c r="D53" s="2522"/>
      <c r="E53" s="2519"/>
      <c r="F53" s="799"/>
      <c r="I53" s="2383" t="s">
        <v>2349</v>
      </c>
      <c r="J53" s="2397">
        <f ca="1">IF(M47="住宅",J51,IF(D1="——",MIN(J51,L48),IF(D1="土地（套用方法）",MIN(J51,L48-'数据-取费表'!B20))))</f>
        <v>46.61</v>
      </c>
      <c r="K53" s="3494" t="s">
        <v>2963</v>
      </c>
      <c r="L53" s="3495"/>
      <c r="O53" s="2422" t="s">
        <v>2389</v>
      </c>
      <c r="P53" s="2420" t="s">
        <v>2390</v>
      </c>
      <c r="Q53" s="2421">
        <f ca="1">J53</f>
        <v>46.61</v>
      </c>
      <c r="R53" s="2420" t="s">
        <v>2391</v>
      </c>
    </row>
    <row r="54" spans="1:18" s="2056" customFormat="1" ht="18" customHeight="1" thickBot="1">
      <c r="A54" s="2558" t="s">
        <v>2468</v>
      </c>
      <c r="B54" s="2559" t="s">
        <v>2461</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2196</v>
      </c>
      <c r="R54" s="2424" t="s">
        <v>2393</v>
      </c>
    </row>
    <row r="55" spans="1:18" s="2056" customFormat="1" ht="18" customHeight="1" thickTop="1" thickBot="1">
      <c r="A55" s="796">
        <v>2</v>
      </c>
      <c r="B55" s="797" t="s">
        <v>644</v>
      </c>
      <c r="C55" s="798">
        <f ca="1">C13</f>
        <v>667</v>
      </c>
      <c r="D55" s="794"/>
      <c r="E55" s="794"/>
      <c r="F55" s="799"/>
      <c r="I55" s="3120" t="s">
        <v>2356</v>
      </c>
      <c r="J55" s="3119" t="e">
        <f ca="1">ROUND(IF(J47="钢混",J57/J50,1-(1-2%)*(J50-J57)/J50),3)</f>
        <v>#VALUE!</v>
      </c>
      <c r="K55" s="2398" t="s">
        <v>2357</v>
      </c>
      <c r="L55" s="2399"/>
      <c r="O55" s="2425" t="s">
        <v>2412</v>
      </c>
      <c r="P55" s="1590"/>
      <c r="Q55" s="1602"/>
      <c r="R55" s="1590"/>
    </row>
    <row r="56" spans="1:18" s="2056" customFormat="1" ht="42.75" customHeight="1" thickBot="1">
      <c r="A56" s="1648"/>
      <c r="B56" s="2228" t="s">
        <v>2302</v>
      </c>
      <c r="C56" s="53">
        <f ca="1">C29</f>
        <v>667</v>
      </c>
      <c r="D56" s="2660"/>
      <c r="E56" s="783"/>
      <c r="F56" s="808"/>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6" t="s">
        <v>1749</v>
      </c>
      <c r="B57" s="797" t="s">
        <v>651</v>
      </c>
      <c r="C57" s="798">
        <f ca="1">ROUND(C58+C63+C64+C65,0)</f>
        <v>17</v>
      </c>
      <c r="D57" s="26" t="s">
        <v>1751</v>
      </c>
      <c r="E57" s="2661"/>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2196</v>
      </c>
      <c r="R57" s="2420" t="s">
        <v>2381</v>
      </c>
    </row>
    <row r="58" spans="1:18" s="2056" customFormat="1" ht="28.5" customHeight="1" thickBot="1">
      <c r="A58" s="1647" t="s">
        <v>1825</v>
      </c>
      <c r="B58" s="783" t="s">
        <v>656</v>
      </c>
      <c r="C58" s="53">
        <f ca="1">ROUND(IF(项目基本情况!B11="自然人",C47*F58,C59+C60+C61),1)</f>
        <v>5.7</v>
      </c>
      <c r="D58" s="2659" t="s">
        <v>657</v>
      </c>
      <c r="E58" s="2660" t="s">
        <v>690</v>
      </c>
      <c r="F58" s="809"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6" t="s">
        <v>1832</v>
      </c>
      <c r="B59" s="783" t="s">
        <v>660</v>
      </c>
      <c r="C59" s="53">
        <f ca="1">ROUND(C47*F59/1.05,1)</f>
        <v>0</v>
      </c>
      <c r="D59" s="2660" t="s">
        <v>1757</v>
      </c>
      <c r="E59" s="783" t="s">
        <v>1748</v>
      </c>
      <c r="F59" s="808">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6" t="s">
        <v>1833</v>
      </c>
      <c r="B60" s="783" t="s">
        <v>1759</v>
      </c>
      <c r="C60" s="53">
        <f ca="1">IF(D60="按租金收入计税",ROUND(C47*F60,1),IF(D60="按房产原值计税",ROUND(C56*F60*0.7,1),INDIRECT("'数据-取费表'!Aj"&amp;$G$1)))</f>
        <v>5.6</v>
      </c>
      <c r="D60" s="2660" t="str">
        <f>D33</f>
        <v>按房产原值计税</v>
      </c>
      <c r="E60" s="783" t="s">
        <v>1748</v>
      </c>
      <c r="F60" s="808">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9" t="s">
        <v>1834</v>
      </c>
      <c r="B61" s="340" t="s">
        <v>668</v>
      </c>
      <c r="C61" s="54">
        <f ca="1">ROUND(F61*F62/10000,1)</f>
        <v>0.1</v>
      </c>
      <c r="D61" s="813" t="s">
        <v>669</v>
      </c>
      <c r="E61" s="783" t="s">
        <v>670</v>
      </c>
      <c r="F61" s="639">
        <f t="shared" si="0"/>
        <v>3</v>
      </c>
      <c r="K61" s="2083"/>
      <c r="O61" s="2422" t="s">
        <v>2387</v>
      </c>
      <c r="P61" s="2420" t="s">
        <v>2395</v>
      </c>
      <c r="Q61" s="2421" t="e">
        <f ca="1">L58</f>
        <v>#DIV/0!</v>
      </c>
      <c r="R61" s="2424" t="s">
        <v>2396</v>
      </c>
    </row>
    <row r="62" spans="1:18" s="2056" customFormat="1" ht="15.75" thickBot="1">
      <c r="A62" s="814"/>
      <c r="B62" s="792"/>
      <c r="C62" s="69"/>
      <c r="D62" s="815"/>
      <c r="E62" s="783" t="s">
        <v>674</v>
      </c>
      <c r="F62" s="784">
        <f t="shared" ca="1" si="0"/>
        <v>361.48</v>
      </c>
      <c r="I62" s="2406" t="s">
        <v>2368</v>
      </c>
      <c r="J62" s="2407" t="s">
        <v>2369</v>
      </c>
      <c r="K62" s="2407" t="s">
        <v>2370</v>
      </c>
      <c r="L62" s="2407" t="s">
        <v>2351</v>
      </c>
      <c r="M62" s="3122" t="s">
        <v>2938</v>
      </c>
      <c r="O62" s="2422" t="s">
        <v>2389</v>
      </c>
      <c r="P62" s="2420" t="str">
        <f>K59</f>
        <v>建设期及建筑物耐用年限下的土地年期修正系数Kn</v>
      </c>
      <c r="Q62" s="2421" t="e">
        <f ca="1">L59</f>
        <v>#DIV/0!</v>
      </c>
      <c r="R62" s="2424" t="s">
        <v>2398</v>
      </c>
    </row>
    <row r="63" spans="1:18" s="2056" customFormat="1" ht="15.75" thickBot="1">
      <c r="A63" s="1647" t="s">
        <v>1890</v>
      </c>
      <c r="B63" s="783" t="s">
        <v>676</v>
      </c>
      <c r="C63" s="53">
        <f ca="1">ROUND(C56*F63,1)</f>
        <v>10</v>
      </c>
      <c r="D63" s="2660" t="s">
        <v>1804</v>
      </c>
      <c r="E63" s="783" t="s">
        <v>1748</v>
      </c>
      <c r="F63" s="816">
        <f t="shared" ca="1" si="0"/>
        <v>1.4999999999999999E-2</v>
      </c>
      <c r="I63" s="2406" t="s">
        <v>2371</v>
      </c>
      <c r="J63" s="2407">
        <v>70</v>
      </c>
      <c r="K63" s="2407">
        <v>50</v>
      </c>
      <c r="L63" s="2407">
        <v>80</v>
      </c>
      <c r="M63" s="3123">
        <v>0.02</v>
      </c>
      <c r="O63" s="2419" t="s">
        <v>2392</v>
      </c>
      <c r="P63" s="2420" t="s">
        <v>2409</v>
      </c>
      <c r="Q63" s="2421">
        <f ca="1">Q57+Q58</f>
        <v>2196</v>
      </c>
      <c r="R63" s="2424" t="s">
        <v>2393</v>
      </c>
    </row>
    <row r="64" spans="1:18" s="2056" customFormat="1" ht="16.5" thickBot="1">
      <c r="A64" s="1647" t="s">
        <v>1891</v>
      </c>
      <c r="B64" s="783" t="s">
        <v>679</v>
      </c>
      <c r="C64" s="53">
        <f ca="1">ROUND(C55*F64,1)</f>
        <v>1</v>
      </c>
      <c r="D64" s="2660" t="s">
        <v>680</v>
      </c>
      <c r="E64" s="783" t="s">
        <v>1748</v>
      </c>
      <c r="F64" s="817">
        <f t="shared" ca="1" si="0"/>
        <v>1.5E-3</v>
      </c>
      <c r="I64" s="2406" t="s">
        <v>2372</v>
      </c>
      <c r="J64" s="2407">
        <v>50</v>
      </c>
      <c r="K64" s="2407">
        <v>35</v>
      </c>
      <c r="L64" s="2407">
        <v>60</v>
      </c>
      <c r="M64" s="3124">
        <v>0</v>
      </c>
      <c r="O64" s="2425" t="s">
        <v>2416</v>
      </c>
      <c r="P64" s="1590"/>
      <c r="Q64" s="1602"/>
      <c r="R64" s="1590"/>
    </row>
    <row r="65" spans="1:18" s="2056" customFormat="1" ht="15.75" thickBot="1">
      <c r="A65" s="1647" t="s">
        <v>1892</v>
      </c>
      <c r="B65" s="783" t="s">
        <v>666</v>
      </c>
      <c r="C65" s="53">
        <f ca="1">ROUND(C47*F65,1)</f>
        <v>0</v>
      </c>
      <c r="D65" s="2660" t="s">
        <v>683</v>
      </c>
      <c r="E65" s="783" t="s">
        <v>1748</v>
      </c>
      <c r="F65" s="793">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6" t="s">
        <v>1777</v>
      </c>
      <c r="B66" s="3032" t="s">
        <v>2822</v>
      </c>
      <c r="C66" s="798">
        <f ca="1">C47-C57</f>
        <v>-17</v>
      </c>
      <c r="D66" s="2659" t="s">
        <v>700</v>
      </c>
      <c r="E66" s="2658"/>
      <c r="F66" s="819"/>
      <c r="K66" s="2083"/>
      <c r="O66" s="2419" t="s">
        <v>2380</v>
      </c>
      <c r="P66" s="2420" t="s">
        <v>2410</v>
      </c>
      <c r="Q66" s="2421">
        <f ca="1">C40+J29</f>
        <v>2196</v>
      </c>
      <c r="R66" s="2420" t="s">
        <v>2381</v>
      </c>
    </row>
    <row r="67" spans="1:18" s="2056" customFormat="1" ht="20.25" thickBot="1">
      <c r="A67" s="780" t="s">
        <v>1781</v>
      </c>
      <c r="B67" s="2229" t="s">
        <v>2301</v>
      </c>
      <c r="C67" s="782">
        <f ca="1">ROUND(C66*(1-((1+F69)/(1+F67))^F68)/(F67-F69),0)</f>
        <v>-185</v>
      </c>
      <c r="D67" s="813" t="s">
        <v>704</v>
      </c>
      <c r="E67" s="783" t="s">
        <v>705</v>
      </c>
      <c r="F67" s="793">
        <f ca="1">F40</f>
        <v>0.09</v>
      </c>
      <c r="K67" s="2083"/>
      <c r="O67" s="2419" t="s">
        <v>2382</v>
      </c>
      <c r="P67" s="2420" t="s">
        <v>2413</v>
      </c>
      <c r="Q67" s="2421">
        <f ca="1">L60</f>
        <v>0</v>
      </c>
      <c r="R67" s="2424" t="s">
        <v>2415</v>
      </c>
    </row>
    <row r="68" spans="1:18" ht="21.75" thickBot="1">
      <c r="A68" s="785"/>
      <c r="B68" s="786"/>
      <c r="C68" s="787"/>
      <c r="D68" s="820" t="s">
        <v>1809</v>
      </c>
      <c r="E68" s="783" t="s">
        <v>1785</v>
      </c>
      <c r="F68" s="821">
        <f ca="1">F41</f>
        <v>46.61</v>
      </c>
      <c r="O68" s="2422" t="s">
        <v>2384</v>
      </c>
      <c r="P68" s="2420" t="s">
        <v>2414</v>
      </c>
      <c r="Q68" s="2426">
        <f ca="1">L51</f>
        <v>1272</v>
      </c>
      <c r="R68" s="2427" t="s">
        <v>2417</v>
      </c>
    </row>
    <row r="69" spans="1:18" ht="20.25" thickBot="1">
      <c r="A69" s="789"/>
      <c r="B69" s="790"/>
      <c r="C69" s="791"/>
      <c r="D69" s="815"/>
      <c r="E69" s="783" t="s">
        <v>710</v>
      </c>
      <c r="F69" s="2368"/>
      <c r="O69" s="2422" t="s">
        <v>2385</v>
      </c>
      <c r="P69" s="2428" t="s">
        <v>2399</v>
      </c>
      <c r="Q69" s="2421">
        <f ca="1">ROUND(Q70-Q71*Q72,0)</f>
        <v>104</v>
      </c>
      <c r="R69" s="2424"/>
    </row>
    <row r="70" spans="1:18" ht="15.75" thickBot="1">
      <c r="A70" s="822" t="s">
        <v>1788</v>
      </c>
      <c r="B70" s="823" t="s">
        <v>1811</v>
      </c>
      <c r="C70" s="824">
        <f ca="1">ROUND(C67*10000/F70,0)</f>
        <v>-1054</v>
      </c>
      <c r="D70" s="825" t="s">
        <v>1812</v>
      </c>
      <c r="E70" s="826" t="s">
        <v>1813</v>
      </c>
      <c r="F70" s="827">
        <f ca="1">F43</f>
        <v>1755</v>
      </c>
      <c r="O70" s="2422" t="s">
        <v>2400</v>
      </c>
      <c r="P70" s="2428" t="s">
        <v>2401</v>
      </c>
      <c r="Q70" s="2421">
        <f ca="1">C39</f>
        <v>161</v>
      </c>
      <c r="R70" s="2420" t="s">
        <v>2381</v>
      </c>
    </row>
    <row r="71" spans="1:18" ht="15.75" thickBot="1">
      <c r="O71" s="2422" t="s">
        <v>2402</v>
      </c>
      <c r="P71" s="2428" t="s">
        <v>2403</v>
      </c>
      <c r="Q71" s="2421">
        <f ca="1">C13</f>
        <v>667</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2196</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2472</v>
      </c>
      <c r="B1" s="3497"/>
      <c r="C1" s="3498"/>
      <c r="D1" s="3499">
        <f>SUM(I10,I15,I20,I21,I23)</f>
        <v>0</v>
      </c>
      <c r="E1" s="3499"/>
      <c r="F1" s="3499"/>
      <c r="G1" s="3499"/>
      <c r="H1" s="3499"/>
      <c r="I1" s="3500"/>
    </row>
    <row r="2" spans="1:9">
      <c r="A2" s="3501" t="s">
        <v>2473</v>
      </c>
      <c r="B2" s="3502" t="s">
        <v>2474</v>
      </c>
      <c r="C2" s="3502"/>
      <c r="D2" s="2528" t="s">
        <v>2475</v>
      </c>
      <c r="E2" s="2528" t="s">
        <v>2476</v>
      </c>
      <c r="F2" s="2528" t="s">
        <v>2477</v>
      </c>
      <c r="G2" s="2528" t="s">
        <v>2478</v>
      </c>
      <c r="H2" s="2528" t="s">
        <v>2479</v>
      </c>
      <c r="I2" s="2529" t="s">
        <v>2480</v>
      </c>
    </row>
    <row r="3" spans="1:9">
      <c r="A3" s="3501"/>
      <c r="B3" s="3502" t="s">
        <v>2481</v>
      </c>
      <c r="C3" s="3502"/>
      <c r="D3" s="2530"/>
      <c r="E3" s="2528"/>
      <c r="F3" s="2531"/>
      <c r="G3" s="2531"/>
      <c r="H3" s="2532"/>
      <c r="I3" s="2533">
        <f>ROUND(D3*E3*F3*G3*H3/10000,0)</f>
        <v>0</v>
      </c>
    </row>
    <row r="4" spans="1:9">
      <c r="A4" s="3501"/>
      <c r="B4" s="3502" t="s">
        <v>2482</v>
      </c>
      <c r="C4" s="3502"/>
      <c r="D4" s="2530"/>
      <c r="E4" s="2528"/>
      <c r="F4" s="2531"/>
      <c r="G4" s="2531"/>
      <c r="H4" s="2532"/>
      <c r="I4" s="2533">
        <f t="shared" ref="I4:I9" si="0">ROUND(D4*E4*F4*G4*H4/10000,0)</f>
        <v>0</v>
      </c>
    </row>
    <row r="5" spans="1:9">
      <c r="A5" s="3501"/>
      <c r="B5" s="3502" t="s">
        <v>2483</v>
      </c>
      <c r="C5" s="3502"/>
      <c r="D5" s="2530"/>
      <c r="E5" s="2528"/>
      <c r="F5" s="2531"/>
      <c r="G5" s="2531"/>
      <c r="H5" s="2532"/>
      <c r="I5" s="2533">
        <f t="shared" si="0"/>
        <v>0</v>
      </c>
    </row>
    <row r="6" spans="1:9">
      <c r="A6" s="3501"/>
      <c r="B6" s="3502" t="s">
        <v>2484</v>
      </c>
      <c r="C6" s="3502"/>
      <c r="D6" s="2530"/>
      <c r="E6" s="2528"/>
      <c r="F6" s="2531"/>
      <c r="G6" s="2531"/>
      <c r="H6" s="2532"/>
      <c r="I6" s="2533">
        <f t="shared" si="0"/>
        <v>0</v>
      </c>
    </row>
    <row r="7" spans="1:9">
      <c r="A7" s="3501"/>
      <c r="B7" s="3502" t="s">
        <v>2485</v>
      </c>
      <c r="C7" s="3502"/>
      <c r="D7" s="2530"/>
      <c r="E7" s="2528"/>
      <c r="F7" s="2531"/>
      <c r="G7" s="2531"/>
      <c r="H7" s="2532"/>
      <c r="I7" s="2533">
        <f t="shared" si="0"/>
        <v>0</v>
      </c>
    </row>
    <row r="8" spans="1:9">
      <c r="A8" s="3501"/>
      <c r="B8" s="3502" t="s">
        <v>2486</v>
      </c>
      <c r="C8" s="3502"/>
      <c r="D8" s="2530"/>
      <c r="E8" s="2528"/>
      <c r="F8" s="2531"/>
      <c r="G8" s="2531"/>
      <c r="H8" s="2532"/>
      <c r="I8" s="2533">
        <f t="shared" si="0"/>
        <v>0</v>
      </c>
    </row>
    <row r="9" spans="1:9">
      <c r="A9" s="3501"/>
      <c r="B9" s="3502" t="s">
        <v>2487</v>
      </c>
      <c r="C9" s="3502"/>
      <c r="D9" s="2530"/>
      <c r="E9" s="2528"/>
      <c r="F9" s="2531"/>
      <c r="G9" s="2531"/>
      <c r="H9" s="2532"/>
      <c r="I9" s="2533">
        <f t="shared" si="0"/>
        <v>0</v>
      </c>
    </row>
    <row r="10" spans="1:9">
      <c r="A10" s="3501"/>
      <c r="B10" s="3503" t="s">
        <v>2488</v>
      </c>
      <c r="C10" s="3503"/>
      <c r="D10" s="2534">
        <v>527</v>
      </c>
      <c r="E10" s="2534" t="e">
        <f>ROUND(D1*10000/D10/H9,0)</f>
        <v>#DIV/0!</v>
      </c>
      <c r="F10" s="2535"/>
      <c r="G10" s="2535"/>
      <c r="H10" s="2536"/>
      <c r="I10" s="2537">
        <f>SUM(I3:I9)</f>
        <v>0</v>
      </c>
    </row>
    <row r="11" spans="1:9" ht="14.25">
      <c r="A11" s="3501" t="s">
        <v>2489</v>
      </c>
      <c r="B11" s="3502" t="s">
        <v>2490</v>
      </c>
      <c r="C11" s="3502"/>
      <c r="D11" s="2530" t="s">
        <v>2491</v>
      </c>
      <c r="E11" s="2530" t="s">
        <v>2492</v>
      </c>
      <c r="F11" s="2531" t="s">
        <v>2493</v>
      </c>
      <c r="G11" s="2531" t="s">
        <v>2494</v>
      </c>
      <c r="H11" s="2538" t="s">
        <v>2495</v>
      </c>
      <c r="I11" s="2529" t="s">
        <v>2496</v>
      </c>
    </row>
    <row r="12" spans="1:9">
      <c r="A12" s="3501"/>
      <c r="B12" s="3502" t="s">
        <v>2497</v>
      </c>
      <c r="C12" s="3502"/>
      <c r="D12" s="2530"/>
      <c r="E12" s="2530"/>
      <c r="F12" s="2531"/>
      <c r="G12" s="2532"/>
      <c r="H12" s="2539"/>
      <c r="I12" s="2529">
        <f>ROUND(D12*E12*F12*G12/10000,0)</f>
        <v>0</v>
      </c>
    </row>
    <row r="13" spans="1:9">
      <c r="A13" s="3501"/>
      <c r="B13" s="3502" t="s">
        <v>2498</v>
      </c>
      <c r="C13" s="3502"/>
      <c r="D13" s="2530"/>
      <c r="E13" s="2530"/>
      <c r="F13" s="2531"/>
      <c r="G13" s="2532"/>
      <c r="H13" s="2539"/>
      <c r="I13" s="2529">
        <f>ROUND(D13*E13*F13*G13/10000,0)</f>
        <v>0</v>
      </c>
    </row>
    <row r="14" spans="1:9">
      <c r="A14" s="3501"/>
      <c r="B14" s="3502" t="s">
        <v>2499</v>
      </c>
      <c r="C14" s="3502"/>
      <c r="D14" s="2530"/>
      <c r="E14" s="2530"/>
      <c r="F14" s="2531"/>
      <c r="G14" s="2532"/>
      <c r="H14" s="2539"/>
      <c r="I14" s="2529">
        <f>ROUND(D14*E14*F14*G14/10000,0)</f>
        <v>0</v>
      </c>
    </row>
    <row r="15" spans="1:9">
      <c r="A15" s="3501"/>
      <c r="B15" s="3503" t="s">
        <v>2488</v>
      </c>
      <c r="C15" s="3503"/>
      <c r="D15" s="2534"/>
      <c r="E15" s="2534">
        <f>SUM(E12:E14)</f>
        <v>0</v>
      </c>
      <c r="F15" s="2535"/>
      <c r="G15" s="2532"/>
      <c r="H15" s="2539"/>
      <c r="I15" s="2540">
        <f>SUM(I12:I14)</f>
        <v>0</v>
      </c>
    </row>
    <row r="16" spans="1:9" ht="24">
      <c r="A16" s="3501" t="s">
        <v>2500</v>
      </c>
      <c r="B16" s="3502" t="s">
        <v>2501</v>
      </c>
      <c r="C16" s="3502"/>
      <c r="D16" s="2530" t="s">
        <v>2502</v>
      </c>
      <c r="E16" s="2541" t="s">
        <v>2503</v>
      </c>
      <c r="F16" s="2531" t="s">
        <v>2504</v>
      </c>
      <c r="G16" s="2532" t="s">
        <v>2494</v>
      </c>
      <c r="H16" s="2538" t="s">
        <v>2495</v>
      </c>
      <c r="I16" s="2529" t="s">
        <v>2496</v>
      </c>
    </row>
    <row r="17" spans="1:9" ht="14.25">
      <c r="A17" s="3501"/>
      <c r="B17" s="3502" t="s">
        <v>2505</v>
      </c>
      <c r="C17" s="3502"/>
      <c r="D17" s="2530"/>
      <c r="E17" s="2530"/>
      <c r="F17" s="2531"/>
      <c r="G17" s="2532"/>
      <c r="H17" s="2542"/>
      <c r="I17" s="2543">
        <f>ROUND(D17*E17*F17*G17/10000,0)</f>
        <v>0</v>
      </c>
    </row>
    <row r="18" spans="1:9" ht="14.25">
      <c r="A18" s="3501"/>
      <c r="B18" s="3502" t="s">
        <v>2506</v>
      </c>
      <c r="C18" s="3502"/>
      <c r="D18" s="2530"/>
      <c r="E18" s="2530"/>
      <c r="F18" s="2531"/>
      <c r="G18" s="2532"/>
      <c r="H18" s="2542"/>
      <c r="I18" s="2543">
        <f>ROUND(D18*E18*F18*G18/10000,0)</f>
        <v>0</v>
      </c>
    </row>
    <row r="19" spans="1:9" ht="14.25">
      <c r="A19" s="3501"/>
      <c r="B19" s="3502" t="s">
        <v>2507</v>
      </c>
      <c r="C19" s="3502"/>
      <c r="D19" s="2530"/>
      <c r="E19" s="2530"/>
      <c r="F19" s="2531"/>
      <c r="G19" s="2532"/>
      <c r="H19" s="2542"/>
      <c r="I19" s="2543">
        <f>ROUND(D19*E19*F19*G19/10000,0)</f>
        <v>0</v>
      </c>
    </row>
    <row r="20" spans="1:9">
      <c r="A20" s="3501"/>
      <c r="B20" s="3503" t="s">
        <v>2488</v>
      </c>
      <c r="C20" s="3503"/>
      <c r="D20" s="2534">
        <f>SUM(D17:D19)</f>
        <v>0</v>
      </c>
      <c r="E20" s="2534"/>
      <c r="F20" s="2535"/>
      <c r="G20" s="2532"/>
      <c r="H20" s="2539"/>
      <c r="I20" s="2540">
        <f>SUM(I17:I19)</f>
        <v>0</v>
      </c>
    </row>
    <row r="21" spans="1:9">
      <c r="A21" s="3501" t="s">
        <v>2508</v>
      </c>
      <c r="B21" s="3505"/>
      <c r="C21" s="3505"/>
      <c r="D21" s="3505"/>
      <c r="E21" s="3505"/>
      <c r="F21" s="3505"/>
      <c r="G21" s="3505"/>
      <c r="H21" s="2544">
        <v>0.1</v>
      </c>
      <c r="I21" s="2537">
        <f>ROUND(I10*H21,0)</f>
        <v>0</v>
      </c>
    </row>
    <row r="22" spans="1:9" ht="14.25">
      <c r="A22" s="3506" t="s">
        <v>2509</v>
      </c>
      <c r="B22" s="3507"/>
      <c r="C22" s="3508"/>
      <c r="D22" s="2545" t="s">
        <v>2510</v>
      </c>
      <c r="E22" s="2545" t="s">
        <v>2511</v>
      </c>
      <c r="F22" s="2546" t="s">
        <v>2512</v>
      </c>
      <c r="G22" s="2546" t="s">
        <v>2513</v>
      </c>
      <c r="H22" s="2538" t="s">
        <v>2514</v>
      </c>
      <c r="I22" s="2529" t="s">
        <v>2515</v>
      </c>
    </row>
    <row r="23" spans="1:9" ht="14.25" thickBot="1">
      <c r="A23" s="3509"/>
      <c r="B23" s="3510"/>
      <c r="C23" s="3511"/>
      <c r="D23" s="2547"/>
      <c r="E23" s="2547"/>
      <c r="F23" s="2547"/>
      <c r="G23" s="2548"/>
      <c r="H23" s="2549"/>
      <c r="I23" s="2550">
        <f>ROUND(E23*D23*F23*(1-G23)/10000,0)</f>
        <v>0</v>
      </c>
    </row>
    <row r="26" spans="1:9">
      <c r="A26" s="2551" t="s">
        <v>2516</v>
      </c>
      <c r="B26" s="2551"/>
      <c r="C26" s="2551"/>
      <c r="D26" s="2551"/>
      <c r="E26" s="3512">
        <f>C27-C30-C31-C32</f>
        <v>0</v>
      </c>
      <c r="F26" s="3512"/>
      <c r="G26" s="3512"/>
      <c r="H26" s="3063" t="s">
        <v>2843</v>
      </c>
    </row>
    <row r="27" spans="1:9">
      <c r="A27" s="2552">
        <v>1</v>
      </c>
      <c r="B27" s="2553" t="s">
        <v>2517</v>
      </c>
      <c r="C27" s="2553"/>
      <c r="D27" s="2553"/>
      <c r="E27" s="3513"/>
      <c r="F27" s="3513"/>
      <c r="G27" s="3513"/>
    </row>
    <row r="28" spans="1:9">
      <c r="A28" s="2554" t="s">
        <v>2518</v>
      </c>
      <c r="B28" s="2553" t="s">
        <v>2519</v>
      </c>
      <c r="C28" s="2553"/>
      <c r="D28" s="2553"/>
      <c r="E28" s="3513"/>
      <c r="F28" s="3513"/>
      <c r="G28" s="3513"/>
    </row>
    <row r="29" spans="1:9">
      <c r="A29" s="2554" t="s">
        <v>2520</v>
      </c>
      <c r="B29" s="2553" t="s">
        <v>2461</v>
      </c>
      <c r="C29" s="2553"/>
      <c r="D29" s="2553"/>
      <c r="E29" s="2553" t="s">
        <v>2521</v>
      </c>
      <c r="F29" s="2553"/>
      <c r="G29" s="2553"/>
    </row>
    <row r="30" spans="1:9">
      <c r="A30" s="2552">
        <v>2</v>
      </c>
      <c r="B30" s="2553" t="s">
        <v>2522</v>
      </c>
      <c r="C30" s="2553">
        <f>C27*D30</f>
        <v>0</v>
      </c>
      <c r="D30" s="2555">
        <v>0.2</v>
      </c>
      <c r="E30" s="2553" t="s">
        <v>2523</v>
      </c>
      <c r="F30" s="2553"/>
      <c r="G30" s="2553"/>
    </row>
    <row r="31" spans="1:9">
      <c r="A31" s="2552">
        <v>3</v>
      </c>
      <c r="B31" s="2553" t="s">
        <v>2524</v>
      </c>
      <c r="C31" s="2553">
        <f>C25*D31</f>
        <v>0</v>
      </c>
      <c r="D31" s="2555">
        <v>0.15</v>
      </c>
      <c r="E31" s="2553" t="s">
        <v>2525</v>
      </c>
      <c r="F31" s="2553"/>
      <c r="G31" s="2553"/>
    </row>
    <row r="32" spans="1:9">
      <c r="A32" s="2552">
        <v>4</v>
      </c>
      <c r="B32" s="2553" t="s">
        <v>2526</v>
      </c>
      <c r="C32" s="2553">
        <f>C27*D32</f>
        <v>0</v>
      </c>
      <c r="D32" s="2555">
        <v>0.05</v>
      </c>
      <c r="E32" s="3504"/>
      <c r="F32" s="3504"/>
      <c r="G32" s="3504"/>
    </row>
    <row r="33" spans="1:7" hidden="1">
      <c r="A33" s="3514" t="s">
        <v>2527</v>
      </c>
      <c r="B33" s="3515"/>
      <c r="C33" s="3515"/>
      <c r="D33" s="3516"/>
      <c r="E33" s="3512"/>
      <c r="F33" s="3512"/>
      <c r="G33" s="3512"/>
    </row>
    <row r="34" spans="1:7" hidden="1">
      <c r="A34" s="2556">
        <v>1</v>
      </c>
      <c r="B34" s="2553" t="s">
        <v>2528</v>
      </c>
      <c r="C34" s="2553"/>
      <c r="D34" s="2553"/>
      <c r="E34" s="3513"/>
      <c r="F34" s="3513"/>
      <c r="G34" s="3513"/>
    </row>
    <row r="35" spans="1:7" hidden="1">
      <c r="A35" s="2556">
        <v>2</v>
      </c>
      <c r="B35" s="2553" t="s">
        <v>2529</v>
      </c>
      <c r="C35" s="2553"/>
      <c r="D35" s="2553"/>
      <c r="E35" s="3513"/>
      <c r="F35" s="3513"/>
      <c r="G35" s="3513"/>
    </row>
    <row r="36" spans="1:7" hidden="1">
      <c r="A36" s="2556">
        <v>3</v>
      </c>
      <c r="B36" s="2553" t="s">
        <v>2530</v>
      </c>
      <c r="C36" s="2553"/>
      <c r="D36" s="2553"/>
      <c r="E36" s="3513"/>
      <c r="F36" s="3513"/>
      <c r="G36" s="3513"/>
    </row>
    <row r="37" spans="1:7" hidden="1">
      <c r="A37" s="2556">
        <v>4</v>
      </c>
      <c r="B37" s="2553" t="s">
        <v>2531</v>
      </c>
      <c r="C37" s="2553"/>
      <c r="D37" s="2553"/>
      <c r="E37" s="3513"/>
      <c r="F37" s="3513"/>
      <c r="G37" s="3513"/>
    </row>
    <row r="38" spans="1:7" hidden="1">
      <c r="A38" s="3514" t="s">
        <v>2532</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603</v>
      </c>
      <c r="B1" s="741"/>
      <c r="C1" s="2179"/>
      <c r="D1" s="2179"/>
      <c r="E1" s="2179"/>
      <c r="F1" s="2179"/>
      <c r="G1" s="2105"/>
    </row>
    <row r="2" spans="1:25" s="2056" customFormat="1" ht="18" customHeight="1">
      <c r="A2" s="422" t="s">
        <v>467</v>
      </c>
      <c r="B2" s="424">
        <f ca="1">C23</f>
        <v>0</v>
      </c>
      <c r="C2" s="2105"/>
      <c r="D2" s="2105"/>
      <c r="E2" s="2105"/>
      <c r="F2" s="2105"/>
      <c r="G2" s="2105"/>
    </row>
    <row r="3" spans="1:25" s="2056" customFormat="1" ht="18" customHeight="1">
      <c r="A3" s="1377" t="s">
        <v>1686</v>
      </c>
      <c r="B3" s="424">
        <f ca="1">ROUND(B2*10000/'数据-汇总表'!E3,0)</f>
        <v>0</v>
      </c>
      <c r="C3" s="2105"/>
      <c r="D3" s="2105"/>
      <c r="E3" s="2105"/>
      <c r="F3" s="2105"/>
      <c r="G3" s="2105"/>
    </row>
    <row r="4" spans="1:25" s="2056" customFormat="1" ht="18" customHeight="1">
      <c r="A4" s="425" t="s">
        <v>468</v>
      </c>
      <c r="B4" s="426">
        <f ca="1">ROUND(B2*10000/'数据-汇总表'!D3,0)</f>
        <v>0</v>
      </c>
      <c r="C4" s="2058"/>
      <c r="D4" s="2105"/>
      <c r="E4" s="2105"/>
      <c r="F4" s="2105"/>
      <c r="G4" s="2105"/>
    </row>
    <row r="5" spans="1:25" s="2056" customFormat="1" ht="18" customHeight="1" thickBot="1">
      <c r="A5" s="428"/>
      <c r="B5" s="429">
        <f ca="1">ROUND(B2/('数据-汇总表'!D3/666.67),0)</f>
        <v>0</v>
      </c>
      <c r="C5" s="430" t="s">
        <v>469</v>
      </c>
      <c r="D5" s="2105"/>
      <c r="E5" s="2105"/>
      <c r="F5" s="2105"/>
      <c r="G5" s="2105"/>
    </row>
    <row r="6" spans="1:25" s="2180" customFormat="1" ht="13.5" customHeight="1">
      <c r="A6" s="742"/>
      <c r="B6" s="743" t="s">
        <v>604</v>
      </c>
      <c r="C6" s="744" t="s">
        <v>605</v>
      </c>
      <c r="D6" s="744" t="s">
        <v>606</v>
      </c>
      <c r="E6" s="745" t="s">
        <v>607</v>
      </c>
      <c r="F6" s="745" t="s">
        <v>608</v>
      </c>
      <c r="G6" s="746"/>
    </row>
    <row r="7" spans="1:25" s="2180" customFormat="1" ht="13.5" customHeight="1">
      <c r="A7" s="2490">
        <v>1</v>
      </c>
      <c r="B7" s="747" t="s">
        <v>609</v>
      </c>
      <c r="C7" s="748">
        <f>C8+C9</f>
        <v>0</v>
      </c>
      <c r="D7" s="748"/>
      <c r="E7" s="749"/>
      <c r="F7" s="749"/>
      <c r="G7" s="2500"/>
    </row>
    <row r="8" spans="1:25" s="2180" customFormat="1" ht="13.5" customHeight="1">
      <c r="A8" s="2490" t="s">
        <v>2441</v>
      </c>
      <c r="B8" s="2493" t="s">
        <v>2443</v>
      </c>
      <c r="C8" s="2494"/>
      <c r="D8" s="748"/>
      <c r="E8" s="749"/>
      <c r="F8" s="749"/>
      <c r="G8" s="750"/>
    </row>
    <row r="9" spans="1:25" s="2180" customFormat="1" ht="13.5" customHeight="1">
      <c r="A9" s="2490" t="s">
        <v>2442</v>
      </c>
      <c r="B9" s="2493" t="s">
        <v>2444</v>
      </c>
      <c r="C9" s="2494"/>
      <c r="D9" s="748"/>
      <c r="E9" s="749"/>
      <c r="F9" s="749"/>
      <c r="G9" s="750"/>
    </row>
    <row r="10" spans="1:25" s="2180" customFormat="1" ht="36">
      <c r="A10" s="2490">
        <v>2</v>
      </c>
      <c r="B10" s="747" t="s">
        <v>613</v>
      </c>
      <c r="C10" s="748">
        <f>C11+C14+C15</f>
        <v>0</v>
      </c>
      <c r="D10" s="759">
        <f>'数据-汇总表'!E3</f>
        <v>64674</v>
      </c>
      <c r="E10" s="748">
        <f>'数据-取费表'!B31</f>
        <v>0</v>
      </c>
      <c r="F10" s="760"/>
      <c r="G10" s="758" t="s">
        <v>614</v>
      </c>
    </row>
    <row r="11" spans="1:25" s="2180" customFormat="1" ht="13.5" customHeight="1">
      <c r="A11" s="2490" t="s">
        <v>2441</v>
      </c>
      <c r="B11" s="751" t="s">
        <v>610</v>
      </c>
      <c r="C11" s="752">
        <f>'数据-取费表'!B29</f>
        <v>0</v>
      </c>
      <c r="D11" s="753"/>
      <c r="E11" s="752"/>
      <c r="F11" s="754"/>
      <c r="G11" s="2499" t="s">
        <v>2452</v>
      </c>
    </row>
    <row r="12" spans="1:25" s="2180" customFormat="1" ht="13.5" customHeight="1">
      <c r="A12" s="2497" t="s">
        <v>2449</v>
      </c>
      <c r="B12" s="755" t="s">
        <v>611</v>
      </c>
      <c r="C12" s="756">
        <f>ROUND(D12*E12/10000,0)</f>
        <v>0</v>
      </c>
      <c r="D12" s="757">
        <f>'数据-汇总表'!E5</f>
        <v>0</v>
      </c>
      <c r="E12" s="756">
        <f>'数据-取费表'!B27</f>
        <v>0</v>
      </c>
      <c r="F12" s="754"/>
      <c r="G12" s="758"/>
    </row>
    <row r="13" spans="1:25" s="2180" customFormat="1" ht="13.5" customHeight="1">
      <c r="A13" s="2497" t="s">
        <v>2448</v>
      </c>
      <c r="B13" s="755" t="s">
        <v>612</v>
      </c>
      <c r="C13" s="756">
        <f>ROUND(D13*E13/10000,0)</f>
        <v>1293</v>
      </c>
      <c r="D13" s="757">
        <f>'数据-汇总表'!E6</f>
        <v>64674</v>
      </c>
      <c r="E13" s="756">
        <f>'数据-取费表'!B28</f>
        <v>200</v>
      </c>
      <c r="F13" s="754"/>
      <c r="G13" s="758"/>
    </row>
    <row r="14" spans="1:25" s="2180" customFormat="1" ht="13.5" customHeight="1">
      <c r="A14" s="2490" t="s">
        <v>2442</v>
      </c>
      <c r="B14" s="2496" t="s">
        <v>2445</v>
      </c>
      <c r="C14" s="2494"/>
      <c r="D14" s="757"/>
      <c r="E14" s="756"/>
      <c r="F14" s="2495"/>
      <c r="G14" s="2498" t="s">
        <v>2450</v>
      </c>
    </row>
    <row r="15" spans="1:25" s="2180" customFormat="1" ht="13.5" customHeight="1">
      <c r="A15" s="2490" t="s">
        <v>2447</v>
      </c>
      <c r="B15" s="2496" t="s">
        <v>2446</v>
      </c>
      <c r="C15" s="2494"/>
      <c r="D15" s="757"/>
      <c r="E15" s="756"/>
      <c r="F15" s="2495"/>
      <c r="G15" s="2498" t="s">
        <v>2451</v>
      </c>
    </row>
    <row r="16" spans="1:25" s="2181" customFormat="1" ht="48">
      <c r="A16" s="2490">
        <v>3</v>
      </c>
      <c r="B16" s="747" t="s">
        <v>615</v>
      </c>
      <c r="C16" s="2494"/>
      <c r="D16" s="759"/>
      <c r="E16" s="748"/>
      <c r="F16" s="760"/>
      <c r="G16" s="758"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616</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617</v>
      </c>
      <c r="C18" s="748">
        <f>ROUND((C7+C10+C16)*F18,0)</f>
        <v>0</v>
      </c>
      <c r="D18" s="761"/>
      <c r="E18" s="762"/>
      <c r="F18" s="760">
        <f>'数据-取费表'!Q16</f>
        <v>0.14000000000000001</v>
      </c>
      <c r="G18" s="764"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619</v>
      </c>
      <c r="C19" s="748">
        <f ca="1">C7+C10+C16+C17+C18</f>
        <v>0</v>
      </c>
      <c r="D19" s="759"/>
      <c r="E19" s="748"/>
      <c r="F19" s="760"/>
      <c r="G19" s="764"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621</v>
      </c>
      <c r="C20" s="748">
        <f ca="1">ROUND(C19*F20,0)</f>
        <v>0</v>
      </c>
      <c r="D20" s="759"/>
      <c r="E20" s="748"/>
      <c r="F20" s="1348"/>
      <c r="G20" s="764"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623</v>
      </c>
      <c r="C21" s="748">
        <f ca="1">C19+C20</f>
        <v>0</v>
      </c>
      <c r="D21" s="759"/>
      <c r="E21" s="748"/>
      <c r="F21" s="760"/>
      <c r="G21" s="764"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625</v>
      </c>
      <c r="C22" s="748">
        <f ca="1">ROUND(C21*F22,0)</f>
        <v>0</v>
      </c>
      <c r="D22" s="759"/>
      <c r="E22" s="748"/>
      <c r="F22" s="765">
        <f>'数据-取费表'!AP16</f>
        <v>0.89700000000000002</v>
      </c>
      <c r="G22" s="764"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627</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4" t="s">
        <v>719</v>
      </c>
      <c r="C1" s="2645" t="s">
        <v>720</v>
      </c>
      <c r="D1" s="2646"/>
      <c r="E1" s="2647"/>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1" t="s">
        <v>521</v>
      </c>
      <c r="B4" s="512"/>
      <c r="C4" s="3400" t="s">
        <v>522</v>
      </c>
      <c r="D4" s="3401"/>
      <c r="E4" s="3436" t="s">
        <v>523</v>
      </c>
      <c r="F4" s="3437"/>
      <c r="G4" s="3400" t="s">
        <v>524</v>
      </c>
      <c r="H4" s="3401"/>
      <c r="I4" s="3400" t="s">
        <v>525</v>
      </c>
      <c r="J4" s="3401"/>
      <c r="K4" s="852" t="s">
        <v>526</v>
      </c>
      <c r="L4" s="2130"/>
      <c r="M4" s="2131"/>
      <c r="N4" s="2131"/>
      <c r="O4" s="2131"/>
      <c r="P4" s="3402" t="s">
        <v>527</v>
      </c>
      <c r="Q4" s="3403"/>
      <c r="R4" s="3408" t="s">
        <v>523</v>
      </c>
      <c r="S4" s="3409"/>
      <c r="T4" s="3408" t="s">
        <v>524</v>
      </c>
      <c r="U4" s="3409"/>
      <c r="V4" s="3395" t="s">
        <v>525</v>
      </c>
      <c r="W4" s="3395"/>
      <c r="X4" s="1565"/>
      <c r="Y4" s="3408" t="s">
        <v>527</v>
      </c>
      <c r="Z4" s="3409"/>
      <c r="AA4" s="3397" t="s">
        <v>523</v>
      </c>
      <c r="AB4" s="3397" t="s">
        <v>524</v>
      </c>
      <c r="AC4" s="3397" t="s">
        <v>525</v>
      </c>
    </row>
    <row r="5" spans="1:29" ht="15">
      <c r="A5" s="514"/>
      <c r="B5" s="515"/>
      <c r="C5" s="3416" t="s">
        <v>2923</v>
      </c>
      <c r="D5" s="3417"/>
      <c r="E5" s="3438" t="s">
        <v>2924</v>
      </c>
      <c r="F5" s="3439"/>
      <c r="G5" s="3416" t="s">
        <v>2925</v>
      </c>
      <c r="H5" s="3417"/>
      <c r="I5" s="3416" t="s">
        <v>2926</v>
      </c>
      <c r="J5" s="3417"/>
      <c r="K5" s="853"/>
      <c r="L5" s="2130"/>
      <c r="M5" s="2131"/>
      <c r="N5" s="2131"/>
      <c r="O5" s="2131"/>
      <c r="P5" s="3404"/>
      <c r="Q5" s="3405"/>
      <c r="R5" s="3410"/>
      <c r="S5" s="3411"/>
      <c r="T5" s="3410"/>
      <c r="U5" s="3411"/>
      <c r="V5" s="3395"/>
      <c r="W5" s="3395"/>
      <c r="X5" s="1565"/>
      <c r="Y5" s="3410"/>
      <c r="Z5" s="3411"/>
      <c r="AA5" s="3398"/>
      <c r="AB5" s="3398"/>
      <c r="AC5" s="3398"/>
    </row>
    <row r="6" spans="1:29" ht="15.75" thickBot="1">
      <c r="A6" s="516"/>
      <c r="B6" s="517"/>
      <c r="C6" s="3433" t="s">
        <v>2927</v>
      </c>
      <c r="D6" s="3415"/>
      <c r="E6" s="3434" t="s">
        <v>2927</v>
      </c>
      <c r="F6" s="3435"/>
      <c r="G6" s="3433" t="s">
        <v>2927</v>
      </c>
      <c r="H6" s="3415"/>
      <c r="I6" s="3433" t="s">
        <v>2927</v>
      </c>
      <c r="J6" s="3415"/>
      <c r="K6" s="853" t="s">
        <v>528</v>
      </c>
      <c r="L6" s="2130"/>
      <c r="M6" s="2131"/>
      <c r="N6" s="2131"/>
      <c r="O6" s="2131"/>
      <c r="P6" s="3406"/>
      <c r="Q6" s="3407"/>
      <c r="R6" s="3410"/>
      <c r="S6" s="3411"/>
      <c r="T6" s="3412"/>
      <c r="U6" s="3413"/>
      <c r="V6" s="3395"/>
      <c r="W6" s="3395"/>
      <c r="X6" s="1565"/>
      <c r="Y6" s="3412"/>
      <c r="Z6" s="3413"/>
      <c r="AA6" s="3399"/>
      <c r="AB6" s="3399"/>
      <c r="AC6" s="3399"/>
    </row>
    <row r="7" spans="1:29" s="1219" customFormat="1" ht="15.75" thickBot="1">
      <c r="A7" s="2933"/>
      <c r="B7" s="2940" t="s">
        <v>529</v>
      </c>
      <c r="C7" s="518">
        <f>'数据-取费表'!B2</f>
        <v>43238</v>
      </c>
      <c r="D7" s="519">
        <v>100</v>
      </c>
      <c r="E7" s="520"/>
      <c r="F7" s="521">
        <f>SUMIF(58:58,YEAR(E7)&amp;"-"&amp;MONTH(E7),59:59)</f>
        <v>0</v>
      </c>
      <c r="G7" s="522"/>
      <c r="H7" s="519">
        <f>SUMIF(58:58,YEAR(G7)&amp;"-"&amp;MONTH(G7),59:59)</f>
        <v>0</v>
      </c>
      <c r="I7" s="522"/>
      <c r="J7" s="519">
        <f>SUMIF(58:58,YEAR(I7)&amp;"-"&amp;MONTH(I7),59:59)</f>
        <v>0</v>
      </c>
      <c r="K7" s="854"/>
      <c r="L7" s="2132"/>
      <c r="M7" s="2133"/>
      <c r="N7" s="2133"/>
      <c r="O7" s="2133"/>
      <c r="P7" s="3426" t="s">
        <v>530</v>
      </c>
      <c r="Q7" s="3428"/>
      <c r="R7" s="1566" t="s">
        <v>13</v>
      </c>
      <c r="S7" s="1567">
        <f t="shared" ref="S7:S15" si="0">F7</f>
        <v>0</v>
      </c>
      <c r="T7" s="1566" t="s">
        <v>13</v>
      </c>
      <c r="U7" s="1567">
        <f t="shared" ref="U7:U15" si="1">H7</f>
        <v>0</v>
      </c>
      <c r="V7" s="1566" t="s">
        <v>13</v>
      </c>
      <c r="W7" s="1567">
        <f t="shared" ref="W7:W15" si="2">J7</f>
        <v>0</v>
      </c>
      <c r="X7" s="1568"/>
      <c r="Y7" s="3426" t="s">
        <v>530</v>
      </c>
      <c r="Z7" s="3427"/>
      <c r="AA7" s="1569" t="e">
        <f>D7/F7</f>
        <v>#DIV/0!</v>
      </c>
      <c r="AB7" s="1569" t="e">
        <f>D7/H7</f>
        <v>#DIV/0!</v>
      </c>
      <c r="AC7" s="1569" t="e">
        <f>D7/J7</f>
        <v>#DIV/0!</v>
      </c>
    </row>
    <row r="8" spans="1:29" s="1219" customFormat="1" ht="15.75" thickBot="1">
      <c r="A8" s="2934"/>
      <c r="B8" s="2941" t="s">
        <v>531</v>
      </c>
      <c r="C8" s="524" t="s">
        <v>576</v>
      </c>
      <c r="D8" s="519">
        <v>100</v>
      </c>
      <c r="E8" s="855"/>
      <c r="F8" s="521">
        <f>SUMIF(61:61,E8,62:62)-SUMIF(61:61,C8,62:62)+100</f>
        <v>0</v>
      </c>
      <c r="G8" s="524"/>
      <c r="H8" s="519">
        <f>SUMIF(61:61,G8,62:62)-SUMIF(61:61,C8,62:62)+100</f>
        <v>0</v>
      </c>
      <c r="I8" s="855"/>
      <c r="J8" s="519">
        <f>SUMIF(61:61,I8,62:62)-SUMIF(61:61,C8,62:62)+100</f>
        <v>0</v>
      </c>
      <c r="K8" s="854"/>
      <c r="L8" s="2132"/>
      <c r="M8" s="2133"/>
      <c r="N8" s="2133"/>
      <c r="O8" s="2133"/>
      <c r="P8" s="3426" t="s">
        <v>533</v>
      </c>
      <c r="Q8" s="3427"/>
      <c r="R8" s="1566" t="s">
        <v>13</v>
      </c>
      <c r="S8" s="1567">
        <f t="shared" si="0"/>
        <v>0</v>
      </c>
      <c r="T8" s="1566" t="s">
        <v>13</v>
      </c>
      <c r="U8" s="1567">
        <f t="shared" si="1"/>
        <v>0</v>
      </c>
      <c r="V8" s="1566" t="s">
        <v>13</v>
      </c>
      <c r="W8" s="1567">
        <f t="shared" si="2"/>
        <v>0</v>
      </c>
      <c r="X8" s="1568"/>
      <c r="Y8" s="3426" t="s">
        <v>533</v>
      </c>
      <c r="Z8" s="3427"/>
      <c r="AA8" s="1569" t="e">
        <f t="shared" ref="AA8:AA46" si="3">D8/F8</f>
        <v>#DIV/0!</v>
      </c>
      <c r="AB8" s="1569" t="e">
        <f t="shared" ref="AB8:AB46" si="4">D8/H8</f>
        <v>#DIV/0!</v>
      </c>
      <c r="AC8" s="1569" t="e">
        <f t="shared" ref="AC8:AC46" si="5">D8/J8</f>
        <v>#DIV/0!</v>
      </c>
    </row>
    <row r="9" spans="1:29" s="1219" customFormat="1" ht="15">
      <c r="A9" s="2935"/>
      <c r="B9" s="2942" t="s">
        <v>2756</v>
      </c>
      <c r="C9" s="856"/>
      <c r="D9" s="253">
        <v>100</v>
      </c>
      <c r="E9" s="857"/>
      <c r="F9" s="858">
        <f>SUMIF(63:63,E9,64:64)-SUMIF(63:63,C9,64:64)+100</f>
        <v>100</v>
      </c>
      <c r="G9" s="859"/>
      <c r="H9" s="253">
        <f>SUMIF(63:63,G9,64:64)-SUMIF(63:63,C9,64:64)+100</f>
        <v>100</v>
      </c>
      <c r="I9" s="859"/>
      <c r="J9" s="253">
        <f>SUMIF(63:63,I9,64:64)-SUMIF(63:63,C9,64:64)+100</f>
        <v>100</v>
      </c>
      <c r="K9" s="854"/>
      <c r="L9" s="2132"/>
      <c r="M9" s="2133"/>
      <c r="N9" s="2133"/>
      <c r="O9" s="2134"/>
      <c r="P9" s="3394" t="s">
        <v>535</v>
      </c>
      <c r="Q9" s="1150" t="str">
        <f t="shared" ref="Q9:Q15" si="6">B9</f>
        <v>用途</v>
      </c>
      <c r="R9" s="1566" t="s">
        <v>8</v>
      </c>
      <c r="S9" s="1567">
        <f t="shared" si="0"/>
        <v>100</v>
      </c>
      <c r="T9" s="1566" t="s">
        <v>8</v>
      </c>
      <c r="U9" s="1567">
        <f t="shared" si="1"/>
        <v>100</v>
      </c>
      <c r="V9" s="1566" t="s">
        <v>8</v>
      </c>
      <c r="W9" s="1567">
        <f t="shared" si="2"/>
        <v>100</v>
      </c>
      <c r="X9" s="1568"/>
      <c r="Y9" s="3340"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1"/>
      <c r="F10" s="862">
        <f>SUMIF(65:65,E10,66:66)-SUMIF(65:65,C10,66:66)+100</f>
        <v>100</v>
      </c>
      <c r="G10" s="860"/>
      <c r="H10" s="254">
        <f>SUMIF(65:65,G10,66:66)-SUMIF(65:65,C10,66:66)+100</f>
        <v>100</v>
      </c>
      <c r="I10" s="860"/>
      <c r="J10" s="254">
        <f>SUMIF(65:65,I10,66:66)-SUMIF(65:65,C10,66:66)+100</f>
        <v>100</v>
      </c>
      <c r="K10" s="863"/>
      <c r="L10" s="2135"/>
      <c r="M10" s="2175"/>
      <c r="N10" s="2175"/>
      <c r="O10" s="2136"/>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
      <c r="A11" s="2937"/>
      <c r="B11" s="2941"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7"/>
      <c r="M11" s="2131"/>
      <c r="N11" s="2131"/>
      <c r="O11" s="2138"/>
      <c r="P11" s="3394"/>
      <c r="Q11" s="1150" t="str">
        <f t="shared" si="6"/>
        <v>容积率</v>
      </c>
      <c r="R11" s="1566" t="s">
        <v>11</v>
      </c>
      <c r="S11" s="1567" t="e">
        <f t="shared" si="0"/>
        <v>#N/A</v>
      </c>
      <c r="T11" s="1566" t="s">
        <v>11</v>
      </c>
      <c r="U11" s="1567" t="e">
        <f t="shared" si="1"/>
        <v>#N/A</v>
      </c>
      <c r="V11" s="1566" t="s">
        <v>11</v>
      </c>
      <c r="W11" s="1567" t="e">
        <f t="shared" si="2"/>
        <v>#N/A</v>
      </c>
      <c r="X11" s="1568"/>
      <c r="Y11" s="3340"/>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94"/>
      <c r="Q12" s="1150">
        <f t="shared" si="6"/>
        <v>111</v>
      </c>
      <c r="R12" s="1566" t="s">
        <v>11</v>
      </c>
      <c r="S12" s="1567">
        <f t="shared" si="0"/>
        <v>100</v>
      </c>
      <c r="T12" s="1566" t="s">
        <v>11</v>
      </c>
      <c r="U12" s="1567">
        <f t="shared" si="1"/>
        <v>100</v>
      </c>
      <c r="V12" s="1566" t="s">
        <v>11</v>
      </c>
      <c r="W12" s="1567">
        <f t="shared" si="2"/>
        <v>100</v>
      </c>
      <c r="X12" s="1568"/>
      <c r="Y12" s="3340"/>
      <c r="Z12" s="1149">
        <f t="shared" si="7"/>
        <v>111</v>
      </c>
      <c r="AA12" s="1569">
        <f>D12/F12</f>
        <v>1</v>
      </c>
      <c r="AB12" s="1569">
        <f>D12/H12</f>
        <v>1</v>
      </c>
      <c r="AC12" s="1569">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4"/>
      <c r="Q13" s="1150">
        <f t="shared" si="6"/>
        <v>111</v>
      </c>
      <c r="R13" s="1566" t="s">
        <v>11</v>
      </c>
      <c r="S13" s="1567">
        <f t="shared" si="0"/>
        <v>100</v>
      </c>
      <c r="T13" s="1566" t="s">
        <v>11</v>
      </c>
      <c r="U13" s="1567">
        <f t="shared" si="1"/>
        <v>100</v>
      </c>
      <c r="V13" s="1566" t="s">
        <v>11</v>
      </c>
      <c r="W13" s="1567">
        <f t="shared" si="2"/>
        <v>100</v>
      </c>
      <c r="X13" s="1568"/>
      <c r="Y13" s="3340"/>
      <c r="Z13" s="1149">
        <f t="shared" si="7"/>
        <v>111</v>
      </c>
      <c r="AA13" s="1569">
        <f t="shared" si="3"/>
        <v>1</v>
      </c>
      <c r="AB13" s="1569">
        <f t="shared" si="4"/>
        <v>1</v>
      </c>
      <c r="AC13" s="1569">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4"/>
      <c r="Q14" s="1150">
        <f t="shared" si="6"/>
        <v>111</v>
      </c>
      <c r="R14" s="1566" t="s">
        <v>11</v>
      </c>
      <c r="S14" s="1567">
        <f t="shared" si="0"/>
        <v>100</v>
      </c>
      <c r="T14" s="1566" t="s">
        <v>11</v>
      </c>
      <c r="U14" s="1567">
        <f t="shared" si="1"/>
        <v>100</v>
      </c>
      <c r="V14" s="1566" t="s">
        <v>11</v>
      </c>
      <c r="W14" s="1567">
        <f t="shared" si="2"/>
        <v>100</v>
      </c>
      <c r="X14" s="1568"/>
      <c r="Y14" s="3340"/>
      <c r="Z14" s="1149">
        <f t="shared" si="7"/>
        <v>111</v>
      </c>
      <c r="AA14" s="1569">
        <f t="shared" si="3"/>
        <v>1</v>
      </c>
      <c r="AB14" s="1569">
        <f t="shared" si="4"/>
        <v>1</v>
      </c>
      <c r="AC14" s="1569">
        <f t="shared" si="5"/>
        <v>1</v>
      </c>
    </row>
    <row r="15" spans="1:29" ht="15">
      <c r="A15" s="2931" t="s">
        <v>2754</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9"/>
      <c r="M15" s="2131"/>
      <c r="N15" s="2131"/>
      <c r="O15" s="2138"/>
      <c r="P15" s="3429" t="s">
        <v>540</v>
      </c>
      <c r="Q15" s="1570" t="str">
        <f t="shared" si="6"/>
        <v>居住社区成熟度</v>
      </c>
      <c r="R15" s="1571" t="s">
        <v>11</v>
      </c>
      <c r="S15" s="1572">
        <f t="shared" si="0"/>
        <v>100</v>
      </c>
      <c r="T15" s="1571" t="s">
        <v>11</v>
      </c>
      <c r="U15" s="1572">
        <f t="shared" si="1"/>
        <v>100</v>
      </c>
      <c r="V15" s="1571" t="s">
        <v>11</v>
      </c>
      <c r="W15" s="1572">
        <f t="shared" si="2"/>
        <v>100</v>
      </c>
      <c r="X15" s="1565"/>
      <c r="Y15" s="3429"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39"/>
      <c r="M16" s="2131"/>
      <c r="N16" s="2131"/>
      <c r="O16" s="2138"/>
      <c r="P16" s="3430"/>
      <c r="Q16" s="1570"/>
      <c r="R16" s="1571"/>
      <c r="S16" s="1572"/>
      <c r="T16" s="1571"/>
      <c r="U16" s="1572"/>
      <c r="V16" s="1571"/>
      <c r="W16" s="1572"/>
      <c r="X16" s="1565"/>
      <c r="Y16" s="3430"/>
      <c r="Z16" s="1573"/>
      <c r="AA16" s="1574">
        <v>1</v>
      </c>
      <c r="AB16" s="1574">
        <v>1</v>
      </c>
      <c r="AC16" s="1574">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9"/>
      <c r="M17" s="2131"/>
      <c r="N17" s="2131"/>
      <c r="O17" s="2138"/>
      <c r="P17" s="3430"/>
      <c r="Q17" s="1570" t="str">
        <f>B17</f>
        <v>交通便捷度</v>
      </c>
      <c r="R17" s="1571" t="s">
        <v>11</v>
      </c>
      <c r="S17" s="1572">
        <f>F17</f>
        <v>100</v>
      </c>
      <c r="T17" s="1571" t="s">
        <v>11</v>
      </c>
      <c r="U17" s="1572">
        <f>H17</f>
        <v>100</v>
      </c>
      <c r="V17" s="1571" t="s">
        <v>11</v>
      </c>
      <c r="W17" s="1572">
        <f>J17</f>
        <v>100</v>
      </c>
      <c r="X17" s="1565"/>
      <c r="Y17" s="343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39"/>
      <c r="M18" s="2131"/>
      <c r="N18" s="2131"/>
      <c r="O18" s="2138"/>
      <c r="P18" s="3430"/>
      <c r="Q18" s="1570"/>
      <c r="R18" s="1571"/>
      <c r="S18" s="1572"/>
      <c r="T18" s="1571"/>
      <c r="U18" s="1572"/>
      <c r="V18" s="1571"/>
      <c r="W18" s="1572"/>
      <c r="X18" s="1565"/>
      <c r="Y18" s="3430"/>
      <c r="Z18" s="1573"/>
      <c r="AA18" s="1574">
        <v>1</v>
      </c>
      <c r="AB18" s="1574">
        <v>1</v>
      </c>
      <c r="AC18" s="1574">
        <v>1</v>
      </c>
    </row>
    <row r="19" spans="1:29" ht="185.25">
      <c r="A19" s="531"/>
      <c r="B19" s="2621" t="s">
        <v>2547</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9"/>
      <c r="M19" s="2131"/>
      <c r="N19" s="2131"/>
      <c r="O19" s="2138"/>
      <c r="P19" s="3430"/>
      <c r="Q19" s="1570" t="str">
        <f>B19</f>
        <v>公共配套设施</v>
      </c>
      <c r="R19" s="1571" t="s">
        <v>11</v>
      </c>
      <c r="S19" s="1572">
        <f>F19</f>
        <v>100</v>
      </c>
      <c r="T19" s="1571" t="s">
        <v>11</v>
      </c>
      <c r="U19" s="1572">
        <f>H19</f>
        <v>100</v>
      </c>
      <c r="V19" s="1571" t="s">
        <v>11</v>
      </c>
      <c r="W19" s="1572">
        <f>J19</f>
        <v>100</v>
      </c>
      <c r="X19" s="1565"/>
      <c r="Y19" s="3430"/>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39"/>
      <c r="M20" s="2131"/>
      <c r="N20" s="2131"/>
      <c r="O20" s="2138"/>
      <c r="P20" s="3430"/>
      <c r="Q20" s="1570"/>
      <c r="R20" s="1571"/>
      <c r="S20" s="1572"/>
      <c r="T20" s="1571"/>
      <c r="U20" s="1572"/>
      <c r="V20" s="1571"/>
      <c r="W20" s="1572"/>
      <c r="X20" s="1565"/>
      <c r="Y20" s="3430"/>
      <c r="Z20" s="1573"/>
      <c r="AA20" s="1574">
        <v>1</v>
      </c>
      <c r="AB20" s="1574">
        <v>1</v>
      </c>
      <c r="AC20" s="1574">
        <v>1</v>
      </c>
    </row>
    <row r="21" spans="1:29" ht="42.75">
      <c r="A21" s="531"/>
      <c r="B21" s="2614" t="s">
        <v>2559</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9"/>
      <c r="M21" s="2131"/>
      <c r="N21" s="2131"/>
      <c r="O21" s="2138"/>
      <c r="P21" s="3430"/>
      <c r="Q21" s="2600" t="str">
        <f>B21</f>
        <v>基础设施水平</v>
      </c>
      <c r="R21" s="1571" t="s">
        <v>11</v>
      </c>
      <c r="S21" s="1572">
        <f>F21</f>
        <v>100</v>
      </c>
      <c r="T21" s="1571" t="s">
        <v>11</v>
      </c>
      <c r="U21" s="1572">
        <f>H21</f>
        <v>100</v>
      </c>
      <c r="V21" s="1571" t="s">
        <v>11</v>
      </c>
      <c r="W21" s="1572">
        <f>J21</f>
        <v>100</v>
      </c>
      <c r="X21" s="2602"/>
      <c r="Y21" s="3430"/>
      <c r="Z21" s="2601"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0"/>
      <c r="L22" s="2139"/>
      <c r="M22" s="2131"/>
      <c r="N22" s="2131"/>
      <c r="O22" s="2138"/>
      <c r="P22" s="3430"/>
      <c r="Q22" s="2600"/>
      <c r="R22" s="1571"/>
      <c r="S22" s="1572"/>
      <c r="T22" s="1571"/>
      <c r="U22" s="1572"/>
      <c r="V22" s="1571"/>
      <c r="W22" s="1572"/>
      <c r="X22" s="2602"/>
      <c r="Y22" s="3430"/>
      <c r="Z22" s="2601"/>
      <c r="AA22" s="1574">
        <v>1</v>
      </c>
      <c r="AB22" s="1574">
        <v>1</v>
      </c>
      <c r="AC22" s="1574">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9"/>
      <c r="M23" s="2131"/>
      <c r="N23" s="2131"/>
      <c r="O23" s="2138"/>
      <c r="P23" s="3430"/>
      <c r="Q23" s="1570" t="str">
        <f>B23</f>
        <v>自然及人文环境</v>
      </c>
      <c r="R23" s="1571" t="s">
        <v>11</v>
      </c>
      <c r="S23" s="1572">
        <f>F23</f>
        <v>100</v>
      </c>
      <c r="T23" s="1571" t="s">
        <v>11</v>
      </c>
      <c r="U23" s="1572">
        <f>H23</f>
        <v>100</v>
      </c>
      <c r="V23" s="1571" t="s">
        <v>11</v>
      </c>
      <c r="W23" s="1572">
        <f>J23</f>
        <v>100</v>
      </c>
      <c r="X23" s="1565"/>
      <c r="Y23" s="3430"/>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39"/>
      <c r="M24" s="2131"/>
      <c r="N24" s="2131"/>
      <c r="O24" s="2138"/>
      <c r="P24" s="3430"/>
      <c r="Q24" s="1570"/>
      <c r="R24" s="1571"/>
      <c r="S24" s="1572"/>
      <c r="T24" s="1571"/>
      <c r="U24" s="1572"/>
      <c r="V24" s="1571"/>
      <c r="W24" s="1572"/>
      <c r="X24" s="1565"/>
      <c r="Y24" s="3430"/>
      <c r="Z24" s="1573"/>
      <c r="AA24" s="1574">
        <v>1</v>
      </c>
      <c r="AB24" s="1574">
        <v>1</v>
      </c>
      <c r="AC24" s="1574">
        <v>1</v>
      </c>
    </row>
    <row r="25" spans="1:29" ht="15">
      <c r="A25" s="531"/>
      <c r="B25" s="1892" t="s">
        <v>2256</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0"/>
      <c r="Q25" s="1570" t="str">
        <f t="shared" ref="Q25:Q46" si="11">B25</f>
        <v>楼层-1</v>
      </c>
      <c r="R25" s="1571" t="s">
        <v>11</v>
      </c>
      <c r="S25" s="1572">
        <f>F25</f>
        <v>100</v>
      </c>
      <c r="T25" s="1571" t="s">
        <v>11</v>
      </c>
      <c r="U25" s="1572">
        <f>H25</f>
        <v>100</v>
      </c>
      <c r="V25" s="1571" t="s">
        <v>11</v>
      </c>
      <c r="W25" s="1572">
        <f>J25</f>
        <v>100</v>
      </c>
      <c r="X25" s="1565"/>
      <c r="Y25" s="3430"/>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0"/>
      <c r="Q26" s="1570" t="str">
        <f t="shared" si="11"/>
        <v>朝向</v>
      </c>
      <c r="R26" s="1571" t="s">
        <v>11</v>
      </c>
      <c r="S26" s="1572">
        <f>F26</f>
        <v>100</v>
      </c>
      <c r="T26" s="1571" t="s">
        <v>11</v>
      </c>
      <c r="U26" s="1572">
        <f>H26</f>
        <v>100</v>
      </c>
      <c r="V26" s="1571" t="s">
        <v>11</v>
      </c>
      <c r="W26" s="1572">
        <f>J26</f>
        <v>100</v>
      </c>
      <c r="X26" s="1565"/>
      <c r="Y26" s="3430"/>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0"/>
      <c r="Q27" s="1150" t="str">
        <f t="shared" si="11"/>
        <v>道路级别</v>
      </c>
      <c r="R27" s="1566" t="s">
        <v>11</v>
      </c>
      <c r="S27" s="1567">
        <f>F27</f>
        <v>100</v>
      </c>
      <c r="T27" s="1566" t="s">
        <v>11</v>
      </c>
      <c r="U27" s="1567">
        <f>H27</f>
        <v>100</v>
      </c>
      <c r="V27" s="1566" t="s">
        <v>11</v>
      </c>
      <c r="W27" s="1567">
        <f>J27</f>
        <v>100</v>
      </c>
      <c r="X27" s="1568"/>
      <c r="Y27" s="3430"/>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0"/>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0"/>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0"/>
      <c r="Q29" s="1570">
        <f t="shared" si="11"/>
        <v>111</v>
      </c>
      <c r="R29" s="1571" t="s">
        <v>11</v>
      </c>
      <c r="S29" s="1572">
        <f t="shared" si="12"/>
        <v>100</v>
      </c>
      <c r="T29" s="1571" t="s">
        <v>11</v>
      </c>
      <c r="U29" s="1572">
        <f t="shared" si="13"/>
        <v>100</v>
      </c>
      <c r="V29" s="1571" t="s">
        <v>11</v>
      </c>
      <c r="W29" s="1572">
        <f t="shared" si="14"/>
        <v>100</v>
      </c>
      <c r="X29" s="1565"/>
      <c r="Y29" s="3430"/>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0"/>
      <c r="Q30" s="1570">
        <f t="shared" si="11"/>
        <v>111</v>
      </c>
      <c r="R30" s="1571" t="s">
        <v>11</v>
      </c>
      <c r="S30" s="1572">
        <f t="shared" si="12"/>
        <v>100</v>
      </c>
      <c r="T30" s="1571" t="s">
        <v>11</v>
      </c>
      <c r="U30" s="1572">
        <f t="shared" si="13"/>
        <v>100</v>
      </c>
      <c r="V30" s="1571" t="s">
        <v>11</v>
      </c>
      <c r="W30" s="1572">
        <f t="shared" si="14"/>
        <v>100</v>
      </c>
      <c r="X30" s="1565"/>
      <c r="Y30" s="3430"/>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0"/>
      <c r="Q31" s="1570">
        <f t="shared" si="11"/>
        <v>111</v>
      </c>
      <c r="R31" s="1571" t="s">
        <v>11</v>
      </c>
      <c r="S31" s="1572">
        <f t="shared" si="12"/>
        <v>100</v>
      </c>
      <c r="T31" s="1571" t="s">
        <v>11</v>
      </c>
      <c r="U31" s="1572">
        <f t="shared" si="13"/>
        <v>100</v>
      </c>
      <c r="V31" s="1571" t="s">
        <v>11</v>
      </c>
      <c r="W31" s="1572">
        <f t="shared" si="14"/>
        <v>100</v>
      </c>
      <c r="X31" s="1565"/>
      <c r="Y31" s="3430"/>
      <c r="Z31" s="1573">
        <f t="shared" si="15"/>
        <v>111</v>
      </c>
      <c r="AA31" s="1574">
        <f t="shared" si="3"/>
        <v>1</v>
      </c>
      <c r="AB31" s="1574">
        <f t="shared" si="4"/>
        <v>1</v>
      </c>
      <c r="AC31" s="1574">
        <f t="shared" si="5"/>
        <v>1</v>
      </c>
    </row>
    <row r="32" spans="1:29" ht="15">
      <c r="A32" s="2928"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9"/>
      <c r="M32" s="2131"/>
      <c r="N32" s="2131"/>
      <c r="O32" s="2138"/>
      <c r="P32" s="3431" t="s">
        <v>550</v>
      </c>
      <c r="Q32" s="1570" t="str">
        <f t="shared" si="11"/>
        <v>建筑类型</v>
      </c>
      <c r="R32" s="1571" t="s">
        <v>11</v>
      </c>
      <c r="S32" s="1572">
        <f t="shared" si="12"/>
        <v>100</v>
      </c>
      <c r="T32" s="1571" t="s">
        <v>11</v>
      </c>
      <c r="U32" s="1572">
        <f t="shared" si="13"/>
        <v>100</v>
      </c>
      <c r="V32" s="1571" t="s">
        <v>11</v>
      </c>
      <c r="W32" s="1572">
        <f t="shared" si="14"/>
        <v>100</v>
      </c>
      <c r="X32" s="1565"/>
      <c r="Y32" s="3432"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7"/>
      <c r="M33" s="2168"/>
      <c r="N33" s="2168"/>
      <c r="O33" s="2140"/>
      <c r="P33" s="3432"/>
      <c r="Q33" s="1603" t="str">
        <f t="shared" si="11"/>
        <v>项目建筑规模</v>
      </c>
      <c r="R33" s="1575" t="s">
        <v>11</v>
      </c>
      <c r="S33" s="1576" t="e">
        <f t="shared" si="12"/>
        <v>#N/A</v>
      </c>
      <c r="T33" s="1575" t="s">
        <v>11</v>
      </c>
      <c r="U33" s="1576" t="e">
        <f t="shared" si="13"/>
        <v>#N/A</v>
      </c>
      <c r="V33" s="1575" t="s">
        <v>11</v>
      </c>
      <c r="W33" s="1576" t="e">
        <f t="shared" si="14"/>
        <v>#N/A</v>
      </c>
      <c r="X33" s="1577"/>
      <c r="Y33" s="3432"/>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9"/>
      <c r="M34" s="2131"/>
      <c r="N34" s="2131"/>
      <c r="O34" s="2138"/>
      <c r="P34" s="3432"/>
      <c r="Q34" s="1570" t="str">
        <f t="shared" si="11"/>
        <v>建筑结构</v>
      </c>
      <c r="R34" s="1571" t="s">
        <v>11</v>
      </c>
      <c r="S34" s="1572">
        <f t="shared" si="12"/>
        <v>100</v>
      </c>
      <c r="T34" s="1571" t="s">
        <v>11</v>
      </c>
      <c r="U34" s="1572">
        <f t="shared" si="13"/>
        <v>100</v>
      </c>
      <c r="V34" s="1571" t="s">
        <v>11</v>
      </c>
      <c r="W34" s="1572">
        <f t="shared" si="14"/>
        <v>100</v>
      </c>
      <c r="X34" s="1565"/>
      <c r="Y34" s="3432"/>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9"/>
      <c r="M35" s="2131"/>
      <c r="N35" s="2131"/>
      <c r="O35" s="2138"/>
      <c r="P35" s="3432"/>
      <c r="Q35" s="1570" t="str">
        <f t="shared" si="11"/>
        <v>建筑品质</v>
      </c>
      <c r="R35" s="1571" t="s">
        <v>11</v>
      </c>
      <c r="S35" s="1572">
        <f t="shared" si="12"/>
        <v>100</v>
      </c>
      <c r="T35" s="1571" t="s">
        <v>11</v>
      </c>
      <c r="U35" s="1572">
        <f t="shared" si="13"/>
        <v>100</v>
      </c>
      <c r="V35" s="1571" t="s">
        <v>11</v>
      </c>
      <c r="W35" s="1572">
        <f t="shared" si="14"/>
        <v>100</v>
      </c>
      <c r="X35" s="1565"/>
      <c r="Y35" s="3432"/>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9"/>
      <c r="M36" s="2131"/>
      <c r="N36" s="2131"/>
      <c r="O36" s="2138"/>
      <c r="P36" s="3432"/>
      <c r="Q36" s="1570" t="str">
        <f t="shared" si="11"/>
        <v>公共部分装修</v>
      </c>
      <c r="R36" s="1571" t="s">
        <v>11</v>
      </c>
      <c r="S36" s="1572">
        <f t="shared" si="12"/>
        <v>100</v>
      </c>
      <c r="T36" s="1571" t="s">
        <v>11</v>
      </c>
      <c r="U36" s="1572">
        <f t="shared" si="13"/>
        <v>100</v>
      </c>
      <c r="V36" s="1571" t="s">
        <v>11</v>
      </c>
      <c r="W36" s="1572">
        <f t="shared" si="14"/>
        <v>100</v>
      </c>
      <c r="X36" s="1565"/>
      <c r="Y36" s="3432"/>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2"/>
      <c r="M37" s="2133"/>
      <c r="N37" s="2133"/>
      <c r="O37" s="2134"/>
      <c r="P37" s="3432"/>
      <c r="Q37" s="1150" t="str">
        <f t="shared" si="11"/>
        <v>成新度</v>
      </c>
      <c r="R37" s="1566" t="s">
        <v>11</v>
      </c>
      <c r="S37" s="1567" t="e">
        <f t="shared" si="12"/>
        <v>#N/A</v>
      </c>
      <c r="T37" s="1566" t="s">
        <v>11</v>
      </c>
      <c r="U37" s="1567" t="e">
        <f t="shared" si="13"/>
        <v>#N/A</v>
      </c>
      <c r="V37" s="1566" t="s">
        <v>11</v>
      </c>
      <c r="W37" s="1567" t="e">
        <f t="shared" si="14"/>
        <v>#N/A</v>
      </c>
      <c r="X37" s="1568"/>
      <c r="Y37" s="3432"/>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9"/>
      <c r="M38" s="2131"/>
      <c r="N38" s="2131"/>
      <c r="O38" s="2138"/>
      <c r="P38" s="3432" t="s">
        <v>550</v>
      </c>
      <c r="Q38" s="1570" t="str">
        <f t="shared" si="11"/>
        <v>物业管理</v>
      </c>
      <c r="R38" s="1571" t="s">
        <v>11</v>
      </c>
      <c r="S38" s="1572">
        <f t="shared" si="12"/>
        <v>100</v>
      </c>
      <c r="T38" s="1571" t="s">
        <v>11</v>
      </c>
      <c r="U38" s="1572">
        <f t="shared" si="13"/>
        <v>100</v>
      </c>
      <c r="V38" s="1571" t="s">
        <v>11</v>
      </c>
      <c r="W38" s="1572">
        <f t="shared" si="14"/>
        <v>100</v>
      </c>
      <c r="X38" s="1565"/>
      <c r="Y38" s="3432" t="s">
        <v>550</v>
      </c>
      <c r="Z38" s="1573" t="str">
        <f t="shared" si="15"/>
        <v>物业管理</v>
      </c>
      <c r="AA38" s="1574">
        <f t="shared" si="3"/>
        <v>1</v>
      </c>
      <c r="AB38" s="1574">
        <f t="shared" si="4"/>
        <v>1</v>
      </c>
      <c r="AC38" s="1574">
        <f t="shared" si="5"/>
        <v>1</v>
      </c>
    </row>
    <row r="39" spans="1:29" ht="15">
      <c r="A39" s="593"/>
      <c r="B39" s="1892"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9"/>
      <c r="M39" s="2131"/>
      <c r="N39" s="2131"/>
      <c r="O39" s="2138"/>
      <c r="P39" s="3432"/>
      <c r="Q39" s="1570" t="str">
        <f t="shared" si="11"/>
        <v>市政基础设施</v>
      </c>
      <c r="R39" s="1571" t="s">
        <v>11</v>
      </c>
      <c r="S39" s="1572">
        <f t="shared" si="12"/>
        <v>100</v>
      </c>
      <c r="T39" s="1571" t="s">
        <v>11</v>
      </c>
      <c r="U39" s="1572">
        <f t="shared" si="13"/>
        <v>100</v>
      </c>
      <c r="V39" s="1571" t="s">
        <v>11</v>
      </c>
      <c r="W39" s="1572">
        <f t="shared" si="14"/>
        <v>100</v>
      </c>
      <c r="X39" s="1565"/>
      <c r="Y39" s="3432"/>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9"/>
      <c r="M40" s="2131"/>
      <c r="N40" s="2131"/>
      <c r="O40" s="2138"/>
      <c r="P40" s="3432"/>
      <c r="Q40" s="1570" t="str">
        <f t="shared" si="11"/>
        <v>房型</v>
      </c>
      <c r="R40" s="1571" t="s">
        <v>11</v>
      </c>
      <c r="S40" s="1572">
        <f t="shared" si="12"/>
        <v>100</v>
      </c>
      <c r="T40" s="1571" t="s">
        <v>11</v>
      </c>
      <c r="U40" s="1572">
        <f t="shared" si="13"/>
        <v>100</v>
      </c>
      <c r="V40" s="1571" t="s">
        <v>11</v>
      </c>
      <c r="W40" s="1572">
        <f t="shared" si="14"/>
        <v>100</v>
      </c>
      <c r="X40" s="1565"/>
      <c r="Y40" s="3432"/>
      <c r="Z40" s="1573" t="str">
        <f t="shared" si="15"/>
        <v>房型</v>
      </c>
      <c r="AA40" s="1574">
        <f t="shared" si="3"/>
        <v>1</v>
      </c>
      <c r="AB40" s="1574">
        <f t="shared" si="4"/>
        <v>1</v>
      </c>
      <c r="AC40" s="1574">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2"/>
      <c r="Q41" s="1603" t="str">
        <f t="shared" si="11"/>
        <v>单套/主力户型建筑面积</v>
      </c>
      <c r="R41" s="1575" t="s">
        <v>11</v>
      </c>
      <c r="S41" s="1576">
        <f t="shared" si="12"/>
        <v>100</v>
      </c>
      <c r="T41" s="1575" t="s">
        <v>11</v>
      </c>
      <c r="U41" s="1576">
        <f t="shared" si="13"/>
        <v>100</v>
      </c>
      <c r="V41" s="1575" t="s">
        <v>11</v>
      </c>
      <c r="W41" s="1576">
        <f t="shared" si="14"/>
        <v>100</v>
      </c>
      <c r="X41" s="1577"/>
      <c r="Y41" s="3432"/>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9"/>
      <c r="M42" s="2131"/>
      <c r="N42" s="2131"/>
      <c r="O42" s="2138"/>
      <c r="P42" s="3432"/>
      <c r="Q42" s="1570" t="str">
        <f t="shared" si="11"/>
        <v>内部装修</v>
      </c>
      <c r="R42" s="1571" t="s">
        <v>11</v>
      </c>
      <c r="S42" s="1572">
        <f t="shared" si="12"/>
        <v>100</v>
      </c>
      <c r="T42" s="1571" t="s">
        <v>11</v>
      </c>
      <c r="U42" s="1572">
        <f t="shared" si="13"/>
        <v>100</v>
      </c>
      <c r="V42" s="1571" t="s">
        <v>11</v>
      </c>
      <c r="W42" s="1572">
        <f t="shared" si="14"/>
        <v>100</v>
      </c>
      <c r="X42" s="1565"/>
      <c r="Y42" s="3432"/>
      <c r="Z42" s="1573" t="str">
        <f t="shared" si="15"/>
        <v>内部装修</v>
      </c>
      <c r="AA42" s="1574">
        <f t="shared" si="3"/>
        <v>1</v>
      </c>
      <c r="AB42" s="1574">
        <f t="shared" si="4"/>
        <v>1</v>
      </c>
      <c r="AC42" s="1574">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32"/>
      <c r="Q43" s="1570" t="str">
        <f t="shared" si="11"/>
        <v>内部装修维护情况</v>
      </c>
      <c r="R43" s="1571" t="s">
        <v>11</v>
      </c>
      <c r="S43" s="1572">
        <f t="shared" si="12"/>
        <v>100</v>
      </c>
      <c r="T43" s="1571" t="s">
        <v>11</v>
      </c>
      <c r="U43" s="1572">
        <f t="shared" si="13"/>
        <v>100</v>
      </c>
      <c r="V43" s="1571" t="s">
        <v>11</v>
      </c>
      <c r="W43" s="1572">
        <f t="shared" si="14"/>
        <v>100</v>
      </c>
      <c r="X43" s="1565"/>
      <c r="Y43" s="3432"/>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32"/>
      <c r="Q44" s="1150">
        <f t="shared" si="11"/>
        <v>111</v>
      </c>
      <c r="R44" s="1566" t="s">
        <v>11</v>
      </c>
      <c r="S44" s="1567">
        <f t="shared" si="12"/>
        <v>100</v>
      </c>
      <c r="T44" s="1566" t="s">
        <v>11</v>
      </c>
      <c r="U44" s="1567">
        <f t="shared" si="13"/>
        <v>100</v>
      </c>
      <c r="V44" s="1566" t="s">
        <v>11</v>
      </c>
      <c r="W44" s="1567">
        <f t="shared" si="14"/>
        <v>100</v>
      </c>
      <c r="X44" s="1568"/>
      <c r="Y44" s="3432"/>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2"/>
      <c r="Q45" s="1570">
        <f t="shared" si="11"/>
        <v>111</v>
      </c>
      <c r="R45" s="1571" t="s">
        <v>11</v>
      </c>
      <c r="S45" s="1572">
        <f t="shared" si="12"/>
        <v>100</v>
      </c>
      <c r="T45" s="1571" t="s">
        <v>11</v>
      </c>
      <c r="U45" s="1572">
        <f t="shared" si="13"/>
        <v>100</v>
      </c>
      <c r="V45" s="1571" t="s">
        <v>11</v>
      </c>
      <c r="W45" s="1572">
        <f t="shared" si="14"/>
        <v>100</v>
      </c>
      <c r="X45" s="1565"/>
      <c r="Y45" s="3432"/>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71"/>
      <c r="Q46" s="1570">
        <f t="shared" si="11"/>
        <v>111</v>
      </c>
      <c r="R46" s="1571" t="s">
        <v>10</v>
      </c>
      <c r="S46" s="1572">
        <f t="shared" si="12"/>
        <v>100</v>
      </c>
      <c r="T46" s="1571" t="s">
        <v>10</v>
      </c>
      <c r="U46" s="1572">
        <f t="shared" si="13"/>
        <v>100</v>
      </c>
      <c r="V46" s="1571" t="s">
        <v>10</v>
      </c>
      <c r="W46" s="1572">
        <f t="shared" si="14"/>
        <v>100</v>
      </c>
      <c r="X46" s="1565"/>
      <c r="Y46" s="3471"/>
      <c r="Z46" s="1573">
        <f t="shared" si="15"/>
        <v>111</v>
      </c>
      <c r="AA46" s="1574">
        <f t="shared" si="3"/>
        <v>1</v>
      </c>
      <c r="AB46" s="1574">
        <f t="shared" si="4"/>
        <v>1</v>
      </c>
      <c r="AC46" s="1574">
        <f t="shared" si="5"/>
        <v>1</v>
      </c>
    </row>
    <row r="47" spans="1:29" ht="15">
      <c r="A47" s="606" t="s">
        <v>736</v>
      </c>
      <c r="B47" s="886"/>
      <c r="C47" s="2648" t="s">
        <v>9</v>
      </c>
      <c r="D47" s="2649"/>
      <c r="E47" s="2650"/>
      <c r="F47" s="2651"/>
      <c r="G47" s="2652"/>
      <c r="H47" s="2653"/>
      <c r="I47" s="2650"/>
      <c r="J47" s="2653"/>
      <c r="K47" s="1604"/>
      <c r="L47" s="2141"/>
      <c r="M47" s="2142"/>
      <c r="N47" s="2131"/>
      <c r="O47" s="2142"/>
      <c r="P47" s="3394" t="str">
        <f>A47</f>
        <v>成交单价（元/平方米）</v>
      </c>
      <c r="Q47" s="3394"/>
      <c r="R47" s="3468">
        <f>E47</f>
        <v>0</v>
      </c>
      <c r="S47" s="3468"/>
      <c r="T47" s="3468">
        <f>G47</f>
        <v>0</v>
      </c>
      <c r="U47" s="3468"/>
      <c r="V47" s="3468">
        <f>I47</f>
        <v>0</v>
      </c>
      <c r="W47" s="3468"/>
      <c r="X47" s="1557"/>
      <c r="Y47" s="1579"/>
      <c r="Z47" s="1557"/>
      <c r="AA47" s="1557"/>
      <c r="AB47" s="1557"/>
      <c r="AC47" s="1557"/>
    </row>
    <row r="48" spans="1:29" ht="15.75" thickBot="1">
      <c r="A48" s="614" t="s">
        <v>2760</v>
      </c>
      <c r="B48" s="887"/>
      <c r="C48" s="2654" t="e">
        <f>R49</f>
        <v>#DIV/0!</v>
      </c>
      <c r="D48" s="2655"/>
      <c r="E48" s="2656" t="e">
        <f>R48</f>
        <v>#DIV/0!</v>
      </c>
      <c r="F48" s="2656"/>
      <c r="G48" s="2654" t="e">
        <f>T48</f>
        <v>#DIV/0!</v>
      </c>
      <c r="H48" s="2655"/>
      <c r="I48" s="2656" t="e">
        <f>V48</f>
        <v>#DIV/0!</v>
      </c>
      <c r="J48" s="2655"/>
      <c r="K48" s="1605"/>
      <c r="L48" s="2141"/>
      <c r="M48" s="2142"/>
      <c r="N48" s="2142"/>
      <c r="O48" s="2142"/>
      <c r="P48" s="3394" t="str">
        <f>A48</f>
        <v>比较价格（元/平方米）</v>
      </c>
      <c r="Q48" s="339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57"/>
      <c r="Y48" s="1557"/>
      <c r="Z48" s="1557"/>
      <c r="AA48" s="1557"/>
      <c r="AB48" s="1557"/>
      <c r="AC48" s="1557"/>
    </row>
    <row r="49" spans="1:29" ht="15.75" thickBot="1">
      <c r="A49" s="620" t="s">
        <v>2929</v>
      </c>
      <c r="B49" s="621"/>
      <c r="C49" s="2657" t="e">
        <f>R49</f>
        <v>#DIV/0!</v>
      </c>
      <c r="D49" s="2657"/>
      <c r="E49" s="2657"/>
      <c r="F49" s="2657"/>
      <c r="G49" s="2657"/>
      <c r="H49" s="2657"/>
      <c r="I49" s="2657"/>
      <c r="J49" s="2657"/>
      <c r="K49" s="1606"/>
      <c r="L49" s="2141"/>
      <c r="M49" s="2142"/>
      <c r="N49" s="2142"/>
      <c r="O49" s="2142"/>
      <c r="P49" s="3391" t="str">
        <f>A49</f>
        <v>估价对象XX用房的比较价格（楼面单价，元/平方米）</v>
      </c>
      <c r="Q49" s="3392"/>
      <c r="R49" s="3470" t="e">
        <f>IF(F1="售价",ROUND(AVERAGE(R48:V48),0),ROUND(AVERAGE(R48:V48),1))</f>
        <v>#DIV/0!</v>
      </c>
      <c r="S49" s="3470"/>
      <c r="T49" s="3470"/>
      <c r="U49" s="3470"/>
      <c r="V49" s="3470"/>
      <c r="W49" s="347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529</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577</v>
      </c>
      <c r="B63" s="664" t="s">
        <v>534</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2558</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2257</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746</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747</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753</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2557</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754</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733</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2258</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2259</v>
      </c>
      <c r="C137" s="1916"/>
      <c r="D137" s="1916"/>
      <c r="E137" s="1916"/>
      <c r="F137" s="1916"/>
      <c r="G137" s="1917"/>
      <c r="H137" s="1918"/>
      <c r="I137" s="1919" t="s">
        <v>2260</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2261</v>
      </c>
      <c r="D138" s="1922" t="s">
        <v>2262</v>
      </c>
      <c r="E138" s="1923" t="s">
        <v>2263</v>
      </c>
      <c r="F138" s="1924" t="s">
        <v>2264</v>
      </c>
      <c r="G138" s="1922" t="s">
        <v>2265</v>
      </c>
      <c r="H138" s="1925" t="s">
        <v>2266</v>
      </c>
      <c r="I138" s="1926"/>
      <c r="J138" s="1922" t="s">
        <v>2267</v>
      </c>
      <c r="K138" s="1925" t="s">
        <v>2268</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2269</v>
      </c>
      <c r="E139" s="1896">
        <v>100</v>
      </c>
      <c r="F139" s="1897">
        <v>102.5</v>
      </c>
      <c r="G139" s="1927" t="s">
        <v>2270</v>
      </c>
      <c r="H139" s="1898">
        <v>105</v>
      </c>
      <c r="I139" s="1928" t="s">
        <v>2271</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2272</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2273</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2274</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2275</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2276</v>
      </c>
      <c r="E144" s="1902">
        <v>102</v>
      </c>
      <c r="F144" s="1908">
        <v>100</v>
      </c>
      <c r="G144" s="1931" t="s">
        <v>2276</v>
      </c>
      <c r="H144" s="1904">
        <v>105</v>
      </c>
      <c r="I144" s="1930" t="s">
        <v>2275</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2277</v>
      </c>
      <c r="C145" s="1909">
        <f>ROUND(MAX(C139:C144)/MIN(C139:C144)-1,3)</f>
        <v>7.2999999999999995E-2</v>
      </c>
      <c r="D145" s="1933"/>
      <c r="E145" s="1933"/>
      <c r="F145" s="1934" t="s">
        <v>2278</v>
      </c>
      <c r="G145" s="1935"/>
      <c r="H145" s="1936"/>
      <c r="I145" s="1937" t="s">
        <v>2275</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2287</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2288</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9" priority="15" stopIfTrue="1" operator="containsText" text="超过">
      <formula>NOT(ISERROR(SEARCH("超过",F52)))</formula>
    </cfRule>
  </conditionalFormatting>
  <conditionalFormatting sqref="J54">
    <cfRule type="containsText" dxfId="58" priority="14" stopIfTrue="1" operator="containsText" text="超过">
      <formula>NOT(ISERROR(SEARCH("超过",J54)))</formula>
    </cfRule>
  </conditionalFormatting>
  <conditionalFormatting sqref="H54">
    <cfRule type="containsText" dxfId="57" priority="13" stopIfTrue="1" operator="containsText" text="超过">
      <formula>NOT(ISERROR(SEARCH("超过",H54)))</formula>
    </cfRule>
  </conditionalFormatting>
  <conditionalFormatting sqref="F54">
    <cfRule type="containsText" dxfId="56" priority="12" stopIfTrue="1" operator="containsText" text="超过">
      <formula>NOT(ISERROR(SEARCH("超过",F54)))</formula>
    </cfRule>
  </conditionalFormatting>
  <conditionalFormatting sqref="F53 H53 J53">
    <cfRule type="containsText" dxfId="55" priority="11" stopIfTrue="1" operator="containsText" text="超过">
      <formula>NOT(ISERROR(SEARCH("超过",F53)))</formula>
    </cfRule>
  </conditionalFormatting>
  <conditionalFormatting sqref="E52">
    <cfRule type="expression" dxfId="54" priority="10" stopIfTrue="1">
      <formula>$F$52="超过30%"</formula>
    </cfRule>
  </conditionalFormatting>
  <conditionalFormatting sqref="G54">
    <cfRule type="expression" dxfId="53" priority="8" stopIfTrue="1">
      <formula>$H$54="超过30%"</formula>
    </cfRule>
  </conditionalFormatting>
  <conditionalFormatting sqref="E53">
    <cfRule type="expression" dxfId="52" priority="7" stopIfTrue="1">
      <formula>$F$53="超过20%"</formula>
    </cfRule>
  </conditionalFormatting>
  <conditionalFormatting sqref="E54">
    <cfRule type="expression" dxfId="51" priority="6" stopIfTrue="1">
      <formula>$F$54="超过30%"</formula>
    </cfRule>
  </conditionalFormatting>
  <conditionalFormatting sqref="G52">
    <cfRule type="expression" dxfId="50" priority="5" stopIfTrue="1">
      <formula>$H$52="超过30%"</formula>
    </cfRule>
  </conditionalFormatting>
  <conditionalFormatting sqref="G53">
    <cfRule type="expression" dxfId="49" priority="4" stopIfTrue="1">
      <formula>$H$53="超过20%"</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7"/>
      <c r="E1" s="505"/>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7"/>
    </row>
    <row r="4" spans="1:29" ht="15">
      <c r="A4" s="511" t="s">
        <v>521</v>
      </c>
      <c r="B4" s="512"/>
      <c r="C4" s="3400" t="s">
        <v>522</v>
      </c>
      <c r="D4" s="3401"/>
      <c r="E4" s="3436" t="s">
        <v>523</v>
      </c>
      <c r="F4" s="3437"/>
      <c r="G4" s="3400" t="s">
        <v>524</v>
      </c>
      <c r="H4" s="3401"/>
      <c r="I4" s="3400" t="s">
        <v>525</v>
      </c>
      <c r="J4" s="3401"/>
      <c r="K4" s="513" t="s">
        <v>526</v>
      </c>
      <c r="L4" s="2130"/>
      <c r="M4" s="2131"/>
      <c r="N4" s="2131"/>
      <c r="O4" s="2131"/>
      <c r="P4" s="3402" t="s">
        <v>527</v>
      </c>
      <c r="Q4" s="3403"/>
      <c r="R4" s="3408" t="s">
        <v>523</v>
      </c>
      <c r="S4" s="3409"/>
      <c r="T4" s="3408" t="s">
        <v>524</v>
      </c>
      <c r="U4" s="3409"/>
      <c r="V4" s="3395" t="s">
        <v>525</v>
      </c>
      <c r="W4" s="3395"/>
      <c r="X4" s="1565"/>
      <c r="Y4" s="3408" t="s">
        <v>527</v>
      </c>
      <c r="Z4" s="3409"/>
      <c r="AA4" s="3397" t="s">
        <v>523</v>
      </c>
      <c r="AB4" s="3395" t="s">
        <v>524</v>
      </c>
      <c r="AC4" s="3397" t="s">
        <v>525</v>
      </c>
    </row>
    <row r="5" spans="1:29" ht="15">
      <c r="A5" s="514"/>
      <c r="B5" s="515"/>
      <c r="C5" s="3416" t="s">
        <v>2923</v>
      </c>
      <c r="D5" s="3417"/>
      <c r="E5" s="3438" t="s">
        <v>2924</v>
      </c>
      <c r="F5" s="3439"/>
      <c r="G5" s="3416" t="s">
        <v>2925</v>
      </c>
      <c r="H5" s="3417"/>
      <c r="I5" s="3416" t="s">
        <v>2926</v>
      </c>
      <c r="J5" s="3417"/>
      <c r="K5" s="513"/>
      <c r="L5" s="2130"/>
      <c r="M5" s="2131"/>
      <c r="N5" s="2131"/>
      <c r="O5" s="2131"/>
      <c r="P5" s="3404"/>
      <c r="Q5" s="3405"/>
      <c r="R5" s="3410"/>
      <c r="S5" s="3411"/>
      <c r="T5" s="3410"/>
      <c r="U5" s="3411"/>
      <c r="V5" s="3395"/>
      <c r="W5" s="3395"/>
      <c r="X5" s="1565"/>
      <c r="Y5" s="3410"/>
      <c r="Z5" s="3411"/>
      <c r="AA5" s="3398"/>
      <c r="AB5" s="3395"/>
      <c r="AC5" s="3398"/>
    </row>
    <row r="6" spans="1:29" ht="15.75" thickBot="1">
      <c r="A6" s="516"/>
      <c r="B6" s="517"/>
      <c r="C6" s="3433" t="s">
        <v>2927</v>
      </c>
      <c r="D6" s="3415"/>
      <c r="E6" s="3434" t="s">
        <v>2927</v>
      </c>
      <c r="F6" s="3435"/>
      <c r="G6" s="3433" t="s">
        <v>2927</v>
      </c>
      <c r="H6" s="3415"/>
      <c r="I6" s="3433" t="s">
        <v>2927</v>
      </c>
      <c r="J6" s="3415"/>
      <c r="K6" s="513" t="s">
        <v>528</v>
      </c>
      <c r="L6" s="2130"/>
      <c r="M6" s="2131"/>
      <c r="N6" s="2131"/>
      <c r="O6" s="2131"/>
      <c r="P6" s="3406"/>
      <c r="Q6" s="3407"/>
      <c r="R6" s="3410"/>
      <c r="S6" s="3411"/>
      <c r="T6" s="3412"/>
      <c r="U6" s="3413"/>
      <c r="V6" s="3395"/>
      <c r="W6" s="3395"/>
      <c r="X6" s="1565"/>
      <c r="Y6" s="3412"/>
      <c r="Z6" s="3413"/>
      <c r="AA6" s="3399"/>
      <c r="AB6" s="3395"/>
      <c r="AC6" s="3399"/>
    </row>
    <row r="7" spans="1:29" s="1219" customFormat="1" ht="15.75" thickBot="1">
      <c r="A7" s="2933"/>
      <c r="B7" s="2940" t="s">
        <v>529</v>
      </c>
      <c r="C7" s="518">
        <f>'数据-取费表'!B2</f>
        <v>43238</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6" t="s">
        <v>530</v>
      </c>
      <c r="Q7" s="3428"/>
      <c r="R7" s="1566" t="s">
        <v>8</v>
      </c>
      <c r="S7" s="1567">
        <f t="shared" ref="S7:S15" si="0">F7</f>
        <v>0</v>
      </c>
      <c r="T7" s="1566" t="s">
        <v>8</v>
      </c>
      <c r="U7" s="1567">
        <f t="shared" ref="U7:U15" si="1">H7</f>
        <v>0</v>
      </c>
      <c r="V7" s="1566" t="s">
        <v>8</v>
      </c>
      <c r="W7" s="1567">
        <f t="shared" ref="W7:W15" si="2">J7</f>
        <v>0</v>
      </c>
      <c r="X7" s="1568"/>
      <c r="Y7" s="3426" t="s">
        <v>530</v>
      </c>
      <c r="Z7" s="3427"/>
      <c r="AA7" s="1569" t="e">
        <f>D7/F7</f>
        <v>#DIV/0!</v>
      </c>
      <c r="AB7" s="1569" t="e">
        <f>D7/H7</f>
        <v>#DIV/0!</v>
      </c>
      <c r="AC7" s="1569" t="e">
        <f>D7/J7</f>
        <v>#DIV/0!</v>
      </c>
    </row>
    <row r="8" spans="1:29" s="1219" customFormat="1" ht="15.75" thickBot="1">
      <c r="A8" s="2934"/>
      <c r="B8" s="2941" t="s">
        <v>531</v>
      </c>
      <c r="C8" s="524" t="s">
        <v>576</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6" t="s">
        <v>533</v>
      </c>
      <c r="Q8" s="3427"/>
      <c r="R8" s="1566" t="s">
        <v>8</v>
      </c>
      <c r="S8" s="1567">
        <f t="shared" si="0"/>
        <v>0</v>
      </c>
      <c r="T8" s="1566" t="s">
        <v>8</v>
      </c>
      <c r="U8" s="1567">
        <f t="shared" si="1"/>
        <v>0</v>
      </c>
      <c r="V8" s="1566" t="s">
        <v>8</v>
      </c>
      <c r="W8" s="1567">
        <f t="shared" si="2"/>
        <v>0</v>
      </c>
      <c r="X8" s="1568"/>
      <c r="Y8" s="3426" t="s">
        <v>533</v>
      </c>
      <c r="Z8" s="3427"/>
      <c r="AA8" s="1569" t="e">
        <f t="shared" ref="AA8:AA46" si="3">D8/F8</f>
        <v>#DIV/0!</v>
      </c>
      <c r="AB8" s="1569" t="e">
        <f t="shared" ref="AB8:AB46" si="4">D8/H8</f>
        <v>#DIV/0!</v>
      </c>
      <c r="AC8" s="1569" t="e">
        <f t="shared" ref="AC8:AC46" si="5">D8/J8</f>
        <v>#DIV/0!</v>
      </c>
    </row>
    <row r="9" spans="1:29" s="1219"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394" t="s">
        <v>535</v>
      </c>
      <c r="Q9" s="1150" t="str">
        <f t="shared" ref="Q9:Q15" si="6">B9</f>
        <v>用途</v>
      </c>
      <c r="R9" s="1566" t="s">
        <v>8</v>
      </c>
      <c r="S9" s="1567">
        <f t="shared" si="0"/>
        <v>100</v>
      </c>
      <c r="T9" s="1566" t="s">
        <v>8</v>
      </c>
      <c r="U9" s="1567">
        <f t="shared" si="1"/>
        <v>100</v>
      </c>
      <c r="V9" s="1566" t="s">
        <v>8</v>
      </c>
      <c r="W9" s="1567">
        <f t="shared" si="2"/>
        <v>100</v>
      </c>
      <c r="X9" s="1568"/>
      <c r="Y9" s="3340"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394"/>
      <c r="Q11" s="1150" t="str">
        <f t="shared" si="6"/>
        <v>容积率</v>
      </c>
      <c r="R11" s="1566" t="s">
        <v>8</v>
      </c>
      <c r="S11" s="1567" t="e">
        <f t="shared" si="0"/>
        <v>#N/A</v>
      </c>
      <c r="T11" s="1566" t="s">
        <v>8</v>
      </c>
      <c r="U11" s="1567" t="e">
        <f t="shared" si="1"/>
        <v>#N/A</v>
      </c>
      <c r="V11" s="1566" t="s">
        <v>8</v>
      </c>
      <c r="W11" s="1567" t="e">
        <f t="shared" si="2"/>
        <v>#N/A</v>
      </c>
      <c r="X11" s="1568"/>
      <c r="Y11" s="3340"/>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38"/>
      <c r="F12" s="254">
        <f>SUMIF(70:70,E12,71:71)-SUMIF(70:70,C12,71:71)+100</f>
        <v>100</v>
      </c>
      <c r="G12" s="911"/>
      <c r="H12" s="254">
        <f>SUMIF(70:70,G12,71:71)-SUMIF(70:70,C12,71:71)+100</f>
        <v>100</v>
      </c>
      <c r="I12" s="538"/>
      <c r="J12" s="254">
        <f>SUMIF(70:70,I12,71:71)-SUMIF(70:70,C12,71:71)+100</f>
        <v>100</v>
      </c>
      <c r="K12" s="580"/>
      <c r="L12" s="2132"/>
      <c r="M12" s="2133"/>
      <c r="N12" s="2133"/>
      <c r="O12" s="2134"/>
      <c r="P12" s="3394"/>
      <c r="Q12" s="1150">
        <f t="shared" si="6"/>
        <v>111</v>
      </c>
      <c r="R12" s="1566" t="s">
        <v>8</v>
      </c>
      <c r="S12" s="1567">
        <f t="shared" si="0"/>
        <v>100</v>
      </c>
      <c r="T12" s="1566" t="s">
        <v>8</v>
      </c>
      <c r="U12" s="1567">
        <f t="shared" si="1"/>
        <v>100</v>
      </c>
      <c r="V12" s="1566" t="s">
        <v>8</v>
      </c>
      <c r="W12" s="1567">
        <f t="shared" si="2"/>
        <v>100</v>
      </c>
      <c r="X12" s="1568"/>
      <c r="Y12" s="3340"/>
      <c r="Z12" s="1149">
        <f t="shared" si="7"/>
        <v>111</v>
      </c>
      <c r="AA12" s="1569">
        <f>D12/F12</f>
        <v>1</v>
      </c>
      <c r="AB12" s="1569">
        <f>D12/H12</f>
        <v>1</v>
      </c>
      <c r="AC12" s="1569">
        <f>D12/J12</f>
        <v>1</v>
      </c>
    </row>
    <row r="13" spans="1:29" ht="15">
      <c r="A13" s="2938"/>
      <c r="B13" s="2944">
        <v>111</v>
      </c>
      <c r="C13" s="538"/>
      <c r="D13" s="539">
        <v>100</v>
      </c>
      <c r="E13" s="538"/>
      <c r="F13" s="254">
        <f>SUMIF(72:72,E13,73:73)-SUMIF(72:72,C13,73:73)+100</f>
        <v>100</v>
      </c>
      <c r="G13" s="911"/>
      <c r="H13" s="539">
        <f>SUMIF(72:72,G13,73:73)-SUMIF(72:72,C13,73:73)+100</f>
        <v>100</v>
      </c>
      <c r="I13" s="538"/>
      <c r="J13" s="539">
        <f>SUMIF(72:72,I13,73:73)-SUMIF(72:72,C13,73:73)+100</f>
        <v>100</v>
      </c>
      <c r="K13" s="580"/>
      <c r="L13" s="2139"/>
      <c r="M13" s="2131"/>
      <c r="N13" s="2131"/>
      <c r="O13" s="2138"/>
      <c r="P13" s="3394"/>
      <c r="Q13" s="1150">
        <f t="shared" si="6"/>
        <v>111</v>
      </c>
      <c r="R13" s="1566" t="s">
        <v>8</v>
      </c>
      <c r="S13" s="1567">
        <f t="shared" si="0"/>
        <v>100</v>
      </c>
      <c r="T13" s="1566" t="s">
        <v>8</v>
      </c>
      <c r="U13" s="1567">
        <f t="shared" si="1"/>
        <v>100</v>
      </c>
      <c r="V13" s="1566" t="s">
        <v>8</v>
      </c>
      <c r="W13" s="1567">
        <f t="shared" si="2"/>
        <v>100</v>
      </c>
      <c r="X13" s="1568"/>
      <c r="Y13" s="3340"/>
      <c r="Z13" s="1149">
        <f t="shared" si="7"/>
        <v>111</v>
      </c>
      <c r="AA13" s="1569">
        <f t="shared" si="3"/>
        <v>1</v>
      </c>
      <c r="AB13" s="1569">
        <f t="shared" si="4"/>
        <v>1</v>
      </c>
      <c r="AC13" s="1569">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94"/>
      <c r="Q14" s="1150">
        <f t="shared" si="6"/>
        <v>111</v>
      </c>
      <c r="R14" s="1566" t="s">
        <v>8</v>
      </c>
      <c r="S14" s="1567">
        <f t="shared" si="0"/>
        <v>100</v>
      </c>
      <c r="T14" s="1566" t="s">
        <v>8</v>
      </c>
      <c r="U14" s="1567">
        <f t="shared" si="1"/>
        <v>100</v>
      </c>
      <c r="V14" s="1566" t="s">
        <v>8</v>
      </c>
      <c r="W14" s="1567">
        <f t="shared" si="2"/>
        <v>100</v>
      </c>
      <c r="X14" s="1568"/>
      <c r="Y14" s="3340"/>
      <c r="Z14" s="1149">
        <f t="shared" si="7"/>
        <v>111</v>
      </c>
      <c r="AA14" s="1569">
        <f t="shared" si="3"/>
        <v>1</v>
      </c>
      <c r="AB14" s="1569">
        <f t="shared" si="4"/>
        <v>1</v>
      </c>
      <c r="AC14" s="1569">
        <f t="shared" si="5"/>
        <v>1</v>
      </c>
    </row>
    <row r="15" spans="1:29" ht="85.5">
      <c r="A15" s="2931" t="s">
        <v>2754</v>
      </c>
      <c r="B15" s="166" t="s">
        <v>541</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29" t="s">
        <v>540</v>
      </c>
      <c r="Q15" s="1570" t="str">
        <f t="shared" si="6"/>
        <v>商业繁华度</v>
      </c>
      <c r="R15" s="1571" t="s">
        <v>8</v>
      </c>
      <c r="S15" s="1572">
        <f t="shared" si="0"/>
        <v>100</v>
      </c>
      <c r="T15" s="1571" t="s">
        <v>8</v>
      </c>
      <c r="U15" s="1572">
        <f t="shared" si="1"/>
        <v>100</v>
      </c>
      <c r="V15" s="1571" t="s">
        <v>8</v>
      </c>
      <c r="W15" s="1572">
        <f t="shared" si="2"/>
        <v>100</v>
      </c>
      <c r="X15" s="1565"/>
      <c r="Y15" s="3429"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30"/>
      <c r="Q16" s="1570"/>
      <c r="R16" s="1571"/>
      <c r="S16" s="1572"/>
      <c r="T16" s="1571"/>
      <c r="U16" s="1572"/>
      <c r="V16" s="1571"/>
      <c r="W16" s="1572"/>
      <c r="X16" s="1565"/>
      <c r="Y16" s="3430"/>
      <c r="Z16" s="1573"/>
      <c r="AA16" s="1574">
        <v>1</v>
      </c>
      <c r="AB16" s="1574">
        <v>1</v>
      </c>
      <c r="AC16" s="1574">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30"/>
      <c r="Q17" s="1570" t="str">
        <f>B17</f>
        <v>交通便捷度</v>
      </c>
      <c r="R17" s="1571" t="s">
        <v>8</v>
      </c>
      <c r="S17" s="1572">
        <f>F17</f>
        <v>100</v>
      </c>
      <c r="T17" s="1571" t="s">
        <v>8</v>
      </c>
      <c r="U17" s="1572">
        <f>H17</f>
        <v>100</v>
      </c>
      <c r="V17" s="1571" t="s">
        <v>8</v>
      </c>
      <c r="W17" s="1572">
        <f>J17</f>
        <v>100</v>
      </c>
      <c r="X17" s="1565"/>
      <c r="Y17" s="343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30"/>
      <c r="Q18" s="1570"/>
      <c r="R18" s="1571"/>
      <c r="S18" s="1572"/>
      <c r="T18" s="1571"/>
      <c r="U18" s="1572"/>
      <c r="V18" s="1571"/>
      <c r="W18" s="1572"/>
      <c r="X18" s="1565"/>
      <c r="Y18" s="3430"/>
      <c r="Z18" s="1573"/>
      <c r="AA18" s="1574">
        <v>1</v>
      </c>
      <c r="AB18" s="1574">
        <v>1</v>
      </c>
      <c r="AC18" s="1574">
        <v>1</v>
      </c>
    </row>
    <row r="19" spans="1:29" ht="199.5">
      <c r="A19" s="531"/>
      <c r="B19" s="2621" t="s">
        <v>2547</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30"/>
      <c r="Q19" s="1570" t="str">
        <f>B19</f>
        <v>公共配套设施</v>
      </c>
      <c r="R19" s="1571" t="s">
        <v>8</v>
      </c>
      <c r="S19" s="1572">
        <f>F19</f>
        <v>100</v>
      </c>
      <c r="T19" s="1571" t="s">
        <v>8</v>
      </c>
      <c r="U19" s="1572">
        <f>H19</f>
        <v>100</v>
      </c>
      <c r="V19" s="1571" t="s">
        <v>8</v>
      </c>
      <c r="W19" s="1572">
        <f>J19</f>
        <v>100</v>
      </c>
      <c r="X19" s="1565"/>
      <c r="Y19" s="3430"/>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39"/>
      <c r="M20" s="2131"/>
      <c r="N20" s="2131"/>
      <c r="O20" s="2138"/>
      <c r="P20" s="3430"/>
      <c r="Q20" s="1570"/>
      <c r="R20" s="1571"/>
      <c r="S20" s="1572"/>
      <c r="T20" s="1571"/>
      <c r="U20" s="1572"/>
      <c r="V20" s="1571"/>
      <c r="W20" s="1572"/>
      <c r="X20" s="1565"/>
      <c r="Y20" s="3430"/>
      <c r="Z20" s="1573"/>
      <c r="AA20" s="1574">
        <v>1</v>
      </c>
      <c r="AB20" s="1574">
        <v>1</v>
      </c>
      <c r="AC20" s="1574">
        <v>1</v>
      </c>
    </row>
    <row r="21" spans="1:29" ht="42.75">
      <c r="A21" s="531"/>
      <c r="B21" s="2614" t="s">
        <v>2559</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30"/>
      <c r="Q21" s="2600" t="str">
        <f>B21</f>
        <v>基础设施水平</v>
      </c>
      <c r="R21" s="1571" t="s">
        <v>8</v>
      </c>
      <c r="S21" s="1572">
        <f>F21</f>
        <v>100</v>
      </c>
      <c r="T21" s="1571" t="s">
        <v>8</v>
      </c>
      <c r="U21" s="1572">
        <f>H21</f>
        <v>100</v>
      </c>
      <c r="V21" s="1571" t="s">
        <v>8</v>
      </c>
      <c r="W21" s="1572">
        <f>J21</f>
        <v>100</v>
      </c>
      <c r="X21" s="2602"/>
      <c r="Y21" s="3430"/>
      <c r="Z21" s="2601"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3"/>
      <c r="L22" s="2139"/>
      <c r="M22" s="2131"/>
      <c r="N22" s="2131"/>
      <c r="O22" s="2138"/>
      <c r="P22" s="3430"/>
      <c r="Q22" s="2600"/>
      <c r="R22" s="1571"/>
      <c r="S22" s="1572"/>
      <c r="T22" s="1571"/>
      <c r="U22" s="1572"/>
      <c r="V22" s="1571"/>
      <c r="W22" s="1572"/>
      <c r="X22" s="2602"/>
      <c r="Y22" s="3430"/>
      <c r="Z22" s="2601"/>
      <c r="AA22" s="1574">
        <v>1</v>
      </c>
      <c r="AB22" s="1574">
        <v>1</v>
      </c>
      <c r="AC22" s="1574">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30"/>
      <c r="Q23" s="1570" t="str">
        <f>B23</f>
        <v>自然及人文环境</v>
      </c>
      <c r="R23" s="1571" t="s">
        <v>8</v>
      </c>
      <c r="S23" s="1572">
        <f>F23</f>
        <v>100</v>
      </c>
      <c r="T23" s="1571" t="s">
        <v>8</v>
      </c>
      <c r="U23" s="1572">
        <f>H23</f>
        <v>100</v>
      </c>
      <c r="V23" s="1571" t="s">
        <v>8</v>
      </c>
      <c r="W23" s="1572">
        <f>J23</f>
        <v>100</v>
      </c>
      <c r="X23" s="1565"/>
      <c r="Y23" s="3430"/>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39"/>
      <c r="M24" s="2131"/>
      <c r="N24" s="2131"/>
      <c r="O24" s="2138"/>
      <c r="P24" s="3430"/>
      <c r="Q24" s="1570"/>
      <c r="R24" s="1571"/>
      <c r="S24" s="1572"/>
      <c r="T24" s="1571"/>
      <c r="U24" s="1572"/>
      <c r="V24" s="1571"/>
      <c r="W24" s="1572"/>
      <c r="X24" s="1565"/>
      <c r="Y24" s="3430"/>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0"/>
      <c r="Q25" s="1570" t="str">
        <f t="shared" ref="Q25:Q46" si="11">B25</f>
        <v>临街状况</v>
      </c>
      <c r="R25" s="1571" t="s">
        <v>8</v>
      </c>
      <c r="S25" s="1572">
        <f>F25</f>
        <v>100</v>
      </c>
      <c r="T25" s="1571" t="s">
        <v>8</v>
      </c>
      <c r="U25" s="1572">
        <f>H25</f>
        <v>100</v>
      </c>
      <c r="V25" s="1571" t="s">
        <v>8</v>
      </c>
      <c r="W25" s="1572">
        <f>J25</f>
        <v>100</v>
      </c>
      <c r="X25" s="1565"/>
      <c r="Y25" s="3430"/>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0"/>
      <c r="Q26" s="1570" t="str">
        <f t="shared" si="11"/>
        <v>平面位置/可视性</v>
      </c>
      <c r="R26" s="1571" t="s">
        <v>8</v>
      </c>
      <c r="S26" s="1572">
        <f>F26</f>
        <v>100</v>
      </c>
      <c r="T26" s="1571" t="s">
        <v>8</v>
      </c>
      <c r="U26" s="1572">
        <f>H26</f>
        <v>100</v>
      </c>
      <c r="V26" s="1571" t="s">
        <v>8</v>
      </c>
      <c r="W26" s="1572">
        <f>J26</f>
        <v>100</v>
      </c>
      <c r="X26" s="1565"/>
      <c r="Y26" s="3430"/>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30"/>
      <c r="Q27" s="1150" t="str">
        <f t="shared" si="11"/>
        <v>人流量</v>
      </c>
      <c r="R27" s="1566" t="s">
        <v>8</v>
      </c>
      <c r="S27" s="1567">
        <f>F27</f>
        <v>100</v>
      </c>
      <c r="T27" s="1566" t="s">
        <v>8</v>
      </c>
      <c r="U27" s="1567">
        <f>H27</f>
        <v>100</v>
      </c>
      <c r="V27" s="1566" t="s">
        <v>8</v>
      </c>
      <c r="W27" s="1567">
        <f>J27</f>
        <v>100</v>
      </c>
      <c r="X27" s="1568"/>
      <c r="Y27" s="3430"/>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0"/>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0"/>
      <c r="Q29" s="1570">
        <f t="shared" si="11"/>
        <v>111</v>
      </c>
      <c r="R29" s="1571" t="s">
        <v>8</v>
      </c>
      <c r="S29" s="1572">
        <f t="shared" si="12"/>
        <v>100</v>
      </c>
      <c r="T29" s="1571" t="s">
        <v>8</v>
      </c>
      <c r="U29" s="1572">
        <f t="shared" si="13"/>
        <v>100</v>
      </c>
      <c r="V29" s="1571" t="s">
        <v>8</v>
      </c>
      <c r="W29" s="1572">
        <f t="shared" si="14"/>
        <v>100</v>
      </c>
      <c r="X29" s="1565"/>
      <c r="Y29" s="3430"/>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0"/>
      <c r="Q30" s="1570">
        <f t="shared" si="11"/>
        <v>111</v>
      </c>
      <c r="R30" s="1571" t="s">
        <v>8</v>
      </c>
      <c r="S30" s="1572">
        <f t="shared" si="12"/>
        <v>100</v>
      </c>
      <c r="T30" s="1571" t="s">
        <v>8</v>
      </c>
      <c r="U30" s="1572">
        <f t="shared" si="13"/>
        <v>100</v>
      </c>
      <c r="V30" s="1571" t="s">
        <v>8</v>
      </c>
      <c r="W30" s="1572">
        <f t="shared" si="14"/>
        <v>100</v>
      </c>
      <c r="X30" s="1565"/>
      <c r="Y30" s="3430"/>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0"/>
      <c r="Q31" s="1570">
        <f t="shared" si="11"/>
        <v>111</v>
      </c>
      <c r="R31" s="1571" t="s">
        <v>8</v>
      </c>
      <c r="S31" s="1572">
        <f t="shared" si="12"/>
        <v>100</v>
      </c>
      <c r="T31" s="1571" t="s">
        <v>8</v>
      </c>
      <c r="U31" s="1572">
        <f t="shared" si="13"/>
        <v>100</v>
      </c>
      <c r="V31" s="1571" t="s">
        <v>8</v>
      </c>
      <c r="W31" s="1572">
        <f t="shared" si="14"/>
        <v>100</v>
      </c>
      <c r="X31" s="1565"/>
      <c r="Y31" s="3430"/>
      <c r="Z31" s="1573">
        <f t="shared" si="15"/>
        <v>111</v>
      </c>
      <c r="AA31" s="1574">
        <f t="shared" si="3"/>
        <v>1</v>
      </c>
      <c r="AB31" s="1574">
        <f t="shared" si="4"/>
        <v>1</v>
      </c>
      <c r="AC31" s="1574">
        <f t="shared" si="5"/>
        <v>1</v>
      </c>
    </row>
    <row r="32" spans="1:29" ht="15">
      <c r="A32" s="2928"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1" t="s">
        <v>550</v>
      </c>
      <c r="Q32" s="1570" t="str">
        <f t="shared" si="11"/>
        <v>商业类型</v>
      </c>
      <c r="R32" s="1571" t="s">
        <v>8</v>
      </c>
      <c r="S32" s="1572">
        <f t="shared" si="12"/>
        <v>100</v>
      </c>
      <c r="T32" s="1571" t="s">
        <v>8</v>
      </c>
      <c r="U32" s="1572">
        <f t="shared" si="13"/>
        <v>100</v>
      </c>
      <c r="V32" s="1571" t="s">
        <v>8</v>
      </c>
      <c r="W32" s="1572">
        <f t="shared" si="14"/>
        <v>100</v>
      </c>
      <c r="X32" s="1565"/>
      <c r="Y32" s="3432"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2"/>
      <c r="Q33" s="1603" t="str">
        <f t="shared" si="11"/>
        <v>项目建筑规模</v>
      </c>
      <c r="R33" s="1575" t="s">
        <v>8</v>
      </c>
      <c r="S33" s="1576" t="e">
        <f t="shared" si="12"/>
        <v>#N/A</v>
      </c>
      <c r="T33" s="1575" t="s">
        <v>8</v>
      </c>
      <c r="U33" s="1576" t="e">
        <f t="shared" si="13"/>
        <v>#N/A</v>
      </c>
      <c r="V33" s="1575" t="s">
        <v>8</v>
      </c>
      <c r="W33" s="1576" t="e">
        <f t="shared" si="14"/>
        <v>#N/A</v>
      </c>
      <c r="X33" s="1577"/>
      <c r="Y33" s="3432"/>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32"/>
      <c r="Q34" s="1570" t="str">
        <f t="shared" si="11"/>
        <v>建筑结构</v>
      </c>
      <c r="R34" s="1571" t="s">
        <v>8</v>
      </c>
      <c r="S34" s="1572">
        <f t="shared" si="12"/>
        <v>100</v>
      </c>
      <c r="T34" s="1571" t="s">
        <v>8</v>
      </c>
      <c r="U34" s="1572">
        <f t="shared" si="13"/>
        <v>100</v>
      </c>
      <c r="V34" s="1571" t="s">
        <v>8</v>
      </c>
      <c r="W34" s="1572">
        <f t="shared" si="14"/>
        <v>100</v>
      </c>
      <c r="X34" s="1565"/>
      <c r="Y34" s="3432"/>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2"/>
      <c r="Q35" s="1570" t="str">
        <f t="shared" si="11"/>
        <v>公共部分装修</v>
      </c>
      <c r="R35" s="1571" t="s">
        <v>8</v>
      </c>
      <c r="S35" s="1572">
        <f t="shared" si="12"/>
        <v>100</v>
      </c>
      <c r="T35" s="1571" t="s">
        <v>8</v>
      </c>
      <c r="U35" s="1572">
        <f t="shared" si="13"/>
        <v>100</v>
      </c>
      <c r="V35" s="1571" t="s">
        <v>8</v>
      </c>
      <c r="W35" s="1572">
        <f t="shared" si="14"/>
        <v>100</v>
      </c>
      <c r="X35" s="1565"/>
      <c r="Y35" s="3432"/>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32"/>
      <c r="Q36" s="1570" t="str">
        <f t="shared" si="11"/>
        <v>成新度</v>
      </c>
      <c r="R36" s="1571" t="s">
        <v>8</v>
      </c>
      <c r="S36" s="1572" t="e">
        <f t="shared" si="12"/>
        <v>#N/A</v>
      </c>
      <c r="T36" s="1571" t="s">
        <v>8</v>
      </c>
      <c r="U36" s="1572" t="e">
        <f t="shared" si="13"/>
        <v>#N/A</v>
      </c>
      <c r="V36" s="1571" t="s">
        <v>8</v>
      </c>
      <c r="W36" s="1572" t="e">
        <f t="shared" si="14"/>
        <v>#N/A</v>
      </c>
      <c r="X36" s="1565"/>
      <c r="Y36" s="3432"/>
      <c r="Z36" s="1573" t="str">
        <f t="shared" si="15"/>
        <v>成新度</v>
      </c>
      <c r="AA36" s="1574" t="e">
        <f t="shared" si="3"/>
        <v>#N/A</v>
      </c>
      <c r="AB36" s="1574" t="e">
        <f t="shared" si="4"/>
        <v>#N/A</v>
      </c>
      <c r="AC36" s="1574" t="e">
        <f t="shared" si="5"/>
        <v>#N/A</v>
      </c>
    </row>
    <row r="37" spans="1:29" s="1219" customFormat="1" ht="15">
      <c r="A37" s="599"/>
      <c r="B37" s="1892"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2"/>
      <c r="Q37" s="1150" t="str">
        <f t="shared" si="11"/>
        <v>市政基础设施</v>
      </c>
      <c r="R37" s="1566" t="s">
        <v>8</v>
      </c>
      <c r="S37" s="1567">
        <f t="shared" si="12"/>
        <v>100</v>
      </c>
      <c r="T37" s="1566" t="s">
        <v>8</v>
      </c>
      <c r="U37" s="1567">
        <f t="shared" si="13"/>
        <v>100</v>
      </c>
      <c r="V37" s="1566" t="s">
        <v>8</v>
      </c>
      <c r="W37" s="1567">
        <f t="shared" si="14"/>
        <v>100</v>
      </c>
      <c r="X37" s="1568"/>
      <c r="Y37" s="3432"/>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2" t="s">
        <v>766</v>
      </c>
      <c r="Q38" s="1570" t="str">
        <f t="shared" si="11"/>
        <v>业态</v>
      </c>
      <c r="R38" s="1571" t="s">
        <v>8</v>
      </c>
      <c r="S38" s="1572">
        <f t="shared" si="12"/>
        <v>100</v>
      </c>
      <c r="T38" s="1571" t="s">
        <v>8</v>
      </c>
      <c r="U38" s="1572">
        <f t="shared" si="13"/>
        <v>100</v>
      </c>
      <c r="V38" s="1571" t="s">
        <v>8</v>
      </c>
      <c r="W38" s="1572">
        <f t="shared" si="14"/>
        <v>100</v>
      </c>
      <c r="X38" s="1565"/>
      <c r="Y38" s="3432"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2"/>
      <c r="Q39" s="1570" t="str">
        <f t="shared" si="11"/>
        <v>层高</v>
      </c>
      <c r="R39" s="1571" t="s">
        <v>8</v>
      </c>
      <c r="S39" s="1572">
        <f t="shared" si="12"/>
        <v>100</v>
      </c>
      <c r="T39" s="1571" t="s">
        <v>8</v>
      </c>
      <c r="U39" s="1572">
        <f t="shared" si="13"/>
        <v>100</v>
      </c>
      <c r="V39" s="1571" t="s">
        <v>8</v>
      </c>
      <c r="W39" s="1572">
        <f t="shared" si="14"/>
        <v>100</v>
      </c>
      <c r="X39" s="1565"/>
      <c r="Y39" s="3432"/>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32"/>
      <c r="Q40" s="1570" t="str">
        <f t="shared" si="11"/>
        <v>单套建筑面积</v>
      </c>
      <c r="R40" s="1571" t="s">
        <v>8</v>
      </c>
      <c r="S40" s="1572">
        <f t="shared" si="12"/>
        <v>100</v>
      </c>
      <c r="T40" s="1571" t="s">
        <v>8</v>
      </c>
      <c r="U40" s="1572">
        <f t="shared" si="13"/>
        <v>100</v>
      </c>
      <c r="V40" s="1571" t="s">
        <v>8</v>
      </c>
      <c r="W40" s="1572">
        <f t="shared" si="14"/>
        <v>100</v>
      </c>
      <c r="X40" s="1565"/>
      <c r="Y40" s="3432"/>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2"/>
      <c r="Q41" s="1603" t="str">
        <f t="shared" si="11"/>
        <v>进深比</v>
      </c>
      <c r="R41" s="1575" t="s">
        <v>8</v>
      </c>
      <c r="S41" s="1576">
        <f t="shared" si="12"/>
        <v>100</v>
      </c>
      <c r="T41" s="1575" t="s">
        <v>8</v>
      </c>
      <c r="U41" s="1576">
        <f t="shared" si="13"/>
        <v>100</v>
      </c>
      <c r="V41" s="1575" t="s">
        <v>8</v>
      </c>
      <c r="W41" s="1576">
        <f t="shared" si="14"/>
        <v>100</v>
      </c>
      <c r="X41" s="1577"/>
      <c r="Y41" s="3432"/>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2"/>
      <c r="Q42" s="1570" t="str">
        <f t="shared" si="11"/>
        <v>内部装修</v>
      </c>
      <c r="R42" s="1571" t="s">
        <v>8</v>
      </c>
      <c r="S42" s="1572">
        <f t="shared" si="12"/>
        <v>100</v>
      </c>
      <c r="T42" s="1571" t="s">
        <v>8</v>
      </c>
      <c r="U42" s="1572">
        <f t="shared" si="13"/>
        <v>100</v>
      </c>
      <c r="V42" s="1571" t="s">
        <v>8</v>
      </c>
      <c r="W42" s="1572">
        <f t="shared" si="14"/>
        <v>100</v>
      </c>
      <c r="X42" s="1565"/>
      <c r="Y42" s="3432"/>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2"/>
      <c r="Q43" s="1570" t="str">
        <f t="shared" si="11"/>
        <v>内部装修维护情况</v>
      </c>
      <c r="R43" s="1571" t="s">
        <v>8</v>
      </c>
      <c r="S43" s="1572">
        <f t="shared" si="12"/>
        <v>100</v>
      </c>
      <c r="T43" s="1571" t="s">
        <v>8</v>
      </c>
      <c r="U43" s="1572">
        <f t="shared" si="13"/>
        <v>100</v>
      </c>
      <c r="V43" s="1571" t="s">
        <v>8</v>
      </c>
      <c r="W43" s="1572">
        <f t="shared" si="14"/>
        <v>100</v>
      </c>
      <c r="X43" s="1565"/>
      <c r="Y43" s="3432"/>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2"/>
      <c r="Q44" s="1150">
        <f t="shared" si="11"/>
        <v>111</v>
      </c>
      <c r="R44" s="1566" t="s">
        <v>8</v>
      </c>
      <c r="S44" s="1567">
        <f t="shared" si="12"/>
        <v>100</v>
      </c>
      <c r="T44" s="1566" t="s">
        <v>8</v>
      </c>
      <c r="U44" s="1567">
        <f t="shared" si="13"/>
        <v>100</v>
      </c>
      <c r="V44" s="1566" t="s">
        <v>8</v>
      </c>
      <c r="W44" s="1567">
        <f t="shared" si="14"/>
        <v>100</v>
      </c>
      <c r="X44" s="1568"/>
      <c r="Y44" s="3432"/>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2"/>
      <c r="Q45" s="1570">
        <f t="shared" si="11"/>
        <v>111</v>
      </c>
      <c r="R45" s="1571" t="s">
        <v>8</v>
      </c>
      <c r="S45" s="1572">
        <f t="shared" si="12"/>
        <v>100</v>
      </c>
      <c r="T45" s="1571" t="s">
        <v>8</v>
      </c>
      <c r="U45" s="1572">
        <f t="shared" si="13"/>
        <v>100</v>
      </c>
      <c r="V45" s="1571" t="s">
        <v>8</v>
      </c>
      <c r="W45" s="1572">
        <f t="shared" si="14"/>
        <v>100</v>
      </c>
      <c r="X45" s="1565"/>
      <c r="Y45" s="3432"/>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71"/>
      <c r="Q46" s="1570">
        <f t="shared" si="11"/>
        <v>111</v>
      </c>
      <c r="R46" s="1571" t="s">
        <v>8</v>
      </c>
      <c r="S46" s="1572">
        <f t="shared" si="12"/>
        <v>100</v>
      </c>
      <c r="T46" s="1571" t="s">
        <v>8</v>
      </c>
      <c r="U46" s="1572">
        <f t="shared" si="13"/>
        <v>100</v>
      </c>
      <c r="V46" s="1571" t="s">
        <v>8</v>
      </c>
      <c r="W46" s="1572">
        <f t="shared" si="14"/>
        <v>100</v>
      </c>
      <c r="X46" s="1565"/>
      <c r="Y46" s="3471"/>
      <c r="Z46" s="1573">
        <f t="shared" si="15"/>
        <v>111</v>
      </c>
      <c r="AA46" s="1574">
        <f t="shared" si="3"/>
        <v>1</v>
      </c>
      <c r="AB46" s="1574">
        <f t="shared" si="4"/>
        <v>1</v>
      </c>
      <c r="AC46" s="1574">
        <f t="shared" si="5"/>
        <v>1</v>
      </c>
    </row>
    <row r="47" spans="1:29" ht="15">
      <c r="A47" s="606" t="s">
        <v>736</v>
      </c>
      <c r="B47" s="886"/>
      <c r="C47" s="2648" t="s">
        <v>1</v>
      </c>
      <c r="D47" s="2649"/>
      <c r="E47" s="2650"/>
      <c r="F47" s="2651"/>
      <c r="G47" s="2652"/>
      <c r="H47" s="2653"/>
      <c r="I47" s="2650"/>
      <c r="J47" s="2653"/>
      <c r="K47" s="1609"/>
      <c r="L47" s="2141"/>
      <c r="M47" s="2142"/>
      <c r="N47" s="2131"/>
      <c r="O47" s="2142"/>
      <c r="P47" s="3394" t="str">
        <f>A47</f>
        <v>成交单价（元/平方米）</v>
      </c>
      <c r="Q47" s="3394"/>
      <c r="R47" s="3468">
        <f>E47</f>
        <v>0</v>
      </c>
      <c r="S47" s="3468"/>
      <c r="T47" s="3468">
        <f>G47</f>
        <v>0</v>
      </c>
      <c r="U47" s="3468"/>
      <c r="V47" s="3468">
        <f>I47</f>
        <v>0</v>
      </c>
      <c r="W47" s="3468"/>
      <c r="X47" s="1557"/>
      <c r="Y47" s="1579"/>
      <c r="Z47" s="1557"/>
      <c r="AA47" s="1557"/>
      <c r="AB47" s="1557"/>
      <c r="AC47" s="1557"/>
    </row>
    <row r="48" spans="1:29" ht="15.75" thickBot="1">
      <c r="A48" s="614" t="s">
        <v>2760</v>
      </c>
      <c r="B48" s="887"/>
      <c r="C48" s="2654" t="e">
        <f>R49</f>
        <v>#DIV/0!</v>
      </c>
      <c r="D48" s="2655"/>
      <c r="E48" s="2656" t="e">
        <f>R48</f>
        <v>#DIV/0!</v>
      </c>
      <c r="F48" s="2656"/>
      <c r="G48" s="2654" t="e">
        <f>T48</f>
        <v>#DIV/0!</v>
      </c>
      <c r="H48" s="2655"/>
      <c r="I48" s="2656" t="e">
        <f>V48</f>
        <v>#DIV/0!</v>
      </c>
      <c r="J48" s="2655"/>
      <c r="K48" s="1610"/>
      <c r="L48" s="2141"/>
      <c r="M48" s="2142"/>
      <c r="N48" s="2131"/>
      <c r="O48" s="2142"/>
      <c r="P48" s="3394" t="str">
        <f>A48</f>
        <v>比较价格（元/平方米）</v>
      </c>
      <c r="Q48" s="339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57"/>
      <c r="Y48" s="1557"/>
      <c r="Z48" s="1557"/>
      <c r="AA48" s="1557"/>
      <c r="AB48" s="1557"/>
      <c r="AC48" s="1557"/>
    </row>
    <row r="49" spans="1:29" ht="15.75" thickBot="1">
      <c r="A49" s="620" t="s">
        <v>2929</v>
      </c>
      <c r="B49" s="621"/>
      <c r="C49" s="2657" t="e">
        <f>R49</f>
        <v>#DIV/0!</v>
      </c>
      <c r="D49" s="2657"/>
      <c r="E49" s="2657"/>
      <c r="F49" s="2657"/>
      <c r="G49" s="2657"/>
      <c r="H49" s="2657"/>
      <c r="I49" s="2657"/>
      <c r="J49" s="2657"/>
      <c r="K49" s="1611"/>
      <c r="L49" s="2141"/>
      <c r="M49" s="2142"/>
      <c r="N49" s="2131"/>
      <c r="O49" s="2142"/>
      <c r="P49" s="3391" t="str">
        <f>A49</f>
        <v>估价对象XX用房的比较价格（楼面单价，元/平方米）</v>
      </c>
      <c r="Q49" s="3392"/>
      <c r="R49" s="3470" t="e">
        <f>IF(F1="售价",ROUND(AVERAGE(R48:V48),0),ROUND(AVERAGE(R48:V48),1))</f>
        <v>#DIV/0!</v>
      </c>
      <c r="S49" s="3470"/>
      <c r="T49" s="3470"/>
      <c r="U49" s="3470"/>
      <c r="V49" s="3470"/>
      <c r="W49" s="347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529</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575</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531</v>
      </c>
      <c r="B61" s="647"/>
      <c r="C61" s="659" t="s">
        <v>576</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577</v>
      </c>
      <c r="B63" s="664" t="s">
        <v>534</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539</v>
      </c>
      <c r="B76" s="664" t="s">
        <v>578</v>
      </c>
      <c r="C76" s="702" t="s">
        <v>579</v>
      </c>
      <c r="D76" s="702" t="s">
        <v>580</v>
      </c>
      <c r="E76" s="702" t="s">
        <v>581</v>
      </c>
      <c r="F76" s="702" t="s">
        <v>582</v>
      </c>
      <c r="G76" s="702" t="s">
        <v>583</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586</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2558</v>
      </c>
      <c r="C80" s="707" t="s">
        <v>579</v>
      </c>
      <c r="D80" s="707" t="s">
        <v>580</v>
      </c>
      <c r="E80" s="707" t="s">
        <v>581</v>
      </c>
      <c r="F80" s="707" t="s">
        <v>582</v>
      </c>
      <c r="G80" s="707" t="s">
        <v>583</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744</v>
      </c>
      <c r="C84" s="707" t="s">
        <v>579</v>
      </c>
      <c r="D84" s="707" t="s">
        <v>580</v>
      </c>
      <c r="E84" s="707" t="s">
        <v>581</v>
      </c>
      <c r="F84" s="707" t="s">
        <v>582</v>
      </c>
      <c r="G84" s="707" t="s">
        <v>583</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771</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551</v>
      </c>
      <c r="B100" s="664" t="s">
        <v>772</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749</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751</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2557</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773</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774</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775</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776</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755</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28"/>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521</v>
      </c>
      <c r="B4" s="512"/>
      <c r="C4" s="3400" t="s">
        <v>522</v>
      </c>
      <c r="D4" s="3401"/>
      <c r="E4" s="3436" t="s">
        <v>523</v>
      </c>
      <c r="F4" s="3437"/>
      <c r="G4" s="3400" t="s">
        <v>524</v>
      </c>
      <c r="H4" s="3401"/>
      <c r="I4" s="3400" t="s">
        <v>525</v>
      </c>
      <c r="J4" s="3401"/>
      <c r="K4" s="513" t="s">
        <v>526</v>
      </c>
      <c r="L4" s="2130"/>
      <c r="M4" s="2131"/>
      <c r="N4" s="2131"/>
      <c r="O4" s="2131"/>
      <c r="P4" s="3402" t="s">
        <v>527</v>
      </c>
      <c r="Q4" s="3403"/>
      <c r="R4" s="3408" t="s">
        <v>523</v>
      </c>
      <c r="S4" s="3409"/>
      <c r="T4" s="3408" t="s">
        <v>524</v>
      </c>
      <c r="U4" s="3409"/>
      <c r="V4" s="3395" t="s">
        <v>525</v>
      </c>
      <c r="W4" s="3395"/>
      <c r="X4" s="1565"/>
      <c r="Y4" s="3408" t="s">
        <v>527</v>
      </c>
      <c r="Z4" s="3409"/>
      <c r="AA4" s="3397" t="s">
        <v>523</v>
      </c>
      <c r="AB4" s="3398" t="s">
        <v>524</v>
      </c>
      <c r="AC4" s="3397" t="s">
        <v>525</v>
      </c>
    </row>
    <row r="5" spans="1:29" ht="15">
      <c r="A5" s="514"/>
      <c r="B5" s="515"/>
      <c r="C5" s="3416" t="s">
        <v>2923</v>
      </c>
      <c r="D5" s="3417"/>
      <c r="E5" s="3438" t="s">
        <v>2924</v>
      </c>
      <c r="F5" s="3439"/>
      <c r="G5" s="3416" t="s">
        <v>2925</v>
      </c>
      <c r="H5" s="3417"/>
      <c r="I5" s="3416" t="s">
        <v>2926</v>
      </c>
      <c r="J5" s="3417"/>
      <c r="K5" s="513"/>
      <c r="L5" s="2130"/>
      <c r="M5" s="2131"/>
      <c r="N5" s="2131"/>
      <c r="O5" s="2131"/>
      <c r="P5" s="3404"/>
      <c r="Q5" s="3405"/>
      <c r="R5" s="3410"/>
      <c r="S5" s="3411"/>
      <c r="T5" s="3410"/>
      <c r="U5" s="3411"/>
      <c r="V5" s="3395"/>
      <c r="W5" s="3395"/>
      <c r="X5" s="1565"/>
      <c r="Y5" s="3410"/>
      <c r="Z5" s="3411"/>
      <c r="AA5" s="3398"/>
      <c r="AB5" s="3398"/>
      <c r="AC5" s="3398"/>
    </row>
    <row r="6" spans="1:29" ht="15.75" thickBot="1">
      <c r="A6" s="516"/>
      <c r="B6" s="517"/>
      <c r="C6" s="3433" t="s">
        <v>2927</v>
      </c>
      <c r="D6" s="3415"/>
      <c r="E6" s="3434" t="s">
        <v>2927</v>
      </c>
      <c r="F6" s="3435"/>
      <c r="G6" s="3433" t="s">
        <v>2927</v>
      </c>
      <c r="H6" s="3415"/>
      <c r="I6" s="3433" t="s">
        <v>2927</v>
      </c>
      <c r="J6" s="3415"/>
      <c r="K6" s="513" t="s">
        <v>528</v>
      </c>
      <c r="L6" s="2130"/>
      <c r="M6" s="2131"/>
      <c r="N6" s="2131"/>
      <c r="O6" s="2131"/>
      <c r="P6" s="3406"/>
      <c r="Q6" s="3407"/>
      <c r="R6" s="3410"/>
      <c r="S6" s="3411"/>
      <c r="T6" s="3412"/>
      <c r="U6" s="3413"/>
      <c r="V6" s="3395"/>
      <c r="W6" s="3395"/>
      <c r="X6" s="1565"/>
      <c r="Y6" s="3412"/>
      <c r="Z6" s="3413"/>
      <c r="AA6" s="3399"/>
      <c r="AB6" s="3399"/>
      <c r="AC6" s="3399"/>
    </row>
    <row r="7" spans="1:29" s="1219" customFormat="1" ht="15.75" thickBot="1">
      <c r="A7" s="2933"/>
      <c r="B7" s="2940" t="s">
        <v>529</v>
      </c>
      <c r="C7" s="518">
        <f>'数据-取费表'!B2</f>
        <v>43238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6" t="s">
        <v>530</v>
      </c>
      <c r="Q7" s="3428"/>
      <c r="R7" s="1566" t="s">
        <v>8</v>
      </c>
      <c r="S7" s="1567">
        <f t="shared" ref="S7:S15" si="0">F7</f>
        <v>0</v>
      </c>
      <c r="T7" s="1566" t="s">
        <v>8</v>
      </c>
      <c r="U7" s="1567">
        <f t="shared" ref="U7:U15" si="1">H7</f>
        <v>0</v>
      </c>
      <c r="V7" s="1566" t="s">
        <v>8</v>
      </c>
      <c r="W7" s="1567">
        <f t="shared" ref="W7:W15" si="2">J7</f>
        <v>0</v>
      </c>
      <c r="X7" s="1568"/>
      <c r="Y7" s="3426" t="s">
        <v>530</v>
      </c>
      <c r="Z7" s="3427"/>
      <c r="AA7" s="1569" t="e">
        <f>D7/F7</f>
        <v>#DIV/0!</v>
      </c>
      <c r="AB7" s="1569" t="e">
        <f>D7/H7</f>
        <v>#DIV/0!</v>
      </c>
      <c r="AC7" s="1569" t="e">
        <f>D7/J7</f>
        <v>#DIV/0!</v>
      </c>
    </row>
    <row r="8" spans="1:29" s="1219" customFormat="1" ht="15.75" thickBot="1">
      <c r="A8" s="2934"/>
      <c r="B8" s="2941" t="s">
        <v>531</v>
      </c>
      <c r="C8" s="524" t="s">
        <v>576</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6" t="s">
        <v>533</v>
      </c>
      <c r="Q8" s="3427"/>
      <c r="R8" s="1566" t="s">
        <v>8</v>
      </c>
      <c r="S8" s="1567">
        <f t="shared" si="0"/>
        <v>0</v>
      </c>
      <c r="T8" s="1566" t="s">
        <v>8</v>
      </c>
      <c r="U8" s="1567">
        <f t="shared" si="1"/>
        <v>0</v>
      </c>
      <c r="V8" s="1566" t="s">
        <v>8</v>
      </c>
      <c r="W8" s="1567">
        <f t="shared" si="2"/>
        <v>0</v>
      </c>
      <c r="X8" s="1568"/>
      <c r="Y8" s="3426" t="s">
        <v>533</v>
      </c>
      <c r="Z8" s="3427"/>
      <c r="AA8" s="1569" t="e">
        <f t="shared" ref="AA8:AA40" si="3">D8/F8</f>
        <v>#DIV/0!</v>
      </c>
      <c r="AB8" s="1569" t="e">
        <f t="shared" ref="AB8:AB40" si="4">D8/H8</f>
        <v>#DIV/0!</v>
      </c>
      <c r="AC8" s="1569" t="e">
        <f t="shared" ref="AC8:AC40" si="5">D8/J8</f>
        <v>#DIV/0!</v>
      </c>
    </row>
    <row r="9" spans="1:29" s="1219"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94" t="s">
        <v>535</v>
      </c>
      <c r="Q9" s="1150" t="str">
        <f t="shared" ref="Q9:Q15" si="6">B9</f>
        <v>用途</v>
      </c>
      <c r="R9" s="1566" t="s">
        <v>8</v>
      </c>
      <c r="S9" s="1567">
        <f t="shared" si="0"/>
        <v>100</v>
      </c>
      <c r="T9" s="1566" t="s">
        <v>8</v>
      </c>
      <c r="U9" s="1567">
        <f t="shared" si="1"/>
        <v>100</v>
      </c>
      <c r="V9" s="1566" t="s">
        <v>8</v>
      </c>
      <c r="W9" s="1567">
        <f t="shared" si="2"/>
        <v>100</v>
      </c>
      <c r="X9" s="1568"/>
      <c r="Y9" s="3340" t="s">
        <v>536</v>
      </c>
      <c r="Z9" s="1149" t="str">
        <f t="shared" ref="Z9:Z15" si="7">Q9</f>
        <v>用途</v>
      </c>
      <c r="AA9" s="1569">
        <f t="shared" si="3"/>
        <v>1</v>
      </c>
      <c r="AB9" s="1569">
        <f t="shared" si="4"/>
        <v>1</v>
      </c>
      <c r="AC9" s="1569">
        <f t="shared" si="5"/>
        <v>1</v>
      </c>
    </row>
    <row r="10" spans="1:29" s="1337"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94"/>
      <c r="Q11" s="1150" t="str">
        <f t="shared" si="6"/>
        <v>容积率</v>
      </c>
      <c r="R11" s="1566" t="s">
        <v>8</v>
      </c>
      <c r="S11" s="1567" t="e">
        <f t="shared" si="0"/>
        <v>#N/A</v>
      </c>
      <c r="T11" s="1566" t="s">
        <v>8</v>
      </c>
      <c r="U11" s="1567" t="e">
        <f t="shared" si="1"/>
        <v>#N/A</v>
      </c>
      <c r="V11" s="1566" t="s">
        <v>8</v>
      </c>
      <c r="W11" s="1567" t="e">
        <f t="shared" si="2"/>
        <v>#N/A</v>
      </c>
      <c r="X11" s="1568"/>
      <c r="Y11" s="3340"/>
      <c r="Z11" s="1149" t="str">
        <f t="shared" si="7"/>
        <v>容积率</v>
      </c>
      <c r="AA11" s="1569" t="e">
        <f t="shared" si="3"/>
        <v>#N/A</v>
      </c>
      <c r="AB11" s="1569" t="e">
        <f t="shared" si="4"/>
        <v>#N/A</v>
      </c>
      <c r="AC11" s="1569" t="e">
        <f t="shared" si="5"/>
        <v>#N/A</v>
      </c>
    </row>
    <row r="12" spans="1:29" s="1219" customFormat="1" ht="15">
      <c r="A12" s="2938"/>
      <c r="B12" s="2944">
        <v>111</v>
      </c>
      <c r="C12" s="527"/>
      <c r="D12" s="537">
        <v>100</v>
      </c>
      <c r="E12" s="538"/>
      <c r="F12" s="254">
        <f>SUMIF(64:64,E12,65:65)-SUMIF(64:64,C12,65:65)+100</f>
        <v>100</v>
      </c>
      <c r="G12" s="919"/>
      <c r="H12" s="254">
        <f>SUMIF(64:64,G12,65:65)-SUMIF(64:64,C12,65:65)+100</f>
        <v>100</v>
      </c>
      <c r="I12" s="879"/>
      <c r="J12" s="254">
        <f>SUMIF(64:64,I12,65:65)-SUMIF(64:64,C12,65:65)+100</f>
        <v>100</v>
      </c>
      <c r="K12" s="580"/>
      <c r="L12" s="2132"/>
      <c r="M12" s="2133"/>
      <c r="N12" s="2133"/>
      <c r="O12" s="2134"/>
      <c r="P12" s="3394"/>
      <c r="Q12" s="1150">
        <f t="shared" si="6"/>
        <v>111</v>
      </c>
      <c r="R12" s="1566" t="s">
        <v>8</v>
      </c>
      <c r="S12" s="1567">
        <f t="shared" si="0"/>
        <v>100</v>
      </c>
      <c r="T12" s="1566" t="s">
        <v>8</v>
      </c>
      <c r="U12" s="1567">
        <f t="shared" si="1"/>
        <v>100</v>
      </c>
      <c r="V12" s="1566" t="s">
        <v>8</v>
      </c>
      <c r="W12" s="1567">
        <f t="shared" si="2"/>
        <v>100</v>
      </c>
      <c r="X12" s="1568"/>
      <c r="Y12" s="3340"/>
      <c r="Z12" s="1149">
        <f t="shared" si="7"/>
        <v>111</v>
      </c>
      <c r="AA12" s="1569">
        <f>D12/F12</f>
        <v>1</v>
      </c>
      <c r="AB12" s="1569">
        <f>D12/H12</f>
        <v>1</v>
      </c>
      <c r="AC12" s="1569">
        <f>D12/J12</f>
        <v>1</v>
      </c>
    </row>
    <row r="13" spans="1:29" ht="15">
      <c r="A13" s="2938"/>
      <c r="B13" s="2944">
        <v>111</v>
      </c>
      <c r="C13" s="538"/>
      <c r="D13" s="539">
        <v>100</v>
      </c>
      <c r="E13" s="538"/>
      <c r="F13" s="254">
        <f>SUMIF(66:66,E13,67:67)-SUMIF(66:66,C13,67:67)+100</f>
        <v>100</v>
      </c>
      <c r="G13" s="919"/>
      <c r="H13" s="539">
        <f>SUMIF(66:66,G13,67:67)-SUMIF(66:66,C13,67:67)+100</f>
        <v>100</v>
      </c>
      <c r="I13" s="879"/>
      <c r="J13" s="539">
        <f>SUMIF(66:66,I13,67:67)-SUMIF(66:66,C13,67:67)+100</f>
        <v>100</v>
      </c>
      <c r="K13" s="580"/>
      <c r="L13" s="2139"/>
      <c r="M13" s="2131"/>
      <c r="N13" s="2131"/>
      <c r="O13" s="2138"/>
      <c r="P13" s="3394"/>
      <c r="Q13" s="1150">
        <f t="shared" si="6"/>
        <v>111</v>
      </c>
      <c r="R13" s="1566" t="s">
        <v>8</v>
      </c>
      <c r="S13" s="1567">
        <f t="shared" si="0"/>
        <v>100</v>
      </c>
      <c r="T13" s="1566" t="s">
        <v>8</v>
      </c>
      <c r="U13" s="1567">
        <f t="shared" si="1"/>
        <v>100</v>
      </c>
      <c r="V13" s="1566" t="s">
        <v>8</v>
      </c>
      <c r="W13" s="1567">
        <f t="shared" si="2"/>
        <v>100</v>
      </c>
      <c r="X13" s="1568"/>
      <c r="Y13" s="3340"/>
      <c r="Z13" s="1149">
        <f t="shared" si="7"/>
        <v>111</v>
      </c>
      <c r="AA13" s="1569">
        <f t="shared" si="3"/>
        <v>1</v>
      </c>
      <c r="AB13" s="1569">
        <f t="shared" si="4"/>
        <v>1</v>
      </c>
      <c r="AC13" s="1569">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94"/>
      <c r="Q14" s="1150">
        <f t="shared" si="6"/>
        <v>111</v>
      </c>
      <c r="R14" s="1566" t="s">
        <v>8</v>
      </c>
      <c r="S14" s="1567">
        <f t="shared" si="0"/>
        <v>100</v>
      </c>
      <c r="T14" s="1566" t="s">
        <v>8</v>
      </c>
      <c r="U14" s="1567">
        <f t="shared" si="1"/>
        <v>100</v>
      </c>
      <c r="V14" s="1566" t="s">
        <v>8</v>
      </c>
      <c r="W14" s="1567">
        <f t="shared" si="2"/>
        <v>100</v>
      </c>
      <c r="X14" s="1568"/>
      <c r="Y14" s="3340"/>
      <c r="Z14" s="1149">
        <f t="shared" si="7"/>
        <v>111</v>
      </c>
      <c r="AA14" s="1569">
        <f t="shared" si="3"/>
        <v>1</v>
      </c>
      <c r="AB14" s="1569">
        <f t="shared" si="4"/>
        <v>1</v>
      </c>
      <c r="AC14" s="1569">
        <f t="shared" si="5"/>
        <v>1</v>
      </c>
    </row>
    <row r="15" spans="1:29" ht="57">
      <c r="A15" s="2931"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29" t="s">
        <v>540</v>
      </c>
      <c r="Q15" s="1570" t="str">
        <f t="shared" si="6"/>
        <v>产业集聚程度</v>
      </c>
      <c r="R15" s="1571" t="s">
        <v>8</v>
      </c>
      <c r="S15" s="1572">
        <f t="shared" si="0"/>
        <v>100</v>
      </c>
      <c r="T15" s="1571" t="s">
        <v>8</v>
      </c>
      <c r="U15" s="1572">
        <f t="shared" si="1"/>
        <v>100</v>
      </c>
      <c r="V15" s="1571" t="s">
        <v>8</v>
      </c>
      <c r="W15" s="1572">
        <f t="shared" si="2"/>
        <v>100</v>
      </c>
      <c r="X15" s="1565"/>
      <c r="Y15" s="3429"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30"/>
      <c r="Q16" s="1570"/>
      <c r="R16" s="1571"/>
      <c r="S16" s="1572"/>
      <c r="T16" s="1571"/>
      <c r="U16" s="1572"/>
      <c r="V16" s="1571"/>
      <c r="W16" s="1572"/>
      <c r="X16" s="1565"/>
      <c r="Y16" s="3430"/>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30"/>
      <c r="Q17" s="1570" t="str">
        <f>B17</f>
        <v>交通便捷度</v>
      </c>
      <c r="R17" s="1571" t="s">
        <v>8</v>
      </c>
      <c r="S17" s="1572">
        <f>F17</f>
        <v>100</v>
      </c>
      <c r="T17" s="1571" t="s">
        <v>8</v>
      </c>
      <c r="U17" s="1572">
        <f>H17</f>
        <v>100</v>
      </c>
      <c r="V17" s="1571" t="s">
        <v>8</v>
      </c>
      <c r="W17" s="1572">
        <f>J17</f>
        <v>100</v>
      </c>
      <c r="X17" s="1565"/>
      <c r="Y17" s="343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30"/>
      <c r="Q18" s="1570"/>
      <c r="R18" s="1571"/>
      <c r="S18" s="1572"/>
      <c r="T18" s="1571"/>
      <c r="U18" s="1572"/>
      <c r="V18" s="1571"/>
      <c r="W18" s="1572"/>
      <c r="X18" s="1565"/>
      <c r="Y18" s="3430"/>
      <c r="Z18" s="1573"/>
      <c r="AA18" s="1574">
        <v>1</v>
      </c>
      <c r="AB18" s="1574">
        <v>1</v>
      </c>
      <c r="AC18" s="1574">
        <v>1</v>
      </c>
    </row>
    <row r="19" spans="1:29" ht="42.75">
      <c r="A19" s="531"/>
      <c r="B19" s="2624"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30"/>
      <c r="Q19" s="1570" t="str">
        <f>B19</f>
        <v>公共配套设施</v>
      </c>
      <c r="R19" s="1571" t="s">
        <v>8</v>
      </c>
      <c r="S19" s="1572">
        <f>F19</f>
        <v>100</v>
      </c>
      <c r="T19" s="1571" t="s">
        <v>8</v>
      </c>
      <c r="U19" s="1572">
        <f>H19</f>
        <v>100</v>
      </c>
      <c r="V19" s="1571" t="s">
        <v>8</v>
      </c>
      <c r="W19" s="1572">
        <f>J19</f>
        <v>100</v>
      </c>
      <c r="X19" s="1565"/>
      <c r="Y19" s="3430"/>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39"/>
      <c r="M20" s="2131"/>
      <c r="N20" s="2131"/>
      <c r="O20" s="2138"/>
      <c r="P20" s="3430"/>
      <c r="Q20" s="1570"/>
      <c r="R20" s="1571"/>
      <c r="S20" s="1572"/>
      <c r="T20" s="1571"/>
      <c r="U20" s="1572"/>
      <c r="V20" s="1571"/>
      <c r="W20" s="1572"/>
      <c r="X20" s="1565"/>
      <c r="Y20" s="3430"/>
      <c r="Z20" s="1573"/>
      <c r="AA20" s="1574">
        <v>1</v>
      </c>
      <c r="AB20" s="1574">
        <v>1</v>
      </c>
      <c r="AC20" s="1574">
        <v>1</v>
      </c>
    </row>
    <row r="21" spans="1:29" ht="28.5">
      <c r="A21" s="531"/>
      <c r="B21" s="2612"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30"/>
      <c r="Q21" s="2600" t="str">
        <f>B21</f>
        <v>基础设施水平</v>
      </c>
      <c r="R21" s="1571" t="s">
        <v>8</v>
      </c>
      <c r="S21" s="1572">
        <f>F21</f>
        <v>100</v>
      </c>
      <c r="T21" s="1571" t="s">
        <v>8</v>
      </c>
      <c r="U21" s="1572">
        <f>H21</f>
        <v>100</v>
      </c>
      <c r="V21" s="1571" t="s">
        <v>8</v>
      </c>
      <c r="W21" s="1572">
        <f>J21</f>
        <v>100</v>
      </c>
      <c r="X21" s="2602"/>
      <c r="Y21" s="3430"/>
      <c r="Z21" s="2601"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3"/>
      <c r="L22" s="2139"/>
      <c r="M22" s="2131"/>
      <c r="N22" s="2131"/>
      <c r="O22" s="2138"/>
      <c r="P22" s="3430"/>
      <c r="Q22" s="2600"/>
      <c r="R22" s="1571"/>
      <c r="S22" s="1572"/>
      <c r="T22" s="1571"/>
      <c r="U22" s="1572"/>
      <c r="V22" s="1571"/>
      <c r="W22" s="1572"/>
      <c r="X22" s="2602"/>
      <c r="Y22" s="3430"/>
      <c r="Z22" s="2601"/>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30"/>
      <c r="Q23" s="1570" t="str">
        <f>B23</f>
        <v>环境质量</v>
      </c>
      <c r="R23" s="1571" t="s">
        <v>8</v>
      </c>
      <c r="S23" s="1572">
        <f>F23</f>
        <v>100</v>
      </c>
      <c r="T23" s="1571" t="s">
        <v>8</v>
      </c>
      <c r="U23" s="1572">
        <f>H23</f>
        <v>100</v>
      </c>
      <c r="V23" s="1571" t="s">
        <v>8</v>
      </c>
      <c r="W23" s="1572">
        <f>J23</f>
        <v>100</v>
      </c>
      <c r="X23" s="1565"/>
      <c r="Y23" s="3430"/>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39"/>
      <c r="M24" s="2131"/>
      <c r="N24" s="2131"/>
      <c r="O24" s="2138"/>
      <c r="P24" s="3430"/>
      <c r="Q24" s="1570"/>
      <c r="R24" s="1571"/>
      <c r="S24" s="1572"/>
      <c r="T24" s="1571"/>
      <c r="U24" s="1572"/>
      <c r="V24" s="1571"/>
      <c r="W24" s="1572"/>
      <c r="X24" s="1565"/>
      <c r="Y24" s="3430"/>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0"/>
      <c r="Q25" s="1570">
        <f>B25</f>
        <v>111</v>
      </c>
      <c r="R25" s="1571" t="s">
        <v>8</v>
      </c>
      <c r="S25" s="1572">
        <f>F25</f>
        <v>100</v>
      </c>
      <c r="T25" s="1571" t="s">
        <v>8</v>
      </c>
      <c r="U25" s="1572">
        <f>H25</f>
        <v>100</v>
      </c>
      <c r="V25" s="1571" t="s">
        <v>8</v>
      </c>
      <c r="W25" s="1572">
        <f>J25</f>
        <v>100</v>
      </c>
      <c r="X25" s="1565"/>
      <c r="Y25" s="3430"/>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0"/>
      <c r="Q26" s="1570">
        <f t="shared" ref="Q26:Q40" si="11">B26</f>
        <v>111</v>
      </c>
      <c r="R26" s="1571" t="s">
        <v>8</v>
      </c>
      <c r="S26" s="1572">
        <f>F26</f>
        <v>100</v>
      </c>
      <c r="T26" s="1571" t="s">
        <v>8</v>
      </c>
      <c r="U26" s="1572">
        <f>H26</f>
        <v>100</v>
      </c>
      <c r="V26" s="1571" t="s">
        <v>8</v>
      </c>
      <c r="W26" s="1572">
        <f>J26</f>
        <v>100</v>
      </c>
      <c r="X26" s="1565"/>
      <c r="Y26" s="3430"/>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0"/>
      <c r="Q27" s="1150">
        <f t="shared" si="11"/>
        <v>111</v>
      </c>
      <c r="R27" s="1566" t="s">
        <v>8</v>
      </c>
      <c r="S27" s="1567">
        <f>F27</f>
        <v>100</v>
      </c>
      <c r="T27" s="1566" t="s">
        <v>8</v>
      </c>
      <c r="U27" s="1567">
        <f>H27</f>
        <v>100</v>
      </c>
      <c r="V27" s="1566" t="s">
        <v>8</v>
      </c>
      <c r="W27" s="1567">
        <f>J27</f>
        <v>100</v>
      </c>
      <c r="X27" s="1568"/>
      <c r="Y27" s="3430"/>
      <c r="Z27" s="1149">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30"/>
      <c r="Q28" s="1570">
        <f t="shared" si="11"/>
        <v>111</v>
      </c>
      <c r="R28" s="1571" t="s">
        <v>8</v>
      </c>
      <c r="S28" s="1572">
        <f t="shared" ref="S28:S40" si="12">F28</f>
        <v>100</v>
      </c>
      <c r="T28" s="1571" t="s">
        <v>8</v>
      </c>
      <c r="U28" s="1572">
        <f t="shared" ref="U28:U40" si="13">H28</f>
        <v>100</v>
      </c>
      <c r="V28" s="1571" t="s">
        <v>8</v>
      </c>
      <c r="W28" s="1572">
        <f t="shared" ref="W28:W40" si="14">J28</f>
        <v>100</v>
      </c>
      <c r="X28" s="1565"/>
      <c r="Y28" s="3430"/>
      <c r="Z28" s="1573">
        <f t="shared" ref="Z28:Z40" si="15">Q28</f>
        <v>111</v>
      </c>
      <c r="AA28" s="1574">
        <f t="shared" si="3"/>
        <v>1</v>
      </c>
      <c r="AB28" s="1574">
        <f t="shared" si="4"/>
        <v>1</v>
      </c>
      <c r="AC28" s="1574">
        <f t="shared" si="5"/>
        <v>1</v>
      </c>
    </row>
    <row r="29" spans="1:29" ht="15">
      <c r="A29" s="2928"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31" t="s">
        <v>550</v>
      </c>
      <c r="Q29" s="1570" t="str">
        <f t="shared" si="11"/>
        <v>建筑类型</v>
      </c>
      <c r="R29" s="1571" t="s">
        <v>8</v>
      </c>
      <c r="S29" s="1572">
        <f t="shared" si="12"/>
        <v>100</v>
      </c>
      <c r="T29" s="1571" t="s">
        <v>8</v>
      </c>
      <c r="U29" s="1572">
        <f t="shared" si="13"/>
        <v>100</v>
      </c>
      <c r="V29" s="1571" t="s">
        <v>8</v>
      </c>
      <c r="W29" s="1572">
        <f t="shared" si="14"/>
        <v>100</v>
      </c>
      <c r="X29" s="1565"/>
      <c r="Y29" s="3432"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2"/>
      <c r="Q30" s="1603" t="str">
        <f t="shared" si="11"/>
        <v>项目建筑规模</v>
      </c>
      <c r="R30" s="1575" t="s">
        <v>8</v>
      </c>
      <c r="S30" s="1576" t="e">
        <f t="shared" si="12"/>
        <v>#N/A</v>
      </c>
      <c r="T30" s="1575" t="s">
        <v>8</v>
      </c>
      <c r="U30" s="1576" t="e">
        <f t="shared" si="13"/>
        <v>#N/A</v>
      </c>
      <c r="V30" s="1575" t="s">
        <v>8</v>
      </c>
      <c r="W30" s="1576" t="e">
        <f t="shared" si="14"/>
        <v>#N/A</v>
      </c>
      <c r="X30" s="1577"/>
      <c r="Y30" s="3432"/>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2"/>
      <c r="Q31" s="1570" t="str">
        <f t="shared" si="11"/>
        <v>建筑结构</v>
      </c>
      <c r="R31" s="1571" t="s">
        <v>8</v>
      </c>
      <c r="S31" s="1572">
        <f t="shared" si="12"/>
        <v>100</v>
      </c>
      <c r="T31" s="1571" t="s">
        <v>8</v>
      </c>
      <c r="U31" s="1572">
        <f t="shared" si="13"/>
        <v>100</v>
      </c>
      <c r="V31" s="1571" t="s">
        <v>8</v>
      </c>
      <c r="W31" s="1572">
        <f t="shared" si="14"/>
        <v>100</v>
      </c>
      <c r="X31" s="1565"/>
      <c r="Y31" s="3432"/>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2"/>
      <c r="Q32" s="1570" t="str">
        <f t="shared" si="11"/>
        <v>公共部分装修</v>
      </c>
      <c r="R32" s="1571" t="s">
        <v>8</v>
      </c>
      <c r="S32" s="1572">
        <f t="shared" si="12"/>
        <v>100</v>
      </c>
      <c r="T32" s="1571" t="s">
        <v>8</v>
      </c>
      <c r="U32" s="1572">
        <f t="shared" si="13"/>
        <v>100</v>
      </c>
      <c r="V32" s="1571" t="s">
        <v>8</v>
      </c>
      <c r="W32" s="1572">
        <f t="shared" si="14"/>
        <v>100</v>
      </c>
      <c r="X32" s="1565"/>
      <c r="Y32" s="3432"/>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32"/>
      <c r="Q33" s="1570" t="str">
        <f t="shared" si="11"/>
        <v>成新度</v>
      </c>
      <c r="R33" s="1571" t="s">
        <v>8</v>
      </c>
      <c r="S33" s="1572" t="e">
        <f t="shared" si="12"/>
        <v>#N/A</v>
      </c>
      <c r="T33" s="1571" t="s">
        <v>8</v>
      </c>
      <c r="U33" s="1572" t="e">
        <f t="shared" si="13"/>
        <v>#N/A</v>
      </c>
      <c r="V33" s="1571" t="s">
        <v>8</v>
      </c>
      <c r="W33" s="1572" t="e">
        <f t="shared" si="14"/>
        <v>#N/A</v>
      </c>
      <c r="X33" s="1565"/>
      <c r="Y33" s="3432"/>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2"/>
      <c r="Q34" s="1150" t="str">
        <f t="shared" si="11"/>
        <v>物业管理</v>
      </c>
      <c r="R34" s="1566" t="s">
        <v>8</v>
      </c>
      <c r="S34" s="1567">
        <f t="shared" si="12"/>
        <v>100</v>
      </c>
      <c r="T34" s="1566" t="s">
        <v>8</v>
      </c>
      <c r="U34" s="1567">
        <f t="shared" si="13"/>
        <v>100</v>
      </c>
      <c r="V34" s="1566" t="s">
        <v>8</v>
      </c>
      <c r="W34" s="1567">
        <f t="shared" si="14"/>
        <v>100</v>
      </c>
      <c r="X34" s="1568"/>
      <c r="Y34" s="3432"/>
      <c r="Z34" s="1149" t="str">
        <f t="shared" si="15"/>
        <v>物业管理</v>
      </c>
      <c r="AA34" s="1569">
        <f t="shared" si="3"/>
        <v>1</v>
      </c>
      <c r="AB34" s="1569">
        <f t="shared" si="4"/>
        <v>1</v>
      </c>
      <c r="AC34" s="1569">
        <f t="shared" si="5"/>
        <v>1</v>
      </c>
    </row>
    <row r="35" spans="1:29" ht="15">
      <c r="A35" s="593"/>
      <c r="B35" s="1892"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2" t="s">
        <v>550</v>
      </c>
      <c r="Q35" s="1570" t="str">
        <f t="shared" si="11"/>
        <v>市政基础设施</v>
      </c>
      <c r="R35" s="1571" t="s">
        <v>8</v>
      </c>
      <c r="S35" s="1572">
        <f t="shared" si="12"/>
        <v>100</v>
      </c>
      <c r="T35" s="1571" t="s">
        <v>8</v>
      </c>
      <c r="U35" s="1572">
        <f t="shared" si="13"/>
        <v>100</v>
      </c>
      <c r="V35" s="1571" t="s">
        <v>8</v>
      </c>
      <c r="W35" s="1572">
        <f t="shared" si="14"/>
        <v>100</v>
      </c>
      <c r="X35" s="1565"/>
      <c r="Y35" s="3432"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2"/>
      <c r="Q36" s="1570" t="str">
        <f t="shared" si="11"/>
        <v>内部装修</v>
      </c>
      <c r="R36" s="1571" t="s">
        <v>8</v>
      </c>
      <c r="S36" s="1572">
        <f t="shared" si="12"/>
        <v>100</v>
      </c>
      <c r="T36" s="1571" t="s">
        <v>8</v>
      </c>
      <c r="U36" s="1572">
        <f t="shared" si="13"/>
        <v>100</v>
      </c>
      <c r="V36" s="1571" t="s">
        <v>8</v>
      </c>
      <c r="W36" s="1572">
        <f t="shared" si="14"/>
        <v>100</v>
      </c>
      <c r="X36" s="1565"/>
      <c r="Y36" s="3432"/>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2"/>
      <c r="Q37" s="1570" t="str">
        <f t="shared" si="11"/>
        <v>内部装修状况</v>
      </c>
      <c r="R37" s="1571" t="s">
        <v>8</v>
      </c>
      <c r="S37" s="1572">
        <f t="shared" si="12"/>
        <v>100</v>
      </c>
      <c r="T37" s="1571" t="s">
        <v>8</v>
      </c>
      <c r="U37" s="1572">
        <f t="shared" si="13"/>
        <v>100</v>
      </c>
      <c r="V37" s="1571" t="s">
        <v>8</v>
      </c>
      <c r="W37" s="1572">
        <f t="shared" si="14"/>
        <v>100</v>
      </c>
      <c r="X37" s="1565"/>
      <c r="Y37" s="3432"/>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32"/>
      <c r="Q38" s="1603">
        <f t="shared" si="11"/>
        <v>111</v>
      </c>
      <c r="R38" s="1575" t="s">
        <v>8</v>
      </c>
      <c r="S38" s="1576">
        <f t="shared" si="12"/>
        <v>100</v>
      </c>
      <c r="T38" s="1575" t="s">
        <v>8</v>
      </c>
      <c r="U38" s="1576">
        <f t="shared" si="13"/>
        <v>100</v>
      </c>
      <c r="V38" s="1575" t="s">
        <v>8</v>
      </c>
      <c r="W38" s="1576">
        <f t="shared" si="14"/>
        <v>100</v>
      </c>
      <c r="X38" s="1577"/>
      <c r="Y38" s="3432"/>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32"/>
      <c r="Q39" s="1570">
        <f t="shared" si="11"/>
        <v>111</v>
      </c>
      <c r="R39" s="1571" t="s">
        <v>8</v>
      </c>
      <c r="S39" s="1572">
        <f t="shared" si="12"/>
        <v>100</v>
      </c>
      <c r="T39" s="1571" t="s">
        <v>8</v>
      </c>
      <c r="U39" s="1572">
        <f t="shared" si="13"/>
        <v>100</v>
      </c>
      <c r="V39" s="1571" t="s">
        <v>8</v>
      </c>
      <c r="W39" s="1572">
        <f t="shared" si="14"/>
        <v>100</v>
      </c>
      <c r="X39" s="1565"/>
      <c r="Y39" s="3432"/>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71"/>
      <c r="Q40" s="1570">
        <f t="shared" si="11"/>
        <v>111</v>
      </c>
      <c r="R40" s="1571" t="s">
        <v>8</v>
      </c>
      <c r="S40" s="1572">
        <f t="shared" si="12"/>
        <v>100</v>
      </c>
      <c r="T40" s="1571" t="s">
        <v>8</v>
      </c>
      <c r="U40" s="1572">
        <f t="shared" si="13"/>
        <v>100</v>
      </c>
      <c r="V40" s="1571" t="s">
        <v>8</v>
      </c>
      <c r="W40" s="1572">
        <f t="shared" si="14"/>
        <v>100</v>
      </c>
      <c r="X40" s="1565"/>
      <c r="Y40" s="3471"/>
      <c r="Z40" s="1573">
        <f t="shared" si="15"/>
        <v>111</v>
      </c>
      <c r="AA40" s="1574">
        <f t="shared" si="3"/>
        <v>1</v>
      </c>
      <c r="AB40" s="1574">
        <f t="shared" si="4"/>
        <v>1</v>
      </c>
      <c r="AC40" s="1574">
        <f t="shared" si="5"/>
        <v>1</v>
      </c>
    </row>
    <row r="41" spans="1:29" ht="15">
      <c r="A41" s="606" t="s">
        <v>736</v>
      </c>
      <c r="B41" s="886"/>
      <c r="C41" s="2648" t="s">
        <v>1</v>
      </c>
      <c r="D41" s="2649"/>
      <c r="E41" s="2650"/>
      <c r="F41" s="2651"/>
      <c r="G41" s="2652"/>
      <c r="H41" s="2653"/>
      <c r="I41" s="2650"/>
      <c r="J41" s="2653"/>
      <c r="K41" s="1609"/>
      <c r="L41" s="2141"/>
      <c r="M41" s="2142"/>
      <c r="N41" s="2131"/>
      <c r="O41" s="2142"/>
      <c r="P41" s="3394" t="str">
        <f>A41</f>
        <v>成交单价（元/平方米）</v>
      </c>
      <c r="Q41" s="3394"/>
      <c r="R41" s="3468">
        <f>E41</f>
        <v>0</v>
      </c>
      <c r="S41" s="3468"/>
      <c r="T41" s="3468">
        <f>G41</f>
        <v>0</v>
      </c>
      <c r="U41" s="3468"/>
      <c r="V41" s="3468">
        <f>I41</f>
        <v>0</v>
      </c>
      <c r="W41" s="3468"/>
      <c r="X41" s="1557"/>
      <c r="Y41" s="1579"/>
      <c r="Z41" s="1557"/>
      <c r="AA41" s="1557"/>
      <c r="AB41" s="1557"/>
      <c r="AC41" s="1557"/>
    </row>
    <row r="42" spans="1:29" ht="15.75" thickBot="1">
      <c r="A42" s="614" t="s">
        <v>2760</v>
      </c>
      <c r="B42" s="887"/>
      <c r="C42" s="2654" t="e">
        <f>R43</f>
        <v>#DIV/0!</v>
      </c>
      <c r="D42" s="2655"/>
      <c r="E42" s="2656" t="e">
        <f>R42</f>
        <v>#DIV/0!</v>
      </c>
      <c r="F42" s="2656"/>
      <c r="G42" s="2654" t="e">
        <f>T42</f>
        <v>#DIV/0!</v>
      </c>
      <c r="H42" s="2655"/>
      <c r="I42" s="2656" t="e">
        <f>V42</f>
        <v>#DIV/0!</v>
      </c>
      <c r="J42" s="2655"/>
      <c r="K42" s="1610"/>
      <c r="L42" s="2141"/>
      <c r="M42" s="2142"/>
      <c r="N42" s="2131"/>
      <c r="O42" s="2142"/>
      <c r="P42" s="3394" t="str">
        <f>A42</f>
        <v>比较价格（元/平方米）</v>
      </c>
      <c r="Q42" s="339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57"/>
      <c r="Y42" s="1557"/>
      <c r="Z42" s="1557"/>
      <c r="AA42" s="1557"/>
      <c r="AB42" s="1557"/>
      <c r="AC42" s="1557"/>
    </row>
    <row r="43" spans="1:29" ht="15.75" thickBot="1">
      <c r="A43" s="620" t="s">
        <v>2929</v>
      </c>
      <c r="B43" s="621"/>
      <c r="C43" s="2657" t="e">
        <f>R43</f>
        <v>#DIV/0!</v>
      </c>
      <c r="D43" s="2657"/>
      <c r="E43" s="2657"/>
      <c r="F43" s="2657"/>
      <c r="G43" s="2657"/>
      <c r="H43" s="2657"/>
      <c r="I43" s="2657"/>
      <c r="J43" s="2657"/>
      <c r="K43" s="1611"/>
      <c r="L43" s="2141"/>
      <c r="M43" s="2142"/>
      <c r="N43" s="2142"/>
      <c r="O43" s="2142"/>
      <c r="P43" s="3391" t="str">
        <f>A43</f>
        <v>估价对象XX用房的比较价格（楼面单价，元/平方米）</v>
      </c>
      <c r="Q43" s="3392"/>
      <c r="R43" s="3470" t="e">
        <f>IF(F1="售价",ROUND(AVERAGE(R42:V42),0),ROUND(AVERAGE(R42:V42),1))</f>
        <v>#DIV/0!</v>
      </c>
      <c r="S43" s="3470"/>
      <c r="T43" s="3470"/>
      <c r="U43" s="3470"/>
      <c r="V43" s="3470"/>
      <c r="W43" s="3470"/>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6" customFormat="1" ht="15">
      <c r="A52" s="644" t="s">
        <v>529</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575</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531</v>
      </c>
      <c r="B55" s="647"/>
      <c r="C55" s="659" t="s">
        <v>576</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577</v>
      </c>
      <c r="B57" s="664" t="s">
        <v>534</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539</v>
      </c>
      <c r="B70" s="664" t="s">
        <v>585</v>
      </c>
      <c r="C70" s="702" t="s">
        <v>579</v>
      </c>
      <c r="D70" s="702" t="s">
        <v>580</v>
      </c>
      <c r="E70" s="702" t="s">
        <v>581</v>
      </c>
      <c r="F70" s="702" t="s">
        <v>582</v>
      </c>
      <c r="G70" s="702" t="s">
        <v>583</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586</v>
      </c>
      <c r="C72" s="707" t="s">
        <v>579</v>
      </c>
      <c r="D72" s="707" t="s">
        <v>580</v>
      </c>
      <c r="E72" s="707" t="s">
        <v>581</v>
      </c>
      <c r="F72" s="707" t="s">
        <v>582</v>
      </c>
      <c r="G72" s="707" t="s">
        <v>583</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2558</v>
      </c>
      <c r="C74" s="707" t="s">
        <v>579</v>
      </c>
      <c r="D74" s="707" t="s">
        <v>580</v>
      </c>
      <c r="E74" s="707" t="s">
        <v>581</v>
      </c>
      <c r="F74" s="707" t="s">
        <v>582</v>
      </c>
      <c r="G74" s="707" t="s">
        <v>583</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2559</v>
      </c>
      <c r="C76" s="2619" t="s">
        <v>2560</v>
      </c>
      <c r="D76" s="2619" t="s">
        <v>2561</v>
      </c>
      <c r="E76" s="2619" t="s">
        <v>2562</v>
      </c>
      <c r="F76" s="2619" t="s">
        <v>2563</v>
      </c>
      <c r="G76" s="2619" t="s">
        <v>2564</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784</v>
      </c>
      <c r="C78" s="707" t="s">
        <v>579</v>
      </c>
      <c r="D78" s="707" t="s">
        <v>580</v>
      </c>
      <c r="E78" s="707" t="s">
        <v>581</v>
      </c>
      <c r="F78" s="707" t="s">
        <v>582</v>
      </c>
      <c r="G78" s="707" t="s">
        <v>583</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551</v>
      </c>
      <c r="B88" s="664" t="s">
        <v>747</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749</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751</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753</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755</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3" sqref="G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3081</v>
      </c>
      <c r="C1" s="503" t="s">
        <v>792</v>
      </c>
      <c r="D1" s="848" t="s">
        <v>3082</v>
      </c>
      <c r="E1" s="505"/>
      <c r="F1" s="2828" t="s">
        <v>2856</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ROUND(B3*D3/10000,0)</f>
        <v>1</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795</v>
      </c>
      <c r="B3" s="509">
        <f>C37</f>
        <v>3.3</v>
      </c>
      <c r="C3" s="851" t="s">
        <v>796</v>
      </c>
      <c r="D3" s="850">
        <f>SUMIF('数据-汇总表'!$C19:$C33,D1,'数据-汇总表'!$E19:$E33)</f>
        <v>1755</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797</v>
      </c>
      <c r="B4" s="512"/>
      <c r="C4" s="3400" t="s">
        <v>798</v>
      </c>
      <c r="D4" s="3401"/>
      <c r="E4" s="3436" t="s">
        <v>799</v>
      </c>
      <c r="F4" s="3437"/>
      <c r="G4" s="3400" t="s">
        <v>800</v>
      </c>
      <c r="H4" s="3401"/>
      <c r="I4" s="3400" t="s">
        <v>801</v>
      </c>
      <c r="J4" s="3401"/>
      <c r="K4" s="513" t="s">
        <v>802</v>
      </c>
      <c r="L4" s="2130"/>
      <c r="M4" s="2131"/>
      <c r="N4" s="2131"/>
      <c r="O4" s="2131"/>
      <c r="P4" s="3402" t="s">
        <v>803</v>
      </c>
      <c r="Q4" s="3403"/>
      <c r="R4" s="3408" t="s">
        <v>799</v>
      </c>
      <c r="S4" s="3409"/>
      <c r="T4" s="3408" t="s">
        <v>800</v>
      </c>
      <c r="U4" s="3409"/>
      <c r="V4" s="3395" t="s">
        <v>801</v>
      </c>
      <c r="W4" s="3395"/>
      <c r="X4" s="1565"/>
      <c r="Y4" s="3408" t="s">
        <v>803</v>
      </c>
      <c r="Z4" s="3409"/>
      <c r="AA4" s="3397" t="s">
        <v>799</v>
      </c>
      <c r="AB4" s="3398" t="s">
        <v>800</v>
      </c>
      <c r="AC4" s="3397" t="s">
        <v>801</v>
      </c>
    </row>
    <row r="5" spans="1:29" ht="15">
      <c r="A5" s="514"/>
      <c r="B5" s="515"/>
      <c r="C5" s="3416" t="s">
        <v>2923</v>
      </c>
      <c r="D5" s="3417"/>
      <c r="E5" s="3438" t="s">
        <v>2924</v>
      </c>
      <c r="F5" s="3439"/>
      <c r="G5" s="3416" t="s">
        <v>2925</v>
      </c>
      <c r="H5" s="3417"/>
      <c r="I5" s="3416" t="s">
        <v>2926</v>
      </c>
      <c r="J5" s="3417"/>
      <c r="K5" s="513"/>
      <c r="L5" s="2130"/>
      <c r="M5" s="2131"/>
      <c r="N5" s="2131"/>
      <c r="O5" s="2131"/>
      <c r="P5" s="3404"/>
      <c r="Q5" s="3405"/>
      <c r="R5" s="3410"/>
      <c r="S5" s="3411"/>
      <c r="T5" s="3410"/>
      <c r="U5" s="3411"/>
      <c r="V5" s="3395"/>
      <c r="W5" s="3395"/>
      <c r="X5" s="1565"/>
      <c r="Y5" s="3410"/>
      <c r="Z5" s="3411"/>
      <c r="AA5" s="3398"/>
      <c r="AB5" s="3398"/>
      <c r="AC5" s="3398"/>
    </row>
    <row r="6" spans="1:29" ht="15.75" thickBot="1">
      <c r="A6" s="516"/>
      <c r="B6" s="517"/>
      <c r="C6" s="3433" t="s">
        <v>2927</v>
      </c>
      <c r="D6" s="3415"/>
      <c r="E6" s="3434" t="s">
        <v>2927</v>
      </c>
      <c r="F6" s="3435"/>
      <c r="G6" s="3433" t="s">
        <v>2927</v>
      </c>
      <c r="H6" s="3415"/>
      <c r="I6" s="3433" t="s">
        <v>2927</v>
      </c>
      <c r="J6" s="3415"/>
      <c r="K6" s="513" t="s">
        <v>528</v>
      </c>
      <c r="L6" s="2130"/>
      <c r="M6" s="2131"/>
      <c r="N6" s="2131"/>
      <c r="O6" s="2131"/>
      <c r="P6" s="3406"/>
      <c r="Q6" s="3407"/>
      <c r="R6" s="3410"/>
      <c r="S6" s="3411"/>
      <c r="T6" s="3412"/>
      <c r="U6" s="3413"/>
      <c r="V6" s="3395"/>
      <c r="W6" s="3395"/>
      <c r="X6" s="1565"/>
      <c r="Y6" s="3412"/>
      <c r="Z6" s="3413"/>
      <c r="AA6" s="3399"/>
      <c r="AB6" s="3399"/>
      <c r="AC6" s="3399"/>
    </row>
    <row r="7" spans="1:29" s="1219" customFormat="1" ht="15.75" thickBot="1">
      <c r="A7" s="2933"/>
      <c r="B7" s="2940" t="s">
        <v>529</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2"/>
      <c r="M7" s="2133"/>
      <c r="N7" s="2133"/>
      <c r="O7" s="2133"/>
      <c r="P7" s="3426" t="s">
        <v>530</v>
      </c>
      <c r="Q7" s="3428"/>
      <c r="R7" s="1566" t="s">
        <v>8</v>
      </c>
      <c r="S7" s="1567">
        <f t="shared" ref="S7:S14" si="0">F7</f>
        <v>100</v>
      </c>
      <c r="T7" s="1566" t="s">
        <v>8</v>
      </c>
      <c r="U7" s="1567">
        <f t="shared" ref="U7:U14" si="1">H7</f>
        <v>100</v>
      </c>
      <c r="V7" s="1566" t="s">
        <v>8</v>
      </c>
      <c r="W7" s="1567">
        <f t="shared" ref="W7:W14" si="2">J7</f>
        <v>100</v>
      </c>
      <c r="X7" s="1568"/>
      <c r="Y7" s="3426" t="s">
        <v>530</v>
      </c>
      <c r="Z7" s="3427"/>
      <c r="AA7" s="1569">
        <f>D7/F7</f>
        <v>1</v>
      </c>
      <c r="AB7" s="1569">
        <f>D7/H7</f>
        <v>1</v>
      </c>
      <c r="AC7" s="1569">
        <f>D7/J7</f>
        <v>1</v>
      </c>
    </row>
    <row r="8" spans="1:29" s="1219" customFormat="1" ht="15.75" thickBot="1">
      <c r="A8" s="2934"/>
      <c r="B8" s="2941" t="s">
        <v>531</v>
      </c>
      <c r="C8" s="524" t="s">
        <v>576</v>
      </c>
      <c r="D8" s="519">
        <v>100</v>
      </c>
      <c r="E8" s="524" t="s">
        <v>576</v>
      </c>
      <c r="F8" s="521">
        <f>SUMIF(49:49,E8,50:50)-SUMIF(49:49,C8,50:50)+100</f>
        <v>100</v>
      </c>
      <c r="G8" s="524" t="s">
        <v>576</v>
      </c>
      <c r="H8" s="519">
        <f>SUMIF(49:49,G8,50:50)-SUMIF(49:49,C8,50:50)+100</f>
        <v>100</v>
      </c>
      <c r="I8" s="524" t="s">
        <v>576</v>
      </c>
      <c r="J8" s="519">
        <f>SUMIF(49:49,I8,50:50)-SUMIF(49:49,C8,50:50)+100</f>
        <v>100</v>
      </c>
      <c r="K8" s="523"/>
      <c r="L8" s="2132"/>
      <c r="M8" s="2133"/>
      <c r="N8" s="2133"/>
      <c r="O8" s="2133"/>
      <c r="P8" s="3426" t="s">
        <v>533</v>
      </c>
      <c r="Q8" s="3427"/>
      <c r="R8" s="1566" t="s">
        <v>8</v>
      </c>
      <c r="S8" s="1567">
        <f t="shared" si="0"/>
        <v>100</v>
      </c>
      <c r="T8" s="1566" t="s">
        <v>8</v>
      </c>
      <c r="U8" s="1567">
        <f t="shared" si="1"/>
        <v>100</v>
      </c>
      <c r="V8" s="1566" t="s">
        <v>8</v>
      </c>
      <c r="W8" s="1567">
        <f t="shared" si="2"/>
        <v>100</v>
      </c>
      <c r="X8" s="1568"/>
      <c r="Y8" s="3426" t="s">
        <v>533</v>
      </c>
      <c r="Z8" s="3427"/>
      <c r="AA8" s="1569">
        <f t="shared" ref="AA8:AA34" si="3">D8/F8</f>
        <v>1</v>
      </c>
      <c r="AB8" s="1569">
        <f t="shared" ref="AB8:AB34" si="4">D8/H8</f>
        <v>1</v>
      </c>
      <c r="AC8" s="1569">
        <f t="shared" ref="AC8:AC34" si="5">D8/J8</f>
        <v>1</v>
      </c>
    </row>
    <row r="9" spans="1:29" s="1219"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94" t="s">
        <v>535</v>
      </c>
      <c r="Q9" s="1150" t="str">
        <f t="shared" ref="Q9:Q14" si="6">B9</f>
        <v>用途</v>
      </c>
      <c r="R9" s="1566" t="s">
        <v>8</v>
      </c>
      <c r="S9" s="1567">
        <f t="shared" si="0"/>
        <v>100</v>
      </c>
      <c r="T9" s="1566" t="s">
        <v>8</v>
      </c>
      <c r="U9" s="1567">
        <f t="shared" si="1"/>
        <v>100</v>
      </c>
      <c r="V9" s="1566" t="s">
        <v>8</v>
      </c>
      <c r="W9" s="1567">
        <f t="shared" si="2"/>
        <v>100</v>
      </c>
      <c r="X9" s="1568"/>
      <c r="Y9" s="3340" t="s">
        <v>536</v>
      </c>
      <c r="Z9" s="1149" t="str">
        <f t="shared" ref="Z9:Z14" si="7">Q9</f>
        <v>用途</v>
      </c>
      <c r="AA9" s="1569">
        <f t="shared" si="3"/>
        <v>1</v>
      </c>
      <c r="AB9" s="1569">
        <f t="shared" si="4"/>
        <v>1</v>
      </c>
      <c r="AC9" s="1569">
        <f t="shared" si="5"/>
        <v>1</v>
      </c>
    </row>
    <row r="10" spans="1:29" s="1337" customFormat="1" ht="27.75" thickBot="1">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94"/>
      <c r="Q10" s="1150" t="str">
        <f t="shared" si="6"/>
        <v>土地使用年限（年）</v>
      </c>
      <c r="R10" s="1566" t="s">
        <v>8</v>
      </c>
      <c r="S10" s="1567">
        <f t="shared" si="0"/>
        <v>100</v>
      </c>
      <c r="T10" s="1566" t="s">
        <v>8</v>
      </c>
      <c r="U10" s="1567">
        <f t="shared" si="1"/>
        <v>100</v>
      </c>
      <c r="V10" s="1566" t="s">
        <v>8</v>
      </c>
      <c r="W10" s="1567">
        <f t="shared" si="2"/>
        <v>100</v>
      </c>
      <c r="X10" s="1568"/>
      <c r="Y10" s="3340"/>
      <c r="Z10" s="1149" t="str">
        <f t="shared" si="7"/>
        <v>土地使用年限（年）</v>
      </c>
      <c r="AA10" s="1569">
        <f t="shared" si="3"/>
        <v>1</v>
      </c>
      <c r="AB10" s="1569">
        <f t="shared" si="4"/>
        <v>1</v>
      </c>
      <c r="AC10" s="1569">
        <f t="shared" si="5"/>
        <v>1</v>
      </c>
    </row>
    <row r="11" spans="1:29" ht="15" hidden="1">
      <c r="A11" s="2938"/>
      <c r="B11" s="2944">
        <v>111</v>
      </c>
      <c r="C11" s="527"/>
      <c r="D11" s="254">
        <v>100</v>
      </c>
      <c r="E11" s="879"/>
      <c r="F11" s="254">
        <f>SUMIF(55:55,E11,56:56)-SUMIF(55:55,C11,56:56)+100</f>
        <v>100</v>
      </c>
      <c r="G11" s="879"/>
      <c r="H11" s="254">
        <f>SUMIF(55:55,G11,56:56)-SUMIF(55:55,C11,56:56)+100</f>
        <v>100</v>
      </c>
      <c r="I11" s="879"/>
      <c r="J11" s="254">
        <f>SUMIF(55:55,I11,56:56)-SUMIF(55:55,C11,56:56)+100</f>
        <v>100</v>
      </c>
      <c r="K11" s="580"/>
      <c r="L11" s="2137"/>
      <c r="M11" s="2131"/>
      <c r="N11" s="2131"/>
      <c r="O11" s="2138"/>
      <c r="P11" s="3394"/>
      <c r="Q11" s="1150">
        <f t="shared" si="6"/>
        <v>111</v>
      </c>
      <c r="R11" s="1566" t="s">
        <v>8</v>
      </c>
      <c r="S11" s="1567">
        <f t="shared" si="0"/>
        <v>100</v>
      </c>
      <c r="T11" s="1566" t="s">
        <v>8</v>
      </c>
      <c r="U11" s="1567">
        <f t="shared" si="1"/>
        <v>100</v>
      </c>
      <c r="V11" s="1566" t="s">
        <v>8</v>
      </c>
      <c r="W11" s="1567">
        <f t="shared" si="2"/>
        <v>100</v>
      </c>
      <c r="X11" s="1568"/>
      <c r="Y11" s="3340"/>
      <c r="Z11" s="1149">
        <f t="shared" si="7"/>
        <v>111</v>
      </c>
      <c r="AA11" s="1569">
        <f t="shared" si="3"/>
        <v>1</v>
      </c>
      <c r="AB11" s="1569">
        <f t="shared" si="4"/>
        <v>1</v>
      </c>
      <c r="AC11" s="1569">
        <f t="shared" si="5"/>
        <v>1</v>
      </c>
    </row>
    <row r="12" spans="1:29" s="1219" customFormat="1" ht="15" hidden="1">
      <c r="A12" s="2938"/>
      <c r="B12" s="2944">
        <v>111</v>
      </c>
      <c r="C12" s="527"/>
      <c r="D12" s="537">
        <v>100</v>
      </c>
      <c r="E12" s="879"/>
      <c r="F12" s="254">
        <f>SUMIF(57:57,E12,58:58)-SUMIF(57:57,C12,58:58)+100</f>
        <v>100</v>
      </c>
      <c r="G12" s="879"/>
      <c r="H12" s="254">
        <f>SUMIF(57:57,G12,58:58)-SUMIF(57:57,C12,58:58)+100</f>
        <v>100</v>
      </c>
      <c r="I12" s="879"/>
      <c r="J12" s="254">
        <f>SUMIF(57:57,I12,58:58)-SUMIF(57:57,C12,58:58)+100</f>
        <v>100</v>
      </c>
      <c r="K12" s="580"/>
      <c r="L12" s="2132"/>
      <c r="M12" s="2133"/>
      <c r="N12" s="2133"/>
      <c r="O12" s="2134"/>
      <c r="P12" s="3394"/>
      <c r="Q12" s="1150">
        <f t="shared" si="6"/>
        <v>111</v>
      </c>
      <c r="R12" s="1566" t="s">
        <v>8</v>
      </c>
      <c r="S12" s="1567">
        <f t="shared" si="0"/>
        <v>100</v>
      </c>
      <c r="T12" s="1566" t="s">
        <v>8</v>
      </c>
      <c r="U12" s="1567">
        <f t="shared" si="1"/>
        <v>100</v>
      </c>
      <c r="V12" s="1566" t="s">
        <v>8</v>
      </c>
      <c r="W12" s="1567">
        <f t="shared" si="2"/>
        <v>100</v>
      </c>
      <c r="X12" s="1568"/>
      <c r="Y12" s="3340"/>
      <c r="Z12" s="1149">
        <f t="shared" si="7"/>
        <v>111</v>
      </c>
      <c r="AA12" s="1569">
        <f>D12/F12</f>
        <v>1</v>
      </c>
      <c r="AB12" s="1569">
        <f>D12/H12</f>
        <v>1</v>
      </c>
      <c r="AC12" s="1569">
        <f>D12/J12</f>
        <v>1</v>
      </c>
    </row>
    <row r="13" spans="1:29" ht="15.75" hidden="1" thickBot="1">
      <c r="A13" s="2939"/>
      <c r="B13" s="2945">
        <v>111</v>
      </c>
      <c r="C13" s="538"/>
      <c r="D13" s="539">
        <v>100</v>
      </c>
      <c r="E13" s="879"/>
      <c r="F13" s="254">
        <f>SUMIF(59:59,E13,60:60)-SUMIF(59:59,C13,60:60)+100</f>
        <v>100</v>
      </c>
      <c r="G13" s="879"/>
      <c r="H13" s="539">
        <f>SUMIF(59:59,G13,60:60)-SUMIF(59:59,C13,60:60)+100</f>
        <v>100</v>
      </c>
      <c r="I13" s="879"/>
      <c r="J13" s="539">
        <f>SUMIF(59:59,I13,60:60)-SUMIF(59:59,C13,60:60)+100</f>
        <v>100</v>
      </c>
      <c r="K13" s="580"/>
      <c r="L13" s="2139"/>
      <c r="M13" s="2131"/>
      <c r="N13" s="2131"/>
      <c r="O13" s="2138"/>
      <c r="P13" s="3394"/>
      <c r="Q13" s="1150">
        <f t="shared" si="6"/>
        <v>111</v>
      </c>
      <c r="R13" s="1566" t="s">
        <v>8</v>
      </c>
      <c r="S13" s="1567">
        <f t="shared" si="0"/>
        <v>100</v>
      </c>
      <c r="T13" s="1566" t="s">
        <v>8</v>
      </c>
      <c r="U13" s="1567">
        <f t="shared" si="1"/>
        <v>100</v>
      </c>
      <c r="V13" s="1566" t="s">
        <v>8</v>
      </c>
      <c r="W13" s="1567">
        <f t="shared" si="2"/>
        <v>100</v>
      </c>
      <c r="X13" s="1568"/>
      <c r="Y13" s="3340"/>
      <c r="Z13" s="1149">
        <f t="shared" si="7"/>
        <v>111</v>
      </c>
      <c r="AA13" s="1569">
        <f t="shared" si="3"/>
        <v>1</v>
      </c>
      <c r="AB13" s="1569">
        <f t="shared" si="4"/>
        <v>1</v>
      </c>
      <c r="AC13" s="1569">
        <f t="shared" si="5"/>
        <v>1</v>
      </c>
    </row>
    <row r="14" spans="1:29" ht="156.75">
      <c r="A14" s="2931" t="s">
        <v>2754</v>
      </c>
      <c r="B14" s="166" t="s">
        <v>543</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29" t="s">
        <v>540</v>
      </c>
      <c r="Q14" s="1570" t="str">
        <f t="shared" si="6"/>
        <v>交通便捷度</v>
      </c>
      <c r="R14" s="1571" t="s">
        <v>8</v>
      </c>
      <c r="S14" s="1572">
        <f t="shared" si="0"/>
        <v>100</v>
      </c>
      <c r="T14" s="1571" t="s">
        <v>8</v>
      </c>
      <c r="U14" s="1572">
        <f t="shared" si="1"/>
        <v>100</v>
      </c>
      <c r="V14" s="1571" t="s">
        <v>8</v>
      </c>
      <c r="W14" s="1572">
        <f t="shared" si="2"/>
        <v>100</v>
      </c>
      <c r="X14" s="1565"/>
      <c r="Y14" s="3429"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39"/>
      <c r="M15" s="2131"/>
      <c r="N15" s="2131"/>
      <c r="O15" s="2138"/>
      <c r="P15" s="3430"/>
      <c r="Q15" s="1570"/>
      <c r="R15" s="1571"/>
      <c r="S15" s="1572"/>
      <c r="T15" s="1571"/>
      <c r="U15" s="1572"/>
      <c r="V15" s="1571"/>
      <c r="W15" s="1572"/>
      <c r="X15" s="1565"/>
      <c r="Y15" s="3430"/>
      <c r="Z15" s="1573"/>
      <c r="AA15" s="1574">
        <v>1</v>
      </c>
      <c r="AB15" s="1574">
        <v>1</v>
      </c>
      <c r="AC15" s="1574">
        <v>1</v>
      </c>
    </row>
    <row r="16" spans="1:29" ht="199.5">
      <c r="A16" s="531"/>
      <c r="B16" s="2624" t="s">
        <v>2547</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30"/>
      <c r="Q16" s="1570" t="str">
        <f>B16</f>
        <v>公共配套设施</v>
      </c>
      <c r="R16" s="1571" t="s">
        <v>8</v>
      </c>
      <c r="S16" s="1572">
        <f>F16</f>
        <v>100</v>
      </c>
      <c r="T16" s="1571" t="s">
        <v>8</v>
      </c>
      <c r="U16" s="1572">
        <f>H16</f>
        <v>100</v>
      </c>
      <c r="V16" s="1571" t="s">
        <v>8</v>
      </c>
      <c r="W16" s="1572">
        <f>J16</f>
        <v>100</v>
      </c>
      <c r="X16" s="1565"/>
      <c r="Y16" s="3430"/>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39"/>
      <c r="M17" s="2131"/>
      <c r="N17" s="2131"/>
      <c r="O17" s="2138"/>
      <c r="P17" s="3430"/>
      <c r="Q17" s="1570"/>
      <c r="R17" s="1571"/>
      <c r="S17" s="1572"/>
      <c r="T17" s="1571"/>
      <c r="U17" s="1572"/>
      <c r="V17" s="1571"/>
      <c r="W17" s="1572"/>
      <c r="X17" s="1565"/>
      <c r="Y17" s="3430"/>
      <c r="Z17" s="1573"/>
      <c r="AA17" s="1574">
        <v>1</v>
      </c>
      <c r="AB17" s="1574">
        <v>1</v>
      </c>
      <c r="AC17" s="1574">
        <v>1</v>
      </c>
    </row>
    <row r="18" spans="1:29" ht="42.75">
      <c r="A18" s="531"/>
      <c r="B18" s="2612" t="s">
        <v>2559</v>
      </c>
      <c r="C18" s="871" t="str">
        <f>IF(B1="工业",估价对象房地状况!G6,估价对象房地状况!C8)</f>
        <v>估价对象所在区域基础设施水平达到“七通”。</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30"/>
      <c r="Q18" s="2600" t="str">
        <f>B18</f>
        <v>基础设施水平</v>
      </c>
      <c r="R18" s="1571" t="s">
        <v>8</v>
      </c>
      <c r="S18" s="1572">
        <f>F18</f>
        <v>100</v>
      </c>
      <c r="T18" s="1571" t="s">
        <v>8</v>
      </c>
      <c r="U18" s="1572">
        <f>H18</f>
        <v>100</v>
      </c>
      <c r="V18" s="1571" t="s">
        <v>8</v>
      </c>
      <c r="W18" s="1572">
        <f>J18</f>
        <v>100</v>
      </c>
      <c r="X18" s="2602"/>
      <c r="Y18" s="3430"/>
      <c r="Z18" s="2601"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3"/>
      <c r="L19" s="2139"/>
      <c r="M19" s="2131"/>
      <c r="N19" s="2131"/>
      <c r="O19" s="2138"/>
      <c r="P19" s="3430"/>
      <c r="Q19" s="2600"/>
      <c r="R19" s="1571"/>
      <c r="S19" s="1572"/>
      <c r="T19" s="1571"/>
      <c r="U19" s="1572"/>
      <c r="V19" s="1571"/>
      <c r="W19" s="1572"/>
      <c r="X19" s="2602"/>
      <c r="Y19" s="3430"/>
      <c r="Z19" s="2601"/>
      <c r="AA19" s="1574">
        <v>1</v>
      </c>
      <c r="AB19" s="1574">
        <v>1</v>
      </c>
      <c r="AC19" s="1574">
        <v>1</v>
      </c>
    </row>
    <row r="20" spans="1:29" ht="99.75">
      <c r="A20" s="531"/>
      <c r="B20" s="870" t="s">
        <v>804</v>
      </c>
      <c r="C20" s="871" t="str">
        <f>IF(B1="工业",估价对象房地状况!G7,估价对象房地状况!C9)</f>
        <v>区域自然环境：东埠头沟公园；人文环境：无博物馆、展览馆等人文景观；综合评价环境状况一般。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30"/>
      <c r="Q20" s="1570" t="str">
        <f>B20</f>
        <v>自然及人文环境</v>
      </c>
      <c r="R20" s="1571" t="s">
        <v>8</v>
      </c>
      <c r="S20" s="1572">
        <f>F20</f>
        <v>100</v>
      </c>
      <c r="T20" s="1571" t="s">
        <v>8</v>
      </c>
      <c r="U20" s="1572">
        <f>H20</f>
        <v>100</v>
      </c>
      <c r="V20" s="1571" t="s">
        <v>8</v>
      </c>
      <c r="W20" s="1572">
        <f>J20</f>
        <v>100</v>
      </c>
      <c r="X20" s="1565"/>
      <c r="Y20" s="3430"/>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39"/>
      <c r="M21" s="2131"/>
      <c r="N21" s="2131"/>
      <c r="O21" s="2138"/>
      <c r="P21" s="3430"/>
      <c r="Q21" s="1570"/>
      <c r="R21" s="1571"/>
      <c r="S21" s="1572"/>
      <c r="T21" s="1571"/>
      <c r="U21" s="1572"/>
      <c r="V21" s="1571"/>
      <c r="W21" s="1572"/>
      <c r="X21" s="1565"/>
      <c r="Y21" s="3430"/>
      <c r="Z21" s="1573"/>
      <c r="AA21" s="1574">
        <v>1</v>
      </c>
      <c r="AB21" s="1574">
        <v>1</v>
      </c>
      <c r="AC21" s="1574">
        <v>1</v>
      </c>
    </row>
    <row r="22" spans="1:29" ht="15.75" thickBot="1">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0"/>
      <c r="Q22" s="1570" t="str">
        <f>B22</f>
        <v>楼层</v>
      </c>
      <c r="R22" s="1571" t="s">
        <v>8</v>
      </c>
      <c r="S22" s="1572">
        <f>F22</f>
        <v>100</v>
      </c>
      <c r="T22" s="1571" t="s">
        <v>8</v>
      </c>
      <c r="U22" s="1572">
        <f>H22</f>
        <v>100</v>
      </c>
      <c r="V22" s="1571" t="s">
        <v>8</v>
      </c>
      <c r="W22" s="1572">
        <f>J22</f>
        <v>100</v>
      </c>
      <c r="X22" s="1565"/>
      <c r="Y22" s="3430"/>
      <c r="Z22" s="1573" t="str">
        <f>Q22</f>
        <v>楼层</v>
      </c>
      <c r="AA22" s="1574">
        <f t="shared" si="3"/>
        <v>1</v>
      </c>
      <c r="AB22" s="1574">
        <f t="shared" si="4"/>
        <v>1</v>
      </c>
      <c r="AC22" s="1574">
        <f t="shared" si="5"/>
        <v>1</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0"/>
      <c r="Q23" s="1570">
        <f>B23</f>
        <v>111</v>
      </c>
      <c r="R23" s="1571" t="s">
        <v>8</v>
      </c>
      <c r="S23" s="1572">
        <f>F23</f>
        <v>100</v>
      </c>
      <c r="T23" s="1571" t="s">
        <v>8</v>
      </c>
      <c r="U23" s="1572">
        <f>H23</f>
        <v>100</v>
      </c>
      <c r="V23" s="1571" t="s">
        <v>8</v>
      </c>
      <c r="W23" s="1572">
        <f>J23</f>
        <v>100</v>
      </c>
      <c r="X23" s="1565"/>
      <c r="Y23" s="3430"/>
      <c r="Z23" s="1573">
        <f>Q23</f>
        <v>111</v>
      </c>
      <c r="AA23" s="1574">
        <f t="shared" si="3"/>
        <v>1</v>
      </c>
      <c r="AB23" s="1574">
        <f t="shared" si="4"/>
        <v>1</v>
      </c>
      <c r="AC23" s="1574">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0"/>
      <c r="Q24" s="1570">
        <f t="shared" ref="Q24:Q34" si="11">B24</f>
        <v>111</v>
      </c>
      <c r="R24" s="1571" t="s">
        <v>8</v>
      </c>
      <c r="S24" s="1572">
        <f>F24</f>
        <v>100</v>
      </c>
      <c r="T24" s="1571" t="s">
        <v>8</v>
      </c>
      <c r="U24" s="1572">
        <f>H24</f>
        <v>100</v>
      </c>
      <c r="V24" s="1571" t="s">
        <v>8</v>
      </c>
      <c r="W24" s="1572">
        <f>J24</f>
        <v>100</v>
      </c>
      <c r="X24" s="1565"/>
      <c r="Y24" s="3430"/>
      <c r="Z24" s="1573">
        <f>Q24</f>
        <v>111</v>
      </c>
      <c r="AA24" s="1574">
        <f t="shared" si="3"/>
        <v>1</v>
      </c>
      <c r="AB24" s="1574">
        <f t="shared" si="4"/>
        <v>1</v>
      </c>
      <c r="AC24" s="1574">
        <f t="shared" si="5"/>
        <v>1</v>
      </c>
    </row>
    <row r="25" spans="1:29" s="1219"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30"/>
      <c r="Q25" s="1150">
        <f t="shared" si="11"/>
        <v>111</v>
      </c>
      <c r="R25" s="1566" t="s">
        <v>8</v>
      </c>
      <c r="S25" s="1567">
        <f>F25</f>
        <v>100</v>
      </c>
      <c r="T25" s="1566" t="s">
        <v>8</v>
      </c>
      <c r="U25" s="1567">
        <f>H25</f>
        <v>100</v>
      </c>
      <c r="V25" s="1566" t="s">
        <v>8</v>
      </c>
      <c r="W25" s="1567">
        <f>J25</f>
        <v>100</v>
      </c>
      <c r="X25" s="1568"/>
      <c r="Y25" s="3430"/>
      <c r="Z25" s="1149">
        <f>Q25</f>
        <v>111</v>
      </c>
      <c r="AA25" s="1574">
        <f>D25/F25</f>
        <v>1</v>
      </c>
      <c r="AB25" s="1574">
        <f>D25/H25</f>
        <v>1</v>
      </c>
      <c r="AC25" s="1574">
        <f>D25/J25</f>
        <v>1</v>
      </c>
    </row>
    <row r="26" spans="1:29" ht="15">
      <c r="A26" s="2928"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31"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2" t="s">
        <v>821</v>
      </c>
      <c r="Z26" s="1573" t="str">
        <f t="shared" ref="Z26:Z34" si="15">Q26</f>
        <v>公共部分装修</v>
      </c>
      <c r="AA26" s="1574">
        <f t="shared" si="3"/>
        <v>1</v>
      </c>
      <c r="AB26" s="1574">
        <f t="shared" si="4"/>
        <v>1</v>
      </c>
      <c r="AC26" s="1574">
        <f t="shared" si="5"/>
        <v>1</v>
      </c>
    </row>
    <row r="27" spans="1:29" s="1338" customFormat="1" ht="15">
      <c r="A27" s="602"/>
      <c r="B27" s="526" t="s">
        <v>809</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7"/>
      <c r="M27" s="2168"/>
      <c r="N27" s="2168"/>
      <c r="O27" s="2140"/>
      <c r="P27" s="3432"/>
      <c r="Q27" s="1603" t="str">
        <f t="shared" si="11"/>
        <v>成新率</v>
      </c>
      <c r="R27" s="1575" t="s">
        <v>8</v>
      </c>
      <c r="S27" s="1576">
        <f t="shared" si="12"/>
        <v>100</v>
      </c>
      <c r="T27" s="1575" t="s">
        <v>8</v>
      </c>
      <c r="U27" s="1576">
        <f t="shared" si="13"/>
        <v>100</v>
      </c>
      <c r="V27" s="1575" t="s">
        <v>8</v>
      </c>
      <c r="W27" s="1576">
        <f t="shared" si="14"/>
        <v>100</v>
      </c>
      <c r="X27" s="1577"/>
      <c r="Y27" s="3432"/>
      <c r="Z27" s="1578" t="str">
        <f t="shared" si="15"/>
        <v>成新率</v>
      </c>
      <c r="AA27" s="1574">
        <f t="shared" si="3"/>
        <v>1</v>
      </c>
      <c r="AB27" s="1574">
        <f t="shared" si="4"/>
        <v>1</v>
      </c>
      <c r="AC27" s="1574">
        <f t="shared" si="5"/>
        <v>1</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2"/>
      <c r="Q28" s="1570" t="str">
        <f t="shared" si="11"/>
        <v>物业等级</v>
      </c>
      <c r="R28" s="1571" t="s">
        <v>8</v>
      </c>
      <c r="S28" s="1572">
        <f t="shared" si="12"/>
        <v>100</v>
      </c>
      <c r="T28" s="1571" t="s">
        <v>8</v>
      </c>
      <c r="U28" s="1572">
        <f t="shared" si="13"/>
        <v>100</v>
      </c>
      <c r="V28" s="1571" t="s">
        <v>8</v>
      </c>
      <c r="W28" s="1572">
        <f t="shared" si="14"/>
        <v>100</v>
      </c>
      <c r="X28" s="1565"/>
      <c r="Y28" s="3432"/>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32"/>
      <c r="Q29" s="1570" t="str">
        <f t="shared" si="11"/>
        <v>有无电梯</v>
      </c>
      <c r="R29" s="1571" t="s">
        <v>8</v>
      </c>
      <c r="S29" s="1572">
        <f t="shared" si="12"/>
        <v>100</v>
      </c>
      <c r="T29" s="1571" t="s">
        <v>8</v>
      </c>
      <c r="U29" s="1572">
        <f t="shared" si="13"/>
        <v>100</v>
      </c>
      <c r="V29" s="1571" t="s">
        <v>8</v>
      </c>
      <c r="W29" s="1572">
        <f t="shared" si="14"/>
        <v>100</v>
      </c>
      <c r="X29" s="1565"/>
      <c r="Y29" s="3432"/>
      <c r="Z29" s="1573" t="str">
        <f t="shared" si="15"/>
        <v>有无电梯</v>
      </c>
      <c r="AA29" s="1574">
        <f t="shared" si="3"/>
        <v>1</v>
      </c>
      <c r="AB29" s="1574">
        <f t="shared" si="4"/>
        <v>1</v>
      </c>
      <c r="AC29" s="1574">
        <f t="shared" si="5"/>
        <v>1</v>
      </c>
    </row>
    <row r="30" spans="1:29" ht="15">
      <c r="A30" s="593"/>
      <c r="B30" s="526" t="s">
        <v>823</v>
      </c>
      <c r="C30" s="879"/>
      <c r="D30" s="539">
        <v>100</v>
      </c>
      <c r="E30" s="879"/>
      <c r="F30" s="574">
        <f>LOOKUP(E30,87:87,88:88)-LOOKUP(C30,87:87,88:88)+100</f>
        <v>100</v>
      </c>
      <c r="G30" s="879"/>
      <c r="H30" s="539">
        <f>LOOKUP(G30,87:87,88:88)-LOOKUP(C30,87:87,88:88)+100</f>
        <v>100</v>
      </c>
      <c r="I30" s="879"/>
      <c r="J30" s="539">
        <f>LOOKUP(I30,87:87,88:88)-LOOKUP(C30,87:87,88:88)+100</f>
        <v>100</v>
      </c>
      <c r="K30" s="580"/>
      <c r="L30" s="2139"/>
      <c r="M30" s="2131"/>
      <c r="N30" s="2131"/>
      <c r="O30" s="2138"/>
      <c r="P30" s="3432"/>
      <c r="Q30" s="1570" t="str">
        <f t="shared" si="11"/>
        <v>建筑面积</v>
      </c>
      <c r="R30" s="1571" t="s">
        <v>8</v>
      </c>
      <c r="S30" s="1572">
        <f t="shared" si="12"/>
        <v>100</v>
      </c>
      <c r="T30" s="1571" t="s">
        <v>8</v>
      </c>
      <c r="U30" s="1572">
        <f t="shared" si="13"/>
        <v>100</v>
      </c>
      <c r="V30" s="1571" t="s">
        <v>8</v>
      </c>
      <c r="W30" s="1572">
        <f t="shared" si="14"/>
        <v>100</v>
      </c>
      <c r="X30" s="1565"/>
      <c r="Y30" s="3432"/>
      <c r="Z30" s="1573" t="str">
        <f t="shared" si="15"/>
        <v>建筑面积</v>
      </c>
      <c r="AA30" s="1574">
        <f t="shared" si="3"/>
        <v>1</v>
      </c>
      <c r="AB30" s="1574">
        <f t="shared" si="4"/>
        <v>1</v>
      </c>
      <c r="AC30" s="1574">
        <f t="shared" si="5"/>
        <v>1</v>
      </c>
    </row>
    <row r="31" spans="1:29" s="1219" customFormat="1" ht="15.75" thickBot="1">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32"/>
      <c r="Q31" s="1150" t="str">
        <f t="shared" si="11"/>
        <v>是否封闭</v>
      </c>
      <c r="R31" s="1566" t="s">
        <v>8</v>
      </c>
      <c r="S31" s="1567">
        <f t="shared" si="12"/>
        <v>100</v>
      </c>
      <c r="T31" s="1566" t="s">
        <v>8</v>
      </c>
      <c r="U31" s="1567">
        <f t="shared" si="13"/>
        <v>100</v>
      </c>
      <c r="V31" s="1566" t="s">
        <v>8</v>
      </c>
      <c r="W31" s="1567">
        <f t="shared" si="14"/>
        <v>100</v>
      </c>
      <c r="X31" s="1568"/>
      <c r="Y31" s="3432"/>
      <c r="Z31" s="1149" t="str">
        <f t="shared" si="15"/>
        <v>是否封闭</v>
      </c>
      <c r="AA31" s="1569">
        <f t="shared" si="3"/>
        <v>1</v>
      </c>
      <c r="AB31" s="1569">
        <f t="shared" si="4"/>
        <v>1</v>
      </c>
      <c r="AC31" s="1569">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32" t="s">
        <v>550</v>
      </c>
      <c r="Q32" s="1570">
        <f t="shared" si="11"/>
        <v>111</v>
      </c>
      <c r="R32" s="1571" t="s">
        <v>8</v>
      </c>
      <c r="S32" s="1572">
        <f t="shared" si="12"/>
        <v>100</v>
      </c>
      <c r="T32" s="1571" t="s">
        <v>8</v>
      </c>
      <c r="U32" s="1572">
        <f t="shared" si="13"/>
        <v>100</v>
      </c>
      <c r="V32" s="1571" t="s">
        <v>8</v>
      </c>
      <c r="W32" s="1572">
        <f t="shared" si="14"/>
        <v>100</v>
      </c>
      <c r="X32" s="1565"/>
      <c r="Y32" s="3432" t="s">
        <v>550</v>
      </c>
      <c r="Z32" s="1573">
        <f t="shared" si="15"/>
        <v>111</v>
      </c>
      <c r="AA32" s="1574">
        <f t="shared" si="3"/>
        <v>1</v>
      </c>
      <c r="AB32" s="1574">
        <f t="shared" si="4"/>
        <v>1</v>
      </c>
      <c r="AC32" s="1574">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32"/>
      <c r="Q33" s="1570">
        <f t="shared" si="11"/>
        <v>111</v>
      </c>
      <c r="R33" s="1571" t="s">
        <v>8</v>
      </c>
      <c r="S33" s="1572">
        <f t="shared" si="12"/>
        <v>100</v>
      </c>
      <c r="T33" s="1571" t="s">
        <v>8</v>
      </c>
      <c r="U33" s="1572">
        <f t="shared" si="13"/>
        <v>100</v>
      </c>
      <c r="V33" s="1571" t="s">
        <v>8</v>
      </c>
      <c r="W33" s="1572">
        <f t="shared" si="14"/>
        <v>100</v>
      </c>
      <c r="X33" s="1565"/>
      <c r="Y33" s="3432"/>
      <c r="Z33" s="1573">
        <f t="shared" si="15"/>
        <v>111</v>
      </c>
      <c r="AA33" s="1574">
        <f t="shared" si="3"/>
        <v>1</v>
      </c>
      <c r="AB33" s="1574">
        <f t="shared" si="4"/>
        <v>1</v>
      </c>
      <c r="AC33" s="1574">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32"/>
      <c r="Q34" s="1570">
        <f t="shared" si="11"/>
        <v>111</v>
      </c>
      <c r="R34" s="1571" t="s">
        <v>8</v>
      </c>
      <c r="S34" s="1572">
        <f t="shared" si="12"/>
        <v>100</v>
      </c>
      <c r="T34" s="1571" t="s">
        <v>8</v>
      </c>
      <c r="U34" s="1572">
        <f t="shared" si="13"/>
        <v>100</v>
      </c>
      <c r="V34" s="1571" t="s">
        <v>8</v>
      </c>
      <c r="W34" s="1572">
        <f t="shared" si="14"/>
        <v>100</v>
      </c>
      <c r="X34" s="1565"/>
      <c r="Y34" s="3432"/>
      <c r="Z34" s="1573">
        <f t="shared" si="15"/>
        <v>111</v>
      </c>
      <c r="AA34" s="1574">
        <f t="shared" si="3"/>
        <v>1</v>
      </c>
      <c r="AB34" s="1574">
        <f t="shared" si="4"/>
        <v>1</v>
      </c>
      <c r="AC34" s="1574">
        <f t="shared" si="5"/>
        <v>1</v>
      </c>
    </row>
    <row r="35" spans="1:29" ht="15">
      <c r="A35" s="606" t="s">
        <v>736</v>
      </c>
      <c r="B35" s="886"/>
      <c r="C35" s="2648" t="s">
        <v>1</v>
      </c>
      <c r="D35" s="2649"/>
      <c r="E35" s="3220">
        <v>3.5</v>
      </c>
      <c r="F35" s="2651"/>
      <c r="G35" s="3221">
        <v>3</v>
      </c>
      <c r="H35" s="2653"/>
      <c r="I35" s="3220">
        <v>3.5</v>
      </c>
      <c r="J35" s="2653"/>
      <c r="K35" s="1609"/>
      <c r="L35" s="2141"/>
      <c r="M35" s="2142"/>
      <c r="N35" s="2131"/>
      <c r="O35" s="2142"/>
      <c r="P35" s="3394" t="str">
        <f>A35</f>
        <v>成交单价（元/平方米）</v>
      </c>
      <c r="Q35" s="3394"/>
      <c r="R35" s="3468">
        <f>E35</f>
        <v>3.5</v>
      </c>
      <c r="S35" s="3468"/>
      <c r="T35" s="3468">
        <f>G35</f>
        <v>3</v>
      </c>
      <c r="U35" s="3468"/>
      <c r="V35" s="3468">
        <f>I35</f>
        <v>3.5</v>
      </c>
      <c r="W35" s="3468"/>
      <c r="X35" s="1557"/>
      <c r="Y35" s="1579"/>
      <c r="Z35" s="1557"/>
      <c r="AA35" s="1557"/>
      <c r="AB35" s="1557"/>
      <c r="AC35" s="1557"/>
    </row>
    <row r="36" spans="1:29" ht="15.75" thickBot="1">
      <c r="A36" s="614" t="s">
        <v>2760</v>
      </c>
      <c r="B36" s="887"/>
      <c r="C36" s="2654">
        <f>R37</f>
        <v>3.3</v>
      </c>
      <c r="D36" s="2655"/>
      <c r="E36" s="2656">
        <f>R36</f>
        <v>3.5</v>
      </c>
      <c r="F36" s="2656"/>
      <c r="G36" s="2654">
        <f>T36</f>
        <v>3</v>
      </c>
      <c r="H36" s="2655"/>
      <c r="I36" s="2656">
        <f>V36</f>
        <v>3.5</v>
      </c>
      <c r="J36" s="2655"/>
      <c r="K36" s="1610"/>
      <c r="L36" s="2141"/>
      <c r="M36" s="2142"/>
      <c r="N36" s="2131"/>
      <c r="O36" s="2142"/>
      <c r="P36" s="3394" t="str">
        <f>A36</f>
        <v>比较价格（元/平方米）</v>
      </c>
      <c r="Q36" s="3394"/>
      <c r="R36" s="3468">
        <f>IF(F1="售价",ROUND(PRODUCT(R35,AA7:AA34),0),ROUND(PRODUCT(R35,AA7:AA34),1))</f>
        <v>3.5</v>
      </c>
      <c r="S36" s="3468"/>
      <c r="T36" s="3468">
        <f>IF(F1="售价",ROUND(PRODUCT(T35,AB7:AB34),0),ROUND(PRODUCT(T35,AB7:AB34),1))</f>
        <v>3</v>
      </c>
      <c r="U36" s="3468"/>
      <c r="V36" s="3468">
        <f>IF(F1="售价",ROUND(PRODUCT(V35,AC7:AC34),0),ROUND(PRODUCT(V35,AC7:AC34),1))</f>
        <v>3.5</v>
      </c>
      <c r="W36" s="3468"/>
      <c r="X36" s="1557"/>
      <c r="Y36" s="1557"/>
      <c r="Z36" s="1557"/>
      <c r="AA36" s="1557"/>
      <c r="AB36" s="1557"/>
      <c r="AC36" s="1557"/>
    </row>
    <row r="37" spans="1:29" ht="15.75" thickBot="1">
      <c r="A37" s="620" t="s">
        <v>2929</v>
      </c>
      <c r="B37" s="621"/>
      <c r="C37" s="2657">
        <f>R37</f>
        <v>3.3</v>
      </c>
      <c r="D37" s="2657"/>
      <c r="E37" s="2657"/>
      <c r="F37" s="2657"/>
      <c r="G37" s="2657"/>
      <c r="H37" s="2657"/>
      <c r="I37" s="2657"/>
      <c r="J37" s="2657"/>
      <c r="K37" s="1611"/>
      <c r="L37" s="2141"/>
      <c r="M37" s="2142"/>
      <c r="N37" s="2142"/>
      <c r="O37" s="2142"/>
      <c r="P37" s="3391" t="str">
        <f>A37</f>
        <v>估价对象XX用房的比较价格（楼面单价，元/平方米）</v>
      </c>
      <c r="Q37" s="3392"/>
      <c r="R37" s="3470">
        <f>IF(F1="售价",ROUND(AVERAGE(R36:V36),0),ROUND(AVERAGE(R36:V36),1))</f>
        <v>3.3</v>
      </c>
      <c r="S37" s="3470"/>
      <c r="T37" s="3470"/>
      <c r="U37" s="3470"/>
      <c r="V37" s="3470"/>
      <c r="W37" s="3470"/>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557</v>
      </c>
      <c r="D40" s="624"/>
      <c r="E40" s="625">
        <f>IF(E35&lt;E36,E36/E35-1,E35/E36-1)</f>
        <v>0</v>
      </c>
      <c r="F40" s="626" t="str">
        <f>IF(OR(E40&gt;=0.3,E40&lt;=-0.3),"超过30%","")</f>
        <v/>
      </c>
      <c r="G40" s="625">
        <f>IF(G35&lt;G36,G36/G35-1,G35/G36-1)</f>
        <v>0</v>
      </c>
      <c r="H40" s="626" t="str">
        <f>IF(OR(G40&gt;=0.3,G40&lt;=-0.3),"超过30%","")</f>
        <v/>
      </c>
      <c r="I40" s="625">
        <f>IF(I35&lt;I36,I36/I35-1,I35/I36-1)</f>
        <v>0</v>
      </c>
      <c r="J40" s="626" t="str">
        <f>IF(OR(I40&gt;=0.3,I40&lt;=-0.3),"超过30%","")</f>
        <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558</v>
      </c>
      <c r="D41" s="627"/>
      <c r="E41" s="625">
        <f>IF(E36&lt;G36,G36/E36-1,E36/G36-1)</f>
        <v>0.16666666666666674</v>
      </c>
      <c r="F41" s="626" t="str">
        <f>IF(OR(E41&gt;=0.2,E41&lt;=-0.2),"超过20%","")</f>
        <v/>
      </c>
      <c r="G41" s="625">
        <f>IF(G36&lt;I36,I36/G36-1,G36/I36-1)</f>
        <v>0.16666666666666674</v>
      </c>
      <c r="H41" s="626" t="str">
        <f>IF(OR(G41&gt;=0.2,G41&lt;=-0.2),"超过20%","")</f>
        <v/>
      </c>
      <c r="I41" s="625">
        <f>IF(I36&lt;E36,E36/I36-1,I36/E36-1)</f>
        <v>0</v>
      </c>
      <c r="J41" s="626" t="str">
        <f>IF(OR(I41&gt;=0.2,I41&lt;=-0.2),"超过20%","")</f>
        <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559</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6" customFormat="1" ht="15">
      <c r="A46" s="644" t="s">
        <v>529</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575</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531</v>
      </c>
      <c r="B49" s="647"/>
      <c r="C49" s="659" t="s">
        <v>576</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577</v>
      </c>
      <c r="B51" s="664" t="s">
        <v>534</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2558</v>
      </c>
      <c r="C63" s="707" t="s">
        <v>579</v>
      </c>
      <c r="D63" s="707" t="s">
        <v>580</v>
      </c>
      <c r="E63" s="707" t="s">
        <v>581</v>
      </c>
      <c r="F63" s="707" t="s">
        <v>582</v>
      </c>
      <c r="G63" s="707" t="s">
        <v>583</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2559</v>
      </c>
      <c r="C65" s="2619" t="s">
        <v>2560</v>
      </c>
      <c r="D65" s="2619" t="s">
        <v>2561</v>
      </c>
      <c r="E65" s="2619" t="s">
        <v>2562</v>
      </c>
      <c r="F65" s="2619" t="s">
        <v>2563</v>
      </c>
      <c r="G65" s="2619" t="s">
        <v>2564</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744</v>
      </c>
      <c r="C67" s="707" t="s">
        <v>579</v>
      </c>
      <c r="D67" s="707" t="s">
        <v>580</v>
      </c>
      <c r="E67" s="707" t="s">
        <v>581</v>
      </c>
      <c r="F67" s="707" t="s">
        <v>582</v>
      </c>
      <c r="G67" s="707" t="s">
        <v>583</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745</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551</v>
      </c>
      <c r="B77" s="664" t="s">
        <v>751</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817</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825</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826</v>
      </c>
      <c r="C86" s="707" t="str">
        <f t="shared" ref="C86:L86" si="21">C87&amp;"(含)"&amp;"-"&amp;D87</f>
        <v>0(含)-1000</v>
      </c>
      <c r="D86" s="707" t="str">
        <f t="shared" si="21"/>
        <v>1000(含)-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v>0</v>
      </c>
      <c r="D87" s="729">
        <v>1000</v>
      </c>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v>100</v>
      </c>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827</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1" t="s">
        <v>2303</v>
      </c>
      <c r="C1" s="3520" t="s">
        <v>2304</v>
      </c>
      <c r="D1" s="3521"/>
      <c r="E1" s="3521"/>
      <c r="F1" s="3521"/>
      <c r="G1" s="3521"/>
      <c r="H1" s="3521"/>
      <c r="I1" s="3521"/>
      <c r="J1" s="3521"/>
      <c r="K1" s="3521"/>
      <c r="L1" s="3521"/>
      <c r="M1" s="3521"/>
      <c r="N1" s="3521"/>
      <c r="O1" s="3521"/>
      <c r="P1" s="3521"/>
      <c r="Q1" s="3521"/>
      <c r="R1" s="3521"/>
      <c r="S1" s="3522"/>
      <c r="T1" s="2231" t="s">
        <v>2305</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7" t="s">
        <v>2922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9" t="s">
        <v>2921</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9" t="s">
        <v>2920</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7" t="s">
        <v>2935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7" t="s">
        <v>2919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7" t="s">
        <v>2918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2307</v>
      </c>
      <c r="B17" s="2275" t="s">
        <v>2308</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828</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829</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830</v>
      </c>
      <c r="B22" s="53">
        <f>SUM(B24:B10000)</f>
        <v>0</v>
      </c>
      <c r="C22" s="3517" t="s">
        <v>20</v>
      </c>
      <c r="D22" s="3518"/>
      <c r="E22" s="3518"/>
      <c r="F22" s="3518"/>
      <c r="G22" s="3518"/>
      <c r="H22" s="3518"/>
      <c r="I22" s="3518"/>
      <c r="J22" s="3518"/>
      <c r="K22" s="3518"/>
      <c r="L22" s="3518"/>
      <c r="M22" s="3518"/>
      <c r="N22" s="3518"/>
      <c r="O22" s="3518"/>
      <c r="P22" s="3518"/>
      <c r="Q22" s="3519"/>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北京龙湖京佰置业有限公司：</v>
      </c>
    </row>
    <row r="4" spans="1:4" ht="56.25">
      <c r="A4" s="1789"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2" t="s">
        <v>1906</v>
      </c>
    </row>
    <row r="6" spans="1:4" ht="150">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7" spans="1:4" ht="93.75">
      <c r="A7" s="2894" t="s">
        <v>2748</v>
      </c>
    </row>
    <row r="8" spans="1:4" ht="18.75">
      <c r="A8" s="1792" t="s">
        <v>1907</v>
      </c>
    </row>
    <row r="9" spans="1:4" ht="56.25">
      <c r="A9" s="1794"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2018年5月18日（评估专业人员勘察现场之日）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根据《不动产权证书》[京（2016）海淀区不动产权第0000123号]，本次评估估价对象证载（地类）用途为。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11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96" t="s">
        <v>2749</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43238</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1.5</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D15" sqref="D15"/>
    </sheetView>
  </sheetViews>
  <sheetFormatPr defaultRowHeight="12"/>
  <cols>
    <col min="1" max="1" width="21.375" style="3175" customWidth="1"/>
    <col min="2" max="16384" width="9" style="3175"/>
  </cols>
  <sheetData>
    <row r="1" spans="1:13" s="3174" customFormat="1">
      <c r="A1" s="3174" t="s">
        <v>2977</v>
      </c>
      <c r="B1" s="3174" t="s">
        <v>2978</v>
      </c>
      <c r="C1" s="3174" t="s">
        <v>2979</v>
      </c>
      <c r="D1" s="3174" t="s">
        <v>2980</v>
      </c>
      <c r="E1" s="3174" t="s">
        <v>2981</v>
      </c>
      <c r="F1" s="3174" t="s">
        <v>2032</v>
      </c>
      <c r="G1" s="3174" t="s">
        <v>2982</v>
      </c>
      <c r="H1" s="3174" t="s">
        <v>2983</v>
      </c>
      <c r="I1" s="3174" t="s">
        <v>2984</v>
      </c>
      <c r="J1" s="3174" t="s">
        <v>2985</v>
      </c>
      <c r="K1" s="3174" t="s">
        <v>2986</v>
      </c>
      <c r="L1" s="3174" t="s">
        <v>2987</v>
      </c>
      <c r="M1" s="3174" t="s">
        <v>2988</v>
      </c>
    </row>
    <row r="2" spans="1:13" s="3174" customFormat="1">
      <c r="A2" s="3174" t="s">
        <v>2989</v>
      </c>
      <c r="B2" s="3174" t="s">
        <v>1948</v>
      </c>
      <c r="C2" s="3174" t="s">
        <v>2990</v>
      </c>
      <c r="D2" s="3174">
        <v>59747.77</v>
      </c>
      <c r="E2" s="3174">
        <v>89622</v>
      </c>
      <c r="F2" s="3174">
        <v>1.5</v>
      </c>
      <c r="G2" s="3174" t="s">
        <v>2991</v>
      </c>
      <c r="H2" s="3174" t="s">
        <v>2992</v>
      </c>
      <c r="I2" s="3174">
        <v>146800</v>
      </c>
      <c r="J2" s="3174">
        <v>146800</v>
      </c>
      <c r="K2" s="3174">
        <v>16379.9</v>
      </c>
      <c r="L2" s="3174">
        <v>0</v>
      </c>
      <c r="M2" s="3174" t="s">
        <v>2993</v>
      </c>
    </row>
    <row r="3" spans="1:13" s="3174" customFormat="1">
      <c r="A3" s="3174" t="s">
        <v>2994</v>
      </c>
      <c r="B3" s="3174" t="s">
        <v>1948</v>
      </c>
      <c r="C3" s="3174" t="s">
        <v>2990</v>
      </c>
      <c r="D3" s="3174">
        <v>31420.65</v>
      </c>
      <c r="E3" s="3174">
        <v>65983</v>
      </c>
      <c r="F3" s="3174">
        <v>2.1</v>
      </c>
      <c r="G3" s="3174" t="s">
        <v>2991</v>
      </c>
      <c r="H3" s="3174" t="s">
        <v>2992</v>
      </c>
      <c r="I3" s="3174">
        <v>108100</v>
      </c>
      <c r="J3" s="3174">
        <v>108100</v>
      </c>
      <c r="K3" s="3174">
        <v>16383.01</v>
      </c>
      <c r="L3" s="3174">
        <v>0</v>
      </c>
      <c r="M3" s="3174" t="s">
        <v>2995</v>
      </c>
    </row>
    <row r="4" spans="1:13" s="3174" customFormat="1">
      <c r="A4" s="3174" t="s">
        <v>2996</v>
      </c>
      <c r="B4" s="3174" t="s">
        <v>1948</v>
      </c>
      <c r="C4" s="3174" t="s">
        <v>2990</v>
      </c>
      <c r="D4" s="3174">
        <v>15240.2</v>
      </c>
      <c r="E4" s="3174">
        <v>86800</v>
      </c>
      <c r="F4" s="3174">
        <v>5.6955</v>
      </c>
      <c r="G4" s="3174" t="s">
        <v>2991</v>
      </c>
      <c r="H4" s="3174" t="s">
        <v>2997</v>
      </c>
      <c r="I4" s="3174">
        <v>237500</v>
      </c>
      <c r="J4" s="3174">
        <v>242500</v>
      </c>
      <c r="K4" s="3174">
        <v>27937.79</v>
      </c>
      <c r="L4" s="3174">
        <v>2.11</v>
      </c>
      <c r="M4" s="3174" t="s">
        <v>2998</v>
      </c>
    </row>
    <row r="5" spans="1:13" s="3174" customFormat="1">
      <c r="A5" s="3174" t="s">
        <v>2999</v>
      </c>
      <c r="B5" s="3174" t="s">
        <v>1948</v>
      </c>
      <c r="C5" s="3174" t="s">
        <v>2990</v>
      </c>
      <c r="D5" s="3174">
        <v>16863.939999999999</v>
      </c>
      <c r="E5" s="3174">
        <v>87923.61</v>
      </c>
      <c r="F5" s="3174">
        <v>5.2137000000000002</v>
      </c>
      <c r="G5" s="3174" t="s">
        <v>2991</v>
      </c>
      <c r="H5" s="3174" t="s">
        <v>3000</v>
      </c>
      <c r="I5" s="3174">
        <v>211000</v>
      </c>
      <c r="J5" s="3174">
        <v>211000</v>
      </c>
      <c r="K5" s="3174">
        <v>23998.09</v>
      </c>
      <c r="L5" s="3174">
        <v>0</v>
      </c>
      <c r="M5" s="3174" t="s">
        <v>3001</v>
      </c>
    </row>
    <row r="6" spans="1:13" s="3176" customFormat="1">
      <c r="A6" s="3176" t="s">
        <v>3002</v>
      </c>
      <c r="B6" s="3176" t="s">
        <v>1948</v>
      </c>
      <c r="C6" s="3176" t="s">
        <v>2990</v>
      </c>
      <c r="D6" s="3176">
        <v>14089.17</v>
      </c>
      <c r="E6" s="3176">
        <v>105000</v>
      </c>
      <c r="F6" s="3176">
        <v>7.4525300000000003</v>
      </c>
      <c r="G6" s="3176" t="s">
        <v>2991</v>
      </c>
      <c r="H6" s="3176" t="s">
        <v>3000</v>
      </c>
      <c r="I6" s="3176">
        <v>252000</v>
      </c>
      <c r="J6" s="3176">
        <v>355000</v>
      </c>
      <c r="K6" s="3176">
        <v>33809.51</v>
      </c>
      <c r="L6" s="3176">
        <v>40.869999999999997</v>
      </c>
      <c r="M6" s="3176" t="s">
        <v>3003</v>
      </c>
    </row>
    <row r="7" spans="1:13" s="3174" customFormat="1">
      <c r="A7" s="3174" t="s">
        <v>3004</v>
      </c>
      <c r="B7" s="3174" t="s">
        <v>1948</v>
      </c>
      <c r="C7" s="3174" t="s">
        <v>2990</v>
      </c>
      <c r="D7" s="3174">
        <v>27295.08</v>
      </c>
      <c r="E7" s="3174">
        <v>160000</v>
      </c>
      <c r="F7" s="3174">
        <v>5.8</v>
      </c>
      <c r="G7" s="3174" t="s">
        <v>2991</v>
      </c>
      <c r="H7" s="3174" t="s">
        <v>3005</v>
      </c>
      <c r="I7" s="3174">
        <v>432000</v>
      </c>
      <c r="J7" s="3174">
        <v>434000</v>
      </c>
      <c r="K7" s="3174">
        <v>27125</v>
      </c>
      <c r="L7" s="3174">
        <v>0.46</v>
      </c>
      <c r="M7" s="3174" t="s">
        <v>3006</v>
      </c>
    </row>
    <row r="8" spans="1:13" s="3174" customFormat="1">
      <c r="A8" s="3174" t="s">
        <v>3007</v>
      </c>
      <c r="B8" s="3174" t="s">
        <v>1948</v>
      </c>
      <c r="C8" s="3174" t="s">
        <v>2990</v>
      </c>
      <c r="D8" s="3174">
        <v>39744.120000000003</v>
      </c>
      <c r="E8" s="3174">
        <v>119232</v>
      </c>
      <c r="F8" s="3174">
        <v>3</v>
      </c>
      <c r="G8" s="3174" t="s">
        <v>2991</v>
      </c>
      <c r="H8" s="3174" t="s">
        <v>3008</v>
      </c>
      <c r="I8" s="3174">
        <v>227000</v>
      </c>
      <c r="J8" s="3174">
        <v>292000</v>
      </c>
      <c r="K8" s="3174">
        <v>24490.06</v>
      </c>
      <c r="L8" s="3174">
        <v>28.63</v>
      </c>
      <c r="M8" s="3174" t="s">
        <v>3009</v>
      </c>
    </row>
    <row r="9" spans="1:13" s="3176" customFormat="1">
      <c r="A9" s="3176" t="s">
        <v>3010</v>
      </c>
      <c r="B9" s="3176" t="s">
        <v>1948</v>
      </c>
      <c r="C9" s="3176" t="s">
        <v>2990</v>
      </c>
      <c r="D9" s="3176">
        <v>92055.95</v>
      </c>
      <c r="E9" s="3176">
        <v>92056</v>
      </c>
      <c r="F9" s="3176">
        <v>1</v>
      </c>
      <c r="G9" s="3176" t="s">
        <v>3011</v>
      </c>
      <c r="H9" s="3176" t="s">
        <v>3012</v>
      </c>
      <c r="I9" s="3176" t="s">
        <v>2818</v>
      </c>
      <c r="J9" s="3176">
        <v>285373.59000000003</v>
      </c>
      <c r="K9" s="3176">
        <v>31000</v>
      </c>
      <c r="L9" s="3176" t="s">
        <v>2818</v>
      </c>
      <c r="M9" s="3176" t="s">
        <v>3013</v>
      </c>
    </row>
    <row r="10" spans="1:13" s="3174" customFormat="1">
      <c r="A10" s="3174" t="s">
        <v>3014</v>
      </c>
      <c r="B10" s="3174" t="s">
        <v>1948</v>
      </c>
      <c r="C10" s="3174" t="s">
        <v>2990</v>
      </c>
      <c r="D10" s="3174">
        <v>46165.91</v>
      </c>
      <c r="E10" s="3174">
        <v>92332</v>
      </c>
      <c r="F10" s="3174">
        <v>2</v>
      </c>
      <c r="G10" s="3174" t="s">
        <v>2991</v>
      </c>
      <c r="H10" s="3174" t="s">
        <v>3015</v>
      </c>
      <c r="I10" s="3174">
        <v>176000</v>
      </c>
      <c r="J10" s="3174">
        <v>225000</v>
      </c>
      <c r="K10" s="3174">
        <v>24368.58</v>
      </c>
      <c r="L10" s="3174">
        <v>27.84</v>
      </c>
      <c r="M10" s="3174" t="s">
        <v>3016</v>
      </c>
    </row>
    <row r="11" spans="1:13" s="3174" customFormat="1">
      <c r="A11" s="3174" t="s">
        <v>3017</v>
      </c>
      <c r="B11" s="3174" t="s">
        <v>1948</v>
      </c>
      <c r="C11" s="3174" t="s">
        <v>2990</v>
      </c>
      <c r="D11" s="3174">
        <v>38100</v>
      </c>
      <c r="E11" s="3174">
        <v>76200</v>
      </c>
      <c r="F11" s="3174">
        <v>2</v>
      </c>
      <c r="G11" s="3174" t="s">
        <v>2991</v>
      </c>
      <c r="H11" s="3174" t="s">
        <v>3015</v>
      </c>
      <c r="I11" s="3174">
        <v>145000</v>
      </c>
      <c r="J11" s="3174">
        <v>204000</v>
      </c>
      <c r="K11" s="3174">
        <v>26771.65</v>
      </c>
      <c r="L11" s="3174">
        <v>40.69</v>
      </c>
      <c r="M11" s="3174" t="s">
        <v>3018</v>
      </c>
    </row>
    <row r="12" spans="1:13" s="3174" customFormat="1">
      <c r="A12" s="3174" t="s">
        <v>3019</v>
      </c>
      <c r="B12" s="3174" t="s">
        <v>1948</v>
      </c>
      <c r="C12" s="3174" t="s">
        <v>2990</v>
      </c>
      <c r="D12" s="3174">
        <v>69848.44</v>
      </c>
      <c r="E12" s="3174">
        <v>146863</v>
      </c>
      <c r="F12" s="3174">
        <v>2.1</v>
      </c>
      <c r="G12" s="3174" t="s">
        <v>2991</v>
      </c>
      <c r="H12" s="3174" t="s">
        <v>3020</v>
      </c>
      <c r="I12" s="3174">
        <v>220000</v>
      </c>
      <c r="J12" s="3174">
        <v>220000</v>
      </c>
      <c r="K12" s="3174">
        <v>14979.95</v>
      </c>
      <c r="L12" s="3174">
        <v>0</v>
      </c>
      <c r="M12" s="3174" t="s">
        <v>3021</v>
      </c>
    </row>
    <row r="13" spans="1:13" s="3174" customFormat="1">
      <c r="A13" s="3174" t="s">
        <v>3022</v>
      </c>
      <c r="B13" s="3174" t="s">
        <v>1948</v>
      </c>
      <c r="C13" s="3174" t="s">
        <v>2990</v>
      </c>
      <c r="D13" s="3174">
        <v>66079.679999999993</v>
      </c>
      <c r="E13" s="3174">
        <v>111429</v>
      </c>
      <c r="F13" s="3174">
        <v>1.69</v>
      </c>
      <c r="G13" s="3174" t="s">
        <v>2991</v>
      </c>
      <c r="H13" s="3174" t="s">
        <v>3020</v>
      </c>
      <c r="I13" s="3174">
        <v>135000</v>
      </c>
      <c r="J13" s="3174">
        <v>135000</v>
      </c>
      <c r="K13" s="3174">
        <v>12115.34</v>
      </c>
      <c r="L13" s="3174">
        <v>0</v>
      </c>
      <c r="M13" s="3174" t="s">
        <v>2995</v>
      </c>
    </row>
    <row r="14" spans="1:13" s="3177" customFormat="1">
      <c r="A14" s="3177" t="s">
        <v>3023</v>
      </c>
      <c r="B14" s="3177" t="s">
        <v>1948</v>
      </c>
      <c r="C14" s="3177" t="s">
        <v>2990</v>
      </c>
      <c r="D14" s="3177">
        <v>13326.99</v>
      </c>
      <c r="E14" s="3177">
        <v>46644</v>
      </c>
      <c r="F14" s="3177">
        <v>3.5</v>
      </c>
      <c r="G14" s="3177" t="s">
        <v>2991</v>
      </c>
      <c r="H14" s="3177" t="s">
        <v>3024</v>
      </c>
      <c r="I14" s="3177">
        <v>68000</v>
      </c>
      <c r="J14" s="3177">
        <v>141000</v>
      </c>
      <c r="K14" s="3177">
        <v>30228.97</v>
      </c>
      <c r="L14" s="3177">
        <v>107.35</v>
      </c>
      <c r="M14" s="3177" t="s">
        <v>3025</v>
      </c>
    </row>
    <row r="15" spans="1:13" s="3176" customFormat="1">
      <c r="A15" s="3176" t="s">
        <v>3026</v>
      </c>
      <c r="B15" s="3176" t="s">
        <v>1948</v>
      </c>
      <c r="C15" s="3176" t="s">
        <v>2990</v>
      </c>
      <c r="D15" s="3176">
        <v>18313.7</v>
      </c>
      <c r="E15" s="3176">
        <v>119400</v>
      </c>
      <c r="F15" s="3176">
        <v>6.52</v>
      </c>
      <c r="G15" s="3176" t="s">
        <v>3011</v>
      </c>
      <c r="H15" s="3176" t="s">
        <v>3027</v>
      </c>
      <c r="I15" s="3176" t="s">
        <v>2818</v>
      </c>
      <c r="J15" s="3176">
        <v>415000</v>
      </c>
      <c r="K15" s="3176">
        <v>34757.120000000003</v>
      </c>
      <c r="L15" s="3176" t="s">
        <v>2818</v>
      </c>
      <c r="M15" s="3176" t="s">
        <v>3028</v>
      </c>
    </row>
    <row r="16" spans="1:13" s="3174" customFormat="1">
      <c r="A16" s="3174" t="s">
        <v>3029</v>
      </c>
      <c r="B16" s="3174" t="s">
        <v>1948</v>
      </c>
      <c r="C16" s="3174" t="s">
        <v>2990</v>
      </c>
      <c r="D16" s="3174">
        <v>35244.94</v>
      </c>
      <c r="E16" s="3174">
        <v>123357</v>
      </c>
      <c r="F16" s="3174">
        <v>3.5</v>
      </c>
      <c r="G16" s="3174" t="s">
        <v>2991</v>
      </c>
      <c r="H16" s="3174" t="s">
        <v>3030</v>
      </c>
      <c r="I16" s="3174">
        <v>160000</v>
      </c>
      <c r="J16" s="3174">
        <v>354000</v>
      </c>
      <c r="K16" s="3174">
        <v>28697.200000000001</v>
      </c>
      <c r="L16" s="3174">
        <v>121.25</v>
      </c>
      <c r="M16" s="3174" t="s">
        <v>3031</v>
      </c>
    </row>
    <row r="17" spans="1:13" s="3174" customFormat="1">
      <c r="A17" s="3174" t="s">
        <v>3032</v>
      </c>
      <c r="B17" s="3174" t="s">
        <v>1948</v>
      </c>
      <c r="C17" s="3174" t="s">
        <v>2990</v>
      </c>
      <c r="D17" s="3174">
        <v>17629.740000000002</v>
      </c>
      <c r="E17" s="3174">
        <v>52889</v>
      </c>
      <c r="F17" s="3174">
        <v>3</v>
      </c>
      <c r="G17" s="3174" t="s">
        <v>2991</v>
      </c>
      <c r="H17" s="3174" t="s">
        <v>3033</v>
      </c>
      <c r="I17" s="3174">
        <v>63500</v>
      </c>
      <c r="J17" s="3174">
        <v>64200</v>
      </c>
      <c r="K17" s="3174">
        <v>12138.62</v>
      </c>
      <c r="L17" s="3174">
        <v>1.1000000000000001</v>
      </c>
      <c r="M17" s="3174" t="s">
        <v>3034</v>
      </c>
    </row>
    <row r="18" spans="1:13" s="3174" customFormat="1">
      <c r="A18" s="3174" t="s">
        <v>3035</v>
      </c>
      <c r="B18" s="3174" t="s">
        <v>1948</v>
      </c>
      <c r="C18" s="3174" t="s">
        <v>2990</v>
      </c>
      <c r="D18" s="3174">
        <v>20680.23</v>
      </c>
      <c r="E18" s="3174">
        <v>62041</v>
      </c>
      <c r="F18" s="3174">
        <v>3</v>
      </c>
      <c r="G18" s="3174" t="s">
        <v>2991</v>
      </c>
      <c r="H18" s="3174" t="s">
        <v>3036</v>
      </c>
      <c r="I18" s="3174">
        <v>75000</v>
      </c>
      <c r="J18" s="3174">
        <v>81000</v>
      </c>
      <c r="K18" s="3174">
        <v>13055.87</v>
      </c>
      <c r="L18" s="3174">
        <v>8</v>
      </c>
      <c r="M18" s="3174" t="s">
        <v>3037</v>
      </c>
    </row>
    <row r="19" spans="1:13" s="3174" customFormat="1">
      <c r="A19" s="3174" t="s">
        <v>3038</v>
      </c>
      <c r="B19" s="3174" t="s">
        <v>1948</v>
      </c>
      <c r="C19" s="3174" t="s">
        <v>2990</v>
      </c>
      <c r="D19" s="3174">
        <v>27377.24</v>
      </c>
      <c r="E19" s="3174">
        <v>62968</v>
      </c>
      <c r="F19" s="3174">
        <v>2.2999999999999998</v>
      </c>
      <c r="G19" s="3174" t="s">
        <v>2991</v>
      </c>
      <c r="H19" s="3174" t="s">
        <v>3036</v>
      </c>
      <c r="I19" s="3174">
        <v>65000</v>
      </c>
      <c r="J19" s="3174">
        <v>65000</v>
      </c>
      <c r="K19" s="3174">
        <v>10322.700000000001</v>
      </c>
      <c r="L19" s="3174">
        <v>0</v>
      </c>
      <c r="M19" s="3174" t="s">
        <v>3021</v>
      </c>
    </row>
    <row r="20" spans="1:13" s="3174" customFormat="1">
      <c r="A20" s="3174" t="s">
        <v>3039</v>
      </c>
      <c r="B20" s="3174" t="s">
        <v>1948</v>
      </c>
      <c r="C20" s="3174" t="s">
        <v>2990</v>
      </c>
      <c r="D20" s="3174">
        <v>14788.3</v>
      </c>
      <c r="E20" s="3174">
        <v>59153</v>
      </c>
      <c r="F20" s="3174">
        <v>4</v>
      </c>
      <c r="G20" s="3174" t="s">
        <v>2991</v>
      </c>
      <c r="H20" s="3174" t="s">
        <v>3040</v>
      </c>
      <c r="I20" s="3174">
        <v>71500</v>
      </c>
      <c r="J20" s="3174">
        <v>176000</v>
      </c>
      <c r="K20" s="3174">
        <v>29753.34</v>
      </c>
      <c r="L20" s="3174">
        <v>146.15</v>
      </c>
      <c r="M20" s="3174" t="s">
        <v>3041</v>
      </c>
    </row>
    <row r="21" spans="1:13" s="3174" customFormat="1">
      <c r="A21" s="3174" t="s">
        <v>3042</v>
      </c>
      <c r="B21" s="3174" t="s">
        <v>1948</v>
      </c>
      <c r="C21" s="3174" t="s">
        <v>2990</v>
      </c>
      <c r="D21" s="3174">
        <v>29500</v>
      </c>
      <c r="E21" s="3174">
        <v>118000</v>
      </c>
      <c r="F21" s="3174">
        <v>4</v>
      </c>
      <c r="G21" s="3174" t="s">
        <v>2991</v>
      </c>
      <c r="H21" s="3174" t="s">
        <v>3040</v>
      </c>
      <c r="I21" s="3174">
        <v>142000</v>
      </c>
      <c r="J21" s="3174">
        <v>342000</v>
      </c>
      <c r="K21" s="3174">
        <v>28983.040000000001</v>
      </c>
      <c r="L21" s="3174">
        <v>140.85</v>
      </c>
      <c r="M21" s="3174" t="s">
        <v>3041</v>
      </c>
    </row>
    <row r="22" spans="1:13" s="3174" customFormat="1">
      <c r="A22" s="3174" t="s">
        <v>3043</v>
      </c>
      <c r="B22" s="3174" t="s">
        <v>1948</v>
      </c>
      <c r="C22" s="3174" t="s">
        <v>2990</v>
      </c>
      <c r="D22" s="3174">
        <v>15089.35</v>
      </c>
      <c r="E22" s="3174">
        <v>60357</v>
      </c>
      <c r="F22" s="3174">
        <v>4</v>
      </c>
      <c r="G22" s="3174" t="s">
        <v>2991</v>
      </c>
      <c r="H22" s="3174" t="s">
        <v>3044</v>
      </c>
      <c r="I22" s="3174">
        <v>71000</v>
      </c>
      <c r="J22" s="3174">
        <v>110000</v>
      </c>
      <c r="K22" s="3174">
        <v>18224.900000000001</v>
      </c>
      <c r="L22" s="3174">
        <v>54.93</v>
      </c>
      <c r="M22" s="3174" t="s">
        <v>3045</v>
      </c>
    </row>
    <row r="23" spans="1:13" s="3174" customFormat="1">
      <c r="A23" s="3174" t="s">
        <v>3046</v>
      </c>
      <c r="B23" s="3174" t="s">
        <v>1948</v>
      </c>
      <c r="C23" s="3174" t="s">
        <v>2990</v>
      </c>
      <c r="D23" s="3174">
        <v>166012.29999999999</v>
      </c>
      <c r="E23" s="3174">
        <v>332025</v>
      </c>
      <c r="F23" s="3174">
        <v>2</v>
      </c>
      <c r="G23" s="3174" t="s">
        <v>2991</v>
      </c>
      <c r="H23" s="3174" t="s">
        <v>3047</v>
      </c>
      <c r="I23" s="3174">
        <v>240045</v>
      </c>
      <c r="J23" s="3174">
        <v>240045</v>
      </c>
      <c r="K23" s="3174">
        <v>7229.72</v>
      </c>
      <c r="L23" s="3174">
        <v>0</v>
      </c>
      <c r="M23" s="3174" t="s">
        <v>3048</v>
      </c>
    </row>
    <row r="24" spans="1:13" s="3174" customFormat="1">
      <c r="A24" s="3174" t="s">
        <v>3049</v>
      </c>
      <c r="B24" s="3174" t="s">
        <v>1948</v>
      </c>
      <c r="C24" s="3174" t="s">
        <v>2990</v>
      </c>
      <c r="D24" s="3174">
        <v>27500</v>
      </c>
      <c r="E24" s="3174">
        <v>110000</v>
      </c>
      <c r="F24" s="3174">
        <v>4</v>
      </c>
      <c r="G24" s="3174" t="s">
        <v>2991</v>
      </c>
      <c r="H24" s="3174" t="s">
        <v>3050</v>
      </c>
      <c r="I24" s="3174">
        <v>129000</v>
      </c>
      <c r="J24" s="3174">
        <v>176000</v>
      </c>
      <c r="K24" s="3174">
        <v>16000</v>
      </c>
      <c r="L24" s="3174">
        <v>36.43</v>
      </c>
      <c r="M24" s="3174" t="s">
        <v>3051</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4" t="s">
        <v>3145</v>
      </c>
      <c r="B1" s="3174" t="s">
        <v>3146</v>
      </c>
      <c r="C1" s="3174" t="s">
        <v>3147</v>
      </c>
      <c r="D1" s="3174" t="s">
        <v>3148</v>
      </c>
      <c r="E1" s="3174" t="s">
        <v>3149</v>
      </c>
      <c r="F1" s="3174" t="s">
        <v>3150</v>
      </c>
      <c r="G1" s="3174" t="s">
        <v>3151</v>
      </c>
      <c r="H1" s="3174" t="s">
        <v>3152</v>
      </c>
      <c r="I1" s="3174" t="s">
        <v>3153</v>
      </c>
      <c r="J1" s="3174" t="s">
        <v>3154</v>
      </c>
    </row>
    <row r="2" spans="1:11">
      <c r="A2" s="3187" t="s">
        <v>3220</v>
      </c>
      <c r="B2" s="3174"/>
      <c r="C2" s="3174"/>
      <c r="D2" s="3174"/>
      <c r="E2" s="3174"/>
      <c r="F2" s="3174"/>
      <c r="G2" s="3174"/>
      <c r="H2" s="3174"/>
      <c r="I2" s="3174"/>
      <c r="J2" s="3174"/>
    </row>
    <row r="3" spans="1:11">
      <c r="A3" s="3174" t="s">
        <v>3155</v>
      </c>
      <c r="B3" s="3174" t="s">
        <v>3156</v>
      </c>
      <c r="C3" s="3174" t="s">
        <v>2818</v>
      </c>
      <c r="D3" s="3174" t="s">
        <v>3157</v>
      </c>
      <c r="E3" s="3174" t="s">
        <v>3158</v>
      </c>
      <c r="F3" s="3174" t="s">
        <v>3080</v>
      </c>
      <c r="G3" s="3174" t="s">
        <v>3159</v>
      </c>
      <c r="H3" s="3174" t="s">
        <v>3160</v>
      </c>
      <c r="I3" s="3174" t="s">
        <v>3161</v>
      </c>
      <c r="J3" s="3174" t="s">
        <v>3162</v>
      </c>
      <c r="K3">
        <f>J3*H3</f>
        <v>422598</v>
      </c>
    </row>
    <row r="4" spans="1:11">
      <c r="A4" s="3174" t="s">
        <v>3155</v>
      </c>
      <c r="B4" s="3174" t="s">
        <v>3156</v>
      </c>
      <c r="C4" s="3174" t="s">
        <v>2818</v>
      </c>
      <c r="D4" s="3174" t="s">
        <v>3163</v>
      </c>
      <c r="E4" s="3174" t="s">
        <v>3158</v>
      </c>
      <c r="F4" s="3174" t="s">
        <v>3080</v>
      </c>
      <c r="G4" s="3174" t="s">
        <v>3159</v>
      </c>
      <c r="H4" s="3174" t="s">
        <v>3160</v>
      </c>
      <c r="I4" s="3174" t="s">
        <v>3161</v>
      </c>
      <c r="J4" s="3174" t="s">
        <v>3162</v>
      </c>
    </row>
    <row r="5" spans="1:11" s="3189" customFormat="1">
      <c r="A5" s="3176" t="s">
        <v>3164</v>
      </c>
      <c r="B5" s="3176" t="s">
        <v>3156</v>
      </c>
      <c r="C5" s="3176" t="s">
        <v>2818</v>
      </c>
      <c r="D5" s="3176" t="s">
        <v>3165</v>
      </c>
      <c r="E5" s="3176" t="s">
        <v>3158</v>
      </c>
      <c r="F5" s="3176" t="s">
        <v>3080</v>
      </c>
      <c r="G5" s="3176" t="s">
        <v>3159</v>
      </c>
      <c r="H5" s="3176" t="s">
        <v>3160</v>
      </c>
      <c r="I5" s="3176" t="s">
        <v>3166</v>
      </c>
      <c r="J5" s="3176" t="s">
        <v>3167</v>
      </c>
    </row>
    <row r="6" spans="1:11">
      <c r="A6" s="3174" t="s">
        <v>3168</v>
      </c>
      <c r="B6" s="3174" t="s">
        <v>3156</v>
      </c>
      <c r="C6" s="3174" t="s">
        <v>2818</v>
      </c>
      <c r="D6" s="3174" t="s">
        <v>3169</v>
      </c>
      <c r="E6" s="3174" t="s">
        <v>3158</v>
      </c>
      <c r="F6" s="3174" t="s">
        <v>3080</v>
      </c>
      <c r="G6" s="3174" t="s">
        <v>3159</v>
      </c>
      <c r="H6" s="3174" t="s">
        <v>3170</v>
      </c>
      <c r="I6" s="3174" t="s">
        <v>3171</v>
      </c>
      <c r="J6" s="3174" t="s">
        <v>3172</v>
      </c>
    </row>
    <row r="7" spans="1:11">
      <c r="A7" s="3174" t="s">
        <v>3173</v>
      </c>
      <c r="B7" s="3174" t="s">
        <v>3156</v>
      </c>
      <c r="C7" s="3174" t="s">
        <v>2818</v>
      </c>
      <c r="D7" s="3174" t="s">
        <v>3174</v>
      </c>
      <c r="E7" s="3174" t="s">
        <v>3158</v>
      </c>
      <c r="F7" s="3174" t="s">
        <v>3080</v>
      </c>
      <c r="G7" s="3174" t="s">
        <v>3159</v>
      </c>
      <c r="H7" s="3174" t="s">
        <v>3170</v>
      </c>
      <c r="I7" s="3174" t="s">
        <v>3175</v>
      </c>
      <c r="J7" s="3174" t="s">
        <v>3176</v>
      </c>
    </row>
    <row r="8" spans="1:11">
      <c r="A8" s="3188" t="s">
        <v>3221</v>
      </c>
      <c r="B8" s="3174"/>
      <c r="C8" s="3174"/>
      <c r="D8" s="3174"/>
      <c r="E8" s="3174"/>
      <c r="F8" s="3174"/>
      <c r="G8" s="3174"/>
      <c r="H8" s="3174"/>
      <c r="I8" s="3174"/>
      <c r="J8" s="3174"/>
    </row>
    <row r="9" spans="1:11">
      <c r="A9" s="3174" t="s">
        <v>3177</v>
      </c>
      <c r="B9" s="3174" t="s">
        <v>3178</v>
      </c>
      <c r="C9" s="3174" t="s">
        <v>2818</v>
      </c>
      <c r="D9" s="3174" t="s">
        <v>3179</v>
      </c>
      <c r="E9" s="3174" t="s">
        <v>3180</v>
      </c>
      <c r="F9" s="3174" t="s">
        <v>3080</v>
      </c>
      <c r="G9" s="3174" t="s">
        <v>3159</v>
      </c>
      <c r="H9" s="3174" t="s">
        <v>3181</v>
      </c>
      <c r="I9" s="3174" t="s">
        <v>3182</v>
      </c>
      <c r="J9" s="3174" t="s">
        <v>3183</v>
      </c>
    </row>
    <row r="10" spans="1:11" s="3189" customFormat="1">
      <c r="A10" s="3176" t="s">
        <v>3184</v>
      </c>
      <c r="B10" s="3176" t="s">
        <v>3185</v>
      </c>
      <c r="C10" s="3176" t="s">
        <v>2818</v>
      </c>
      <c r="D10" s="3176" t="s">
        <v>3186</v>
      </c>
      <c r="E10" s="3176" t="s">
        <v>3187</v>
      </c>
      <c r="F10" s="3176" t="s">
        <v>3080</v>
      </c>
      <c r="G10" s="3176" t="s">
        <v>3159</v>
      </c>
      <c r="H10" s="3176" t="s">
        <v>3188</v>
      </c>
      <c r="I10" s="3176" t="s">
        <v>3189</v>
      </c>
      <c r="J10" s="3176" t="s">
        <v>3190</v>
      </c>
    </row>
    <row r="11" spans="1:11">
      <c r="A11" s="3187" t="s">
        <v>3230</v>
      </c>
      <c r="B11" s="3174"/>
      <c r="C11" s="3174"/>
      <c r="D11" s="3174"/>
      <c r="E11" s="3174"/>
      <c r="F11" s="3174"/>
      <c r="G11" s="3174"/>
      <c r="H11" s="3174"/>
      <c r="I11" s="3174"/>
      <c r="J11" s="3174"/>
    </row>
    <row r="12" spans="1:11">
      <c r="A12" s="3174" t="s">
        <v>3191</v>
      </c>
      <c r="B12" s="3174" t="s">
        <v>3192</v>
      </c>
      <c r="C12" s="3174" t="s">
        <v>2818</v>
      </c>
      <c r="D12" s="3174" t="s">
        <v>3193</v>
      </c>
      <c r="E12" s="3174" t="s">
        <v>3194</v>
      </c>
      <c r="F12" s="3174" t="s">
        <v>3080</v>
      </c>
      <c r="G12" s="3174" t="s">
        <v>3159</v>
      </c>
      <c r="H12" s="3174" t="s">
        <v>3195</v>
      </c>
      <c r="I12" s="3174" t="s">
        <v>3195</v>
      </c>
      <c r="J12" s="3174" t="s">
        <v>3196</v>
      </c>
    </row>
    <row r="13" spans="1:11" s="3194" customFormat="1">
      <c r="A13" s="3193" t="s">
        <v>3197</v>
      </c>
      <c r="B13" s="3193" t="s">
        <v>3192</v>
      </c>
      <c r="C13" s="3193" t="s">
        <v>2818</v>
      </c>
      <c r="D13" s="3193" t="s">
        <v>3198</v>
      </c>
      <c r="E13" s="3193" t="s">
        <v>3194</v>
      </c>
      <c r="F13" s="3193" t="s">
        <v>3080</v>
      </c>
      <c r="G13" s="3193" t="s">
        <v>3159</v>
      </c>
      <c r="H13" s="3193" t="s">
        <v>3199</v>
      </c>
      <c r="I13" s="3193" t="s">
        <v>3195</v>
      </c>
      <c r="J13" s="3193" t="s">
        <v>3200</v>
      </c>
    </row>
    <row r="14" spans="1:11">
      <c r="A14" s="3174" t="s">
        <v>3201</v>
      </c>
      <c r="B14" s="3174" t="s">
        <v>3192</v>
      </c>
      <c r="C14" s="3174" t="s">
        <v>2818</v>
      </c>
      <c r="D14" s="3174" t="s">
        <v>3202</v>
      </c>
      <c r="E14" s="3174" t="s">
        <v>3194</v>
      </c>
      <c r="F14" s="3174" t="s">
        <v>3080</v>
      </c>
      <c r="G14" s="3174" t="s">
        <v>3159</v>
      </c>
      <c r="H14" s="3174" t="s">
        <v>3203</v>
      </c>
      <c r="I14" s="3174" t="s">
        <v>3195</v>
      </c>
      <c r="J14" s="3174" t="s">
        <v>3204</v>
      </c>
    </row>
    <row r="15" spans="1:11">
      <c r="A15" s="3174" t="s">
        <v>3201</v>
      </c>
      <c r="B15" s="3174" t="s">
        <v>3192</v>
      </c>
      <c r="C15" s="3174" t="s">
        <v>2818</v>
      </c>
      <c r="D15" s="3174" t="s">
        <v>3205</v>
      </c>
      <c r="E15" s="3174" t="s">
        <v>3194</v>
      </c>
      <c r="F15" s="3174" t="s">
        <v>3080</v>
      </c>
      <c r="G15" s="3174" t="s">
        <v>3159</v>
      </c>
      <c r="H15" s="3174" t="s">
        <v>3188</v>
      </c>
      <c r="I15" s="3174" t="s">
        <v>3195</v>
      </c>
      <c r="J15" s="3174" t="s">
        <v>3206</v>
      </c>
    </row>
    <row r="16" spans="1:11">
      <c r="A16" s="3174" t="s">
        <v>3207</v>
      </c>
      <c r="B16" s="3174" t="s">
        <v>3192</v>
      </c>
      <c r="C16" s="3174" t="s">
        <v>2818</v>
      </c>
      <c r="D16" s="3174" t="s">
        <v>3208</v>
      </c>
      <c r="E16" s="3174" t="s">
        <v>3194</v>
      </c>
      <c r="F16" s="3174" t="s">
        <v>3080</v>
      </c>
      <c r="G16" s="3174" t="s">
        <v>3159</v>
      </c>
      <c r="H16" s="3174" t="s">
        <v>3209</v>
      </c>
      <c r="I16" s="3174" t="s">
        <v>3203</v>
      </c>
      <c r="J16" s="3174" t="s">
        <v>3210</v>
      </c>
    </row>
    <row r="17" spans="1:10" s="3189" customFormat="1">
      <c r="A17" s="3176" t="s">
        <v>3207</v>
      </c>
      <c r="B17" s="3176" t="s">
        <v>3192</v>
      </c>
      <c r="C17" s="3176" t="s">
        <v>2818</v>
      </c>
      <c r="D17" s="3176" t="s">
        <v>3211</v>
      </c>
      <c r="E17" s="3176" t="s">
        <v>3194</v>
      </c>
      <c r="F17" s="3176" t="s">
        <v>3080</v>
      </c>
      <c r="G17" s="3176" t="s">
        <v>3159</v>
      </c>
      <c r="H17" s="3176" t="s">
        <v>3188</v>
      </c>
      <c r="I17" s="3176" t="s">
        <v>3195</v>
      </c>
      <c r="J17" s="3176" t="s">
        <v>3212</v>
      </c>
    </row>
    <row r="18" spans="1:10">
      <c r="A18" s="3174" t="s">
        <v>3207</v>
      </c>
      <c r="B18" s="3174" t="s">
        <v>3192</v>
      </c>
      <c r="C18" s="3174" t="s">
        <v>2818</v>
      </c>
      <c r="D18" s="3174" t="s">
        <v>3213</v>
      </c>
      <c r="E18" s="3174" t="s">
        <v>3194</v>
      </c>
      <c r="F18" s="3174" t="s">
        <v>3080</v>
      </c>
      <c r="G18" s="3174" t="s">
        <v>3159</v>
      </c>
      <c r="H18" s="3174" t="s">
        <v>3203</v>
      </c>
      <c r="I18" s="3174" t="s">
        <v>3195</v>
      </c>
      <c r="J18" s="3174" t="s">
        <v>3204</v>
      </c>
    </row>
    <row r="19" spans="1:10">
      <c r="A19" s="3174" t="s">
        <v>3207</v>
      </c>
      <c r="B19" s="3174" t="s">
        <v>3192</v>
      </c>
      <c r="C19" s="3174" t="s">
        <v>2818</v>
      </c>
      <c r="D19" s="3174" t="s">
        <v>3214</v>
      </c>
      <c r="E19" s="3174" t="s">
        <v>3194</v>
      </c>
      <c r="F19" s="3174" t="s">
        <v>3080</v>
      </c>
      <c r="G19" s="3174" t="s">
        <v>3159</v>
      </c>
      <c r="H19" s="3174" t="s">
        <v>3203</v>
      </c>
      <c r="I19" s="3174" t="s">
        <v>3195</v>
      </c>
      <c r="J19" s="3174" t="s">
        <v>3204</v>
      </c>
    </row>
    <row r="20" spans="1:10">
      <c r="A20" s="3174" t="s">
        <v>3207</v>
      </c>
      <c r="B20" s="3174" t="s">
        <v>3215</v>
      </c>
      <c r="C20" s="3174" t="s">
        <v>2818</v>
      </c>
      <c r="D20" s="3174" t="s">
        <v>3216</v>
      </c>
      <c r="E20" s="3174" t="s">
        <v>3217</v>
      </c>
      <c r="F20" s="3174" t="s">
        <v>3080</v>
      </c>
      <c r="G20" s="3174" t="s">
        <v>3159</v>
      </c>
      <c r="H20" s="3174" t="s">
        <v>3199</v>
      </c>
      <c r="I20" s="3174" t="s">
        <v>3209</v>
      </c>
      <c r="J20" s="3174" t="s">
        <v>3218</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G35" sqref="G35"/>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abSelected="1" topLeftCell="A19" workbookViewId="0">
      <selection activeCell="K21" sqref="K21"/>
    </sheetView>
  </sheetViews>
  <sheetFormatPr defaultRowHeight="13.5"/>
  <cols>
    <col min="12" max="12" width="17.875" customWidth="1"/>
    <col min="13" max="13" width="35.625" customWidth="1"/>
    <col min="14" max="14" width="52" customWidth="1"/>
  </cols>
  <sheetData>
    <row r="2" spans="11:14">
      <c r="K2" s="3196" t="s">
        <v>3275</v>
      </c>
      <c r="L2" s="3196" t="s">
        <v>3274</v>
      </c>
      <c r="M2" s="3196" t="s">
        <v>3280</v>
      </c>
      <c r="N2" s="3196" t="s">
        <v>3279</v>
      </c>
    </row>
    <row r="3" spans="11:14">
      <c r="K3" s="3197">
        <v>1</v>
      </c>
      <c r="L3" s="3196" t="s">
        <v>3276</v>
      </c>
      <c r="M3" s="3196" t="s">
        <v>3283</v>
      </c>
      <c r="N3" s="3196" t="s">
        <v>3284</v>
      </c>
    </row>
    <row r="4" spans="11:14">
      <c r="K4" s="3197">
        <v>2</v>
      </c>
      <c r="L4" s="3196" t="s">
        <v>3277</v>
      </c>
      <c r="M4" s="3196" t="s">
        <v>3282</v>
      </c>
      <c r="N4" s="3196" t="s">
        <v>3281</v>
      </c>
    </row>
    <row r="5" spans="11:14" ht="27" customHeight="1">
      <c r="K5" s="3527">
        <v>3</v>
      </c>
      <c r="L5" s="3524" t="s">
        <v>3278</v>
      </c>
      <c r="M5" s="3523" t="s">
        <v>3286</v>
      </c>
      <c r="N5" s="3196" t="s">
        <v>3287</v>
      </c>
    </row>
    <row r="6" spans="11:14">
      <c r="K6" s="3527"/>
      <c r="L6" s="3525"/>
      <c r="M6" s="3523"/>
      <c r="N6" s="3198" t="s">
        <v>3288</v>
      </c>
    </row>
    <row r="7" spans="11:14">
      <c r="K7" s="3527"/>
      <c r="L7" s="3526"/>
      <c r="M7" s="3523"/>
      <c r="N7" s="3198" t="s">
        <v>3289</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2038</v>
      </c>
      <c r="B1" s="3231"/>
      <c r="C1" s="3231"/>
      <c r="D1" s="3231"/>
      <c r="E1" s="3231"/>
      <c r="F1" s="3231"/>
      <c r="G1" s="3231"/>
      <c r="H1" s="3231"/>
      <c r="I1" s="3231"/>
      <c r="J1" s="3231"/>
      <c r="K1" s="3231"/>
      <c r="L1" s="3231"/>
      <c r="M1" s="3231"/>
      <c r="N1" s="3231"/>
      <c r="O1" s="3231"/>
      <c r="P1" s="3231"/>
      <c r="Q1" s="3231"/>
      <c r="R1" s="3231"/>
    </row>
    <row r="2" spans="1:18">
      <c r="A2" s="1805" t="s">
        <v>2040</v>
      </c>
      <c r="B2" s="1805"/>
      <c r="C2" s="1805"/>
      <c r="D2" s="1805"/>
      <c r="E2" s="1805"/>
      <c r="F2" s="1805"/>
      <c r="G2" s="1805"/>
      <c r="H2" s="1805"/>
      <c r="I2" s="1806"/>
      <c r="J2" s="1806"/>
      <c r="K2" s="1807" t="str">
        <f>"估价期日："&amp;TEXT(项目基本情况!D3,"yyyy年m月d日;;")</f>
        <v>估价期日：2018年5月18日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2" t="s">
        <v>2029</v>
      </c>
      <c r="B3" s="3232" t="s">
        <v>2731</v>
      </c>
      <c r="C3" s="3233" t="s">
        <v>2030</v>
      </c>
      <c r="D3" s="3232" t="s">
        <v>2735</v>
      </c>
      <c r="E3" s="3227" t="s">
        <v>2031</v>
      </c>
      <c r="F3" s="3227"/>
      <c r="G3" s="3227"/>
      <c r="H3" s="3227" t="s">
        <v>2032</v>
      </c>
      <c r="I3" s="3227"/>
      <c r="J3" s="3227"/>
      <c r="K3" s="3233" t="s">
        <v>2033</v>
      </c>
      <c r="L3" s="3233" t="s">
        <v>2034</v>
      </c>
      <c r="M3" s="3232" t="s">
        <v>2732</v>
      </c>
      <c r="N3" s="3234" t="str">
        <f>"（分摊）"&amp;项目基本情况!B16&amp;"国有建设用地使用权面积/㎡"</f>
        <v>（分摊）出让国有建设用地使用权面积/㎡</v>
      </c>
      <c r="O3" s="3232" t="s">
        <v>2063</v>
      </c>
      <c r="P3" s="3233" t="s">
        <v>2043</v>
      </c>
      <c r="Q3" s="3233" t="s">
        <v>2064</v>
      </c>
      <c r="R3" s="3233" t="s">
        <v>2035</v>
      </c>
    </row>
    <row r="4" spans="1:18" ht="36.75" customHeight="1">
      <c r="A4" s="3232"/>
      <c r="B4" s="3232"/>
      <c r="C4" s="3233"/>
      <c r="D4" s="3232"/>
      <c r="E4" s="2670" t="s">
        <v>2042</v>
      </c>
      <c r="F4" s="2670" t="s">
        <v>2744</v>
      </c>
      <c r="G4" s="2670" t="s">
        <v>2036</v>
      </c>
      <c r="H4" s="2670" t="s">
        <v>2037</v>
      </c>
      <c r="I4" s="2670" t="s">
        <v>2745</v>
      </c>
      <c r="J4" s="2670" t="s">
        <v>2036</v>
      </c>
      <c r="K4" s="3233"/>
      <c r="L4" s="3233"/>
      <c r="M4" s="3232"/>
      <c r="N4" s="3234"/>
      <c r="O4" s="3232"/>
      <c r="P4" s="3233"/>
      <c r="Q4" s="3233"/>
      <c r="R4" s="3233"/>
    </row>
    <row r="5" spans="1:18" ht="135" customHeight="1">
      <c r="A5" s="1940" t="s">
        <v>2655</v>
      </c>
      <c r="B5" s="2888" t="s">
        <v>2653</v>
      </c>
      <c r="C5" s="2669">
        <v>22</v>
      </c>
      <c r="D5" s="2668" t="s">
        <v>2654</v>
      </c>
      <c r="E5" s="1808">
        <f>项目基本情况!B12</f>
        <v>0</v>
      </c>
      <c r="F5" s="2668">
        <v>258</v>
      </c>
      <c r="G5" s="1808">
        <f>项目基本情况!B13</f>
        <v>0</v>
      </c>
      <c r="H5" s="2668">
        <v>1.5</v>
      </c>
      <c r="I5" s="2668">
        <v>1.5</v>
      </c>
      <c r="J5" s="2668">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12237.13</v>
      </c>
      <c r="O5" s="1808">
        <f>项目基本情况!C21</f>
        <v>64674</v>
      </c>
      <c r="P5" s="1808">
        <f ca="1">结果表!E42</f>
        <v>116665</v>
      </c>
      <c r="Q5" s="1808">
        <f ca="1">结果表!D42</f>
        <v>22074</v>
      </c>
      <c r="R5" s="1809">
        <f ca="1">结果表!C42</f>
        <v>142764</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0">
        <f ca="1">结果表!O39</f>
        <v>142764</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0"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6" t="s">
        <v>2065</v>
      </c>
      <c r="B1" s="3236"/>
      <c r="C1" s="3236"/>
      <c r="D1" s="3236"/>
    </row>
    <row r="2" spans="1:4" ht="47.25" customHeight="1">
      <c r="A2" s="3237" t="str">
        <f>"1.权利限制："&amp;项目基本情况!L24&amp;"未设定租赁等其他他项权利。"</f>
        <v>1.权利限制：根据估价对象《不动产权证书》复印件、，截至估价期日，估价对象抵押权未见登记。未设定租赁等其他他项权利。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6"/>
      <c r="C3" s="3236"/>
      <c r="D3" s="3236"/>
    </row>
    <row r="4" spans="1:4" ht="36.75" customHeight="1">
      <c r="A4" s="3236"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36"/>
      <c r="C4" s="3236"/>
      <c r="D4" s="3236"/>
    </row>
    <row r="5" spans="1:4">
      <c r="A5" s="3235" t="s">
        <v>2066</v>
      </c>
      <c r="B5" s="3235"/>
      <c r="C5" s="3235"/>
      <c r="D5" s="3235"/>
    </row>
    <row r="6" spans="1:4">
      <c r="A6" s="3236" t="s">
        <v>2044</v>
      </c>
      <c r="B6" s="3236"/>
      <c r="C6" s="3236"/>
      <c r="D6" s="3236"/>
    </row>
    <row r="7" spans="1:4" ht="33" customHeight="1">
      <c r="A7" s="3236" t="s">
        <v>2576</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（1）根据估价对象《不动产权证书》复印件、，截至估价期日，估价对象抵押权未见登记。</v>
      </c>
      <c r="B11" s="3238"/>
      <c r="C11" s="3238"/>
      <c r="D11" s="3238"/>
    </row>
    <row r="12" spans="1:4" ht="168" customHeight="1">
      <c r="A12" s="3235" t="s">
        <v>2068</v>
      </c>
      <c r="B12" s="3235"/>
      <c r="C12" s="3235"/>
      <c r="D12" s="3235"/>
    </row>
    <row r="13" spans="1:4">
      <c r="A13" s="3239" t="s">
        <v>2746</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2702</v>
      </c>
      <c r="B17" s="3236"/>
      <c r="C17" s="3236"/>
      <c r="D17" s="3236"/>
    </row>
    <row r="18" spans="1:4">
      <c r="A18" s="3236" t="s">
        <v>2694</v>
      </c>
      <c r="B18" s="3236"/>
      <c r="C18" s="3236"/>
      <c r="D18" s="3236"/>
    </row>
    <row r="19" spans="1:4">
      <c r="A19" s="2889" t="s">
        <v>2695</v>
      </c>
      <c r="B19" s="2889" t="s">
        <v>2696</v>
      </c>
      <c r="C19" s="2889" t="s">
        <v>2697</v>
      </c>
      <c r="D19" s="2889" t="s">
        <v>2698</v>
      </c>
    </row>
    <row r="20" spans="1:4">
      <c r="A20" s="2889" t="str">
        <f>项目基本情况!B4</f>
        <v>刘梅</v>
      </c>
      <c r="B20" s="2889">
        <f ca="1">项目基本情况!C4</f>
        <v>2008110059</v>
      </c>
      <c r="C20" s="2891"/>
      <c r="D20" s="1798" t="s">
        <v>2703</v>
      </c>
    </row>
    <row r="21" spans="1:4">
      <c r="A21" s="2889" t="str">
        <f>项目基本情况!D4</f>
        <v>吴薇</v>
      </c>
      <c r="B21" s="2889">
        <f ca="1">项目基本情况!E4</f>
        <v>2002110125</v>
      </c>
      <c r="C21" s="2891"/>
      <c r="D21" s="1798" t="s">
        <v>2704</v>
      </c>
    </row>
    <row r="23" spans="1:4">
      <c r="A23" s="3236" t="s">
        <v>2699</v>
      </c>
      <c r="B23" s="3236"/>
      <c r="C23" s="3236"/>
      <c r="D23" s="3236"/>
    </row>
    <row r="24" spans="1:4">
      <c r="A24" s="2889" t="s">
        <v>2695</v>
      </c>
      <c r="B24" s="2889" t="s">
        <v>2700</v>
      </c>
      <c r="C24" s="2889" t="s">
        <v>2697</v>
      </c>
      <c r="D24" s="2889" t="s">
        <v>2698</v>
      </c>
    </row>
    <row r="25" spans="1:4">
      <c r="A25" s="2892" t="s">
        <v>2701</v>
      </c>
      <c r="B25" s="2889" t="s">
        <v>952</v>
      </c>
      <c r="C25" s="2891"/>
      <c r="D25" s="1798" t="s">
        <v>2704</v>
      </c>
    </row>
    <row r="29" spans="1:4">
      <c r="D29" s="2890" t="s">
        <v>2039</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7" t="s">
        <v>53</v>
      </c>
      <c r="B15" s="3248" t="s">
        <v>846</v>
      </c>
      <c r="C15" s="3244"/>
    </row>
    <row r="16" spans="1:7" ht="14.25">
      <c r="A16" s="3247"/>
      <c r="B16" s="3245" t="s">
        <v>54</v>
      </c>
      <c r="C16" s="1171" t="s">
        <v>53</v>
      </c>
    </row>
    <row r="17" spans="1:3" ht="14.25">
      <c r="A17" s="3247"/>
      <c r="B17" s="3245"/>
      <c r="C17" s="1171" t="s">
        <v>55</v>
      </c>
    </row>
    <row r="18" spans="1:3" ht="14.25">
      <c r="A18" s="3247"/>
      <c r="B18" s="3245"/>
      <c r="C18" s="1171" t="s">
        <v>56</v>
      </c>
    </row>
    <row r="19" spans="1:3" ht="14.25">
      <c r="A19" s="3247"/>
      <c r="B19" s="3243" t="s">
        <v>57</v>
      </c>
      <c r="C19" s="3244"/>
    </row>
    <row r="20" spans="1:3" ht="14.25">
      <c r="A20" s="1172" t="s">
        <v>58</v>
      </c>
      <c r="B20" s="1173"/>
      <c r="C20" s="1174"/>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5" t="s">
        <v>837</v>
      </c>
    </row>
    <row r="25" spans="1:3" ht="14.25">
      <c r="A25" s="3246"/>
      <c r="B25" s="3250"/>
      <c r="C25" s="1175" t="s">
        <v>838</v>
      </c>
    </row>
    <row r="26" spans="1:3" ht="14.25">
      <c r="A26" s="3246"/>
      <c r="B26" s="3250"/>
      <c r="C26" s="1175" t="s">
        <v>839</v>
      </c>
    </row>
    <row r="27" spans="1:3" ht="14.25">
      <c r="A27" s="3246"/>
      <c r="B27" s="3250"/>
      <c r="C27" s="1175" t="s">
        <v>840</v>
      </c>
    </row>
    <row r="28" spans="1:3" ht="14.25">
      <c r="A28" s="3246"/>
      <c r="B28" s="3250"/>
      <c r="C28" s="1175" t="s">
        <v>841</v>
      </c>
    </row>
    <row r="29" spans="1:3" ht="14.25">
      <c r="A29" s="3246"/>
      <c r="B29" s="3250"/>
      <c r="C29" s="1175" t="s">
        <v>842</v>
      </c>
    </row>
    <row r="30" spans="1:3" ht="14.25">
      <c r="A30" s="3246"/>
      <c r="B30" s="3250"/>
      <c r="C30" s="1175" t="s">
        <v>843</v>
      </c>
    </row>
    <row r="31" spans="1:3" ht="14.25">
      <c r="A31" s="3246"/>
      <c r="B31" s="3250"/>
      <c r="C31" s="1175" t="s">
        <v>844</v>
      </c>
    </row>
    <row r="32" spans="1:3" ht="14.25">
      <c r="A32" s="3246"/>
      <c r="B32" s="3250"/>
      <c r="C32" s="1175" t="s">
        <v>1647</v>
      </c>
    </row>
    <row r="33" spans="1:3" ht="14.25">
      <c r="A33" s="3246"/>
      <c r="B33" s="3240" t="s">
        <v>1653</v>
      </c>
      <c r="C33" s="1175" t="s">
        <v>1648</v>
      </c>
    </row>
    <row r="34" spans="1:3" ht="14.25">
      <c r="A34" s="3246"/>
      <c r="B34" s="3241"/>
      <c r="C34" s="1180" t="s">
        <v>1649</v>
      </c>
    </row>
    <row r="35" spans="1:3" ht="14.25">
      <c r="A35" s="3246"/>
      <c r="B35" s="3241"/>
      <c r="C35" s="1181" t="s">
        <v>1650</v>
      </c>
    </row>
    <row r="36" spans="1:3" ht="14.25">
      <c r="A36" s="3246"/>
      <c r="B36" s="3241"/>
      <c r="C36" s="1181" t="s">
        <v>1651</v>
      </c>
    </row>
    <row r="37" spans="1:3" ht="14.25">
      <c r="A37" s="3246"/>
      <c r="B37" s="324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5">
        <f ca="1">TODAY()</f>
        <v>43238</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27">
        <v>43849</v>
      </c>
      <c r="D4" s="2340" t="s">
        <v>1915</v>
      </c>
      <c r="E4" s="2340">
        <f ca="1">IF(F4&lt;B2,"已过期",96010014)</f>
        <v>96010014</v>
      </c>
      <c r="F4" s="3028">
        <v>47118</v>
      </c>
    </row>
    <row r="5" spans="1:6" ht="20.25" customHeight="1">
      <c r="A5" s="2340" t="s">
        <v>1916</v>
      </c>
      <c r="B5" s="2340">
        <f ca="1">IF(C5&lt;B2,"已过期",1119970074)</f>
        <v>1119970074</v>
      </c>
      <c r="C5" s="3027">
        <v>43849</v>
      </c>
      <c r="D5" s="2340" t="s">
        <v>1916</v>
      </c>
      <c r="E5" s="2340">
        <f ca="1">IF(F5&lt;B2,"已过期",2002110027)</f>
        <v>2002110027</v>
      </c>
      <c r="F5" s="3028">
        <v>46752</v>
      </c>
    </row>
    <row r="6" spans="1:6" ht="20.25" customHeight="1">
      <c r="A6" s="2340" t="s">
        <v>1917</v>
      </c>
      <c r="B6" s="2340">
        <f ca="1">IF(C6&lt;B2,"已过期",1119970111)</f>
        <v>1119970111</v>
      </c>
      <c r="C6" s="3027">
        <v>43849</v>
      </c>
      <c r="D6" s="2340" t="s">
        <v>1917</v>
      </c>
      <c r="E6" s="2340">
        <f ca="1">IF(F6&lt;B2,"已过期",94010078)</f>
        <v>94010078</v>
      </c>
      <c r="F6" s="3028">
        <v>46387</v>
      </c>
    </row>
    <row r="7" spans="1:6" ht="20.25" customHeight="1">
      <c r="A7" s="2340" t="s">
        <v>1918</v>
      </c>
      <c r="B7" s="2340">
        <f ca="1">IF(C7&lt;B2,"已过期",1120050019)</f>
        <v>1120050019</v>
      </c>
      <c r="C7" s="3027">
        <v>43359</v>
      </c>
      <c r="D7" s="2340" t="s">
        <v>1918</v>
      </c>
      <c r="E7" s="2340">
        <f ca="1">IF(F7&lt;B2,"已过期",2002110030)</f>
        <v>2002110030</v>
      </c>
      <c r="F7" s="3028">
        <v>46387</v>
      </c>
    </row>
    <row r="8" spans="1:6" ht="20.25" customHeight="1">
      <c r="A8" s="2340" t="s">
        <v>1919</v>
      </c>
      <c r="B8" s="2340">
        <f ca="1">IF(C8&lt;B2,"已过期",1120000080)</f>
        <v>1120000080</v>
      </c>
      <c r="C8" s="3027">
        <v>43849</v>
      </c>
      <c r="D8" s="2340" t="s">
        <v>1919</v>
      </c>
      <c r="E8" s="2340">
        <f ca="1">IF(F8&lt;B2,"已过期",2000110082)</f>
        <v>2000110082</v>
      </c>
      <c r="F8" s="3028">
        <v>46387</v>
      </c>
    </row>
    <row r="9" spans="1:6" ht="20.25" customHeight="1">
      <c r="A9" s="2340" t="s">
        <v>1920</v>
      </c>
      <c r="B9" s="2340">
        <f ca="1">IF(C9&lt;B2,"已过期",1419970001)</f>
        <v>1419970001</v>
      </c>
      <c r="C9" s="3027">
        <v>43867</v>
      </c>
      <c r="D9" s="2340" t="s">
        <v>1920</v>
      </c>
      <c r="E9" s="2340">
        <f ca="1">IF(F9&lt;B2,"已过期",2002110125)</f>
        <v>2002110125</v>
      </c>
      <c r="F9" s="3028">
        <v>47118</v>
      </c>
    </row>
    <row r="10" spans="1:6" ht="20.25" customHeight="1">
      <c r="A10" s="2340" t="s">
        <v>1921</v>
      </c>
      <c r="B10" s="2340">
        <f ca="1">IF(C10&lt;B2,"已过期",1120060040)</f>
        <v>1120060040</v>
      </c>
      <c r="C10" s="3027">
        <v>43483</v>
      </c>
      <c r="D10" s="2340" t="s">
        <v>1921</v>
      </c>
      <c r="E10" s="2340">
        <f ca="1">IF(F10&lt;B2,"已过期",2004110096)</f>
        <v>2004110096</v>
      </c>
      <c r="F10" s="3028">
        <v>47118</v>
      </c>
    </row>
    <row r="11" spans="1:6" ht="20.25" customHeight="1">
      <c r="A11" s="2340" t="s">
        <v>1922</v>
      </c>
      <c r="B11" s="2340">
        <f ca="1">IF(C11&lt;B2,"已过期",1120100036)</f>
        <v>1120100036</v>
      </c>
      <c r="C11" s="3027">
        <v>43622</v>
      </c>
      <c r="D11" s="2340" t="s">
        <v>1922</v>
      </c>
      <c r="E11" s="2340">
        <f ca="1">IF(F11&lt;B2,"已过期",2010110070)</f>
        <v>2010110070</v>
      </c>
      <c r="F11" s="3028">
        <v>47907</v>
      </c>
    </row>
    <row r="12" spans="1:6" ht="20.25" customHeight="1">
      <c r="A12" s="2340" t="s">
        <v>2975</v>
      </c>
      <c r="B12" s="2340">
        <v>1120110054</v>
      </c>
      <c r="C12" s="3027">
        <v>43937</v>
      </c>
      <c r="D12" s="2340" t="s">
        <v>2975</v>
      </c>
      <c r="E12" s="2340">
        <v>2008110060</v>
      </c>
      <c r="F12" s="3028">
        <v>47177</v>
      </c>
    </row>
    <row r="13" spans="1:6" ht="20.25" customHeight="1">
      <c r="A13" s="2340" t="s">
        <v>1923</v>
      </c>
      <c r="B13" s="2340">
        <f ca="1">IF(C13&lt;B2,"已过期",1120070131)</f>
        <v>1120070131</v>
      </c>
      <c r="C13" s="3027">
        <v>43814</v>
      </c>
      <c r="D13" s="2340" t="s">
        <v>1923</v>
      </c>
      <c r="E13" s="2340">
        <v>2014110011</v>
      </c>
      <c r="F13" s="3028">
        <v>49302</v>
      </c>
    </row>
    <row r="14" spans="1:6" ht="20.25" customHeight="1">
      <c r="A14" s="2340" t="s">
        <v>1924</v>
      </c>
      <c r="B14" s="2340">
        <f ca="1">IF(C14&lt;B2,"已过期",1120130020)</f>
        <v>1120130020</v>
      </c>
      <c r="C14" s="3027">
        <v>43622</v>
      </c>
      <c r="D14" s="2340"/>
      <c r="E14" s="2340"/>
      <c r="F14" s="2340"/>
    </row>
    <row r="15" spans="1:6" ht="20.25" customHeight="1">
      <c r="A15" s="2340" t="s">
        <v>2575</v>
      </c>
      <c r="B15" s="2340">
        <v>1120070085</v>
      </c>
      <c r="C15" s="3027">
        <v>43814</v>
      </c>
      <c r="D15" s="2340" t="s">
        <v>2575</v>
      </c>
      <c r="E15" s="2340">
        <v>2004110128</v>
      </c>
      <c r="F15" s="3028">
        <v>47118</v>
      </c>
    </row>
    <row r="16" spans="1:6" ht="20.25" customHeight="1">
      <c r="A16" s="2340" t="s">
        <v>1925</v>
      </c>
      <c r="B16" s="2340">
        <f ca="1">IF(C16&lt;B2,"已过期",1120140022)</f>
        <v>1120140022</v>
      </c>
      <c r="C16" s="3027">
        <v>44029</v>
      </c>
      <c r="D16" s="2340" t="s">
        <v>1925</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1926</v>
      </c>
      <c r="E21" s="2340">
        <f ca="1">IF(F21&lt;B2,"已过期",2011110090)</f>
        <v>2011110090</v>
      </c>
      <c r="F21" s="3028">
        <v>48302</v>
      </c>
    </row>
    <row r="22" spans="1:7" ht="20.25" customHeight="1">
      <c r="A22" s="2340" t="s">
        <v>1927</v>
      </c>
      <c r="B22" s="2340">
        <f ca="1">IF(C22&lt;B2,"已过期",1120020033)</f>
        <v>1120020033</v>
      </c>
      <c r="C22" s="3027">
        <v>43304</v>
      </c>
      <c r="D22" s="2340" t="s">
        <v>1927</v>
      </c>
      <c r="E22" s="2340">
        <f ca="1">IF(F22&lt;B2,"已过期",2000110137)</f>
        <v>2000110137</v>
      </c>
      <c r="F22" s="3028">
        <v>46387</v>
      </c>
    </row>
    <row r="23" spans="1:7" ht="20.25" customHeight="1">
      <c r="A23" s="2340" t="s">
        <v>1928</v>
      </c>
      <c r="B23" s="2340">
        <f ca="1">IF(C23&lt;B2,"已过期",1120130048)</f>
        <v>1120130048</v>
      </c>
      <c r="C23" s="3027">
        <v>43686</v>
      </c>
      <c r="D23" s="2340"/>
      <c r="E23" s="2340"/>
      <c r="F23" s="2340"/>
    </row>
    <row r="24" spans="1:7" s="2344" customFormat="1" ht="20.25" customHeight="1">
      <c r="A24" s="2342" t="s">
        <v>2053</v>
      </c>
      <c r="B24" s="2342" t="s">
        <v>2053</v>
      </c>
      <c r="C24" s="3027"/>
      <c r="D24" s="3029" t="s">
        <v>2053</v>
      </c>
      <c r="E24" s="2342" t="s">
        <v>2053</v>
      </c>
      <c r="F24" s="2343"/>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2546</v>
      </c>
      <c r="R1" s="2603" t="s">
        <v>2540</v>
      </c>
      <c r="S1" s="6" t="s">
        <v>146</v>
      </c>
      <c r="T1" s="7" t="s">
        <v>147</v>
      </c>
      <c r="U1" s="6" t="s">
        <v>148</v>
      </c>
      <c r="V1" s="6" t="s">
        <v>149</v>
      </c>
      <c r="W1" s="1003"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4" t="s">
        <v>2952</v>
      </c>
      <c r="C18" s="1552"/>
    </row>
    <row r="19" spans="1:3">
      <c r="A19" s="8" t="s">
        <v>120</v>
      </c>
      <c r="B19" s="3134" t="s">
        <v>2960</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53"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5"/>
      <c r="E53" s="1765"/>
    </row>
    <row r="54" spans="1:5">
      <c r="A54" s="3253"/>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3"/>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3"/>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3"/>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2018-05-18T05:23:32Z</dcterms:modified>
</cp:coreProperties>
</file>