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不动产收益法 (地下商业)" sheetId="72" r:id="rId41"/>
    <sheet name="土地案例" sheetId="68" r:id="rId42"/>
    <sheet name="车库案例" sheetId="69" r:id="rId43"/>
    <sheet name="办公案例" sheetId="70" r:id="rId44"/>
    <sheet name="仓储租金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9" i="39" l="1"/>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8" i="72"/>
  <c r="F7" i="72"/>
  <c r="F9" i="72"/>
  <c r="L47" i="72"/>
  <c r="L59" i="72" l="1"/>
  <c r="F49" i="72"/>
  <c r="M7" i="72"/>
  <c r="F50" i="72"/>
  <c r="C48" i="72" s="1"/>
  <c r="P62" i="72"/>
  <c r="G35" i="9"/>
  <c r="I48" i="34"/>
  <c r="G48" i="34"/>
  <c r="E48" i="34"/>
  <c r="F6" i="72"/>
  <c r="M8" i="72"/>
  <c r="F13" i="72"/>
  <c r="J15" i="72"/>
  <c r="M21" i="72"/>
  <c r="F26" i="72"/>
  <c r="M27" i="72"/>
  <c r="J36" i="72"/>
  <c r="F38" i="72"/>
  <c r="L48" i="72"/>
  <c r="M28" i="72"/>
  <c r="M6" i="72"/>
  <c r="M9" i="72"/>
  <c r="C14" i="72"/>
  <c r="F16" i="72"/>
  <c r="M23" i="72"/>
  <c r="M26" i="72"/>
  <c r="M29" i="72"/>
  <c r="F35" i="72"/>
  <c r="F37" i="72"/>
  <c r="F40" i="72"/>
  <c r="F43" i="72"/>
  <c r="M22" i="72"/>
  <c r="M24" i="72"/>
  <c r="F36" i="72"/>
  <c r="F42" i="72"/>
  <c r="F63" i="72" l="1"/>
  <c r="F70" i="72"/>
  <c r="F67" i="72"/>
  <c r="F64" i="72"/>
  <c r="F62" i="72"/>
  <c r="C61" i="72" s="1"/>
  <c r="C34" i="72"/>
  <c r="C18" i="72"/>
  <c r="C15" i="72"/>
  <c r="J6" i="72"/>
  <c r="L56" i="72"/>
  <c r="L57" i="72"/>
  <c r="L60" i="72"/>
  <c r="J60" i="72"/>
  <c r="Q49" i="72" s="1"/>
  <c r="L58" i="72"/>
  <c r="I54" i="72"/>
  <c r="J57" i="72"/>
  <c r="J55" i="72" s="1"/>
  <c r="J58" i="72" s="1"/>
  <c r="Q51" i="72" s="1"/>
  <c r="J53" i="72"/>
  <c r="J59" i="72"/>
  <c r="F65" i="72"/>
  <c r="Q72" i="72"/>
  <c r="C27" i="72"/>
  <c r="J20" i="72"/>
  <c r="C6" i="72"/>
  <c r="Q75" i="72"/>
  <c r="Q62" i="72"/>
  <c r="C30" i="36"/>
  <c r="C17" i="72"/>
  <c r="C16" i="72"/>
  <c r="C19" i="72" l="1"/>
  <c r="Q53" i="72"/>
  <c r="F1" i="72"/>
  <c r="Q61" i="72"/>
  <c r="Q74" i="72"/>
  <c r="Q67" i="72"/>
  <c r="Q58" i="72"/>
  <c r="C34" i="34"/>
  <c r="AT18" i="3"/>
  <c r="AL17" i="3"/>
  <c r="I13" i="3"/>
  <c r="C20" i="72" l="1"/>
  <c r="C26" i="72" s="1"/>
  <c r="K3" i="69"/>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8" i="67"/>
  <c r="B14" i="67"/>
  <c r="E11" i="67"/>
  <c r="E12" i="67"/>
  <c r="B9" i="67"/>
  <c r="F13" i="67"/>
  <c r="E9" i="67"/>
  <c r="F12" i="67"/>
  <c r="B12" i="67"/>
  <c r="E13" i="67"/>
  <c r="F11" i="67"/>
  <c r="B10" i="67"/>
  <c r="E14" i="67"/>
  <c r="F14" i="67"/>
  <c r="B11" i="67"/>
  <c r="B13" i="67"/>
  <c r="E10" i="67"/>
  <c r="F9" i="67"/>
  <c r="B8"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3" i="65"/>
  <c r="I3" i="65"/>
  <c r="N4" i="65"/>
  <c r="N5" i="65"/>
  <c r="C4" i="65" l="1"/>
  <c r="B39" i="1" s="1"/>
  <c r="J4" i="65"/>
  <c r="J7" i="65"/>
  <c r="J3" i="65"/>
  <c r="I7" i="65"/>
  <c r="J5" i="65"/>
  <c r="I5" i="65"/>
  <c r="J6" i="65"/>
  <c r="I4" i="65"/>
  <c r="I6" i="65"/>
  <c r="M11" i="72" l="1"/>
  <c r="J10" i="72" s="1"/>
  <c r="J5" i="72" s="1"/>
  <c r="F11" i="72"/>
  <c r="E20" i="46"/>
  <c r="J1" i="65"/>
  <c r="M5" i="54"/>
  <c r="A23" i="51"/>
  <c r="E3" i="65"/>
  <c r="C52" i="72" l="1"/>
  <c r="C47" i="72" s="1"/>
  <c r="C10" i="72"/>
  <c r="C5" i="72" s="1"/>
  <c r="J26" i="72"/>
  <c r="J24" i="72"/>
  <c r="J18" i="72"/>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2" l="1"/>
  <c r="C33" i="72"/>
  <c r="C32" i="72"/>
  <c r="C59" i="72"/>
  <c r="C65" i="72"/>
  <c r="C60" i="72"/>
  <c r="AJ12" i="46"/>
  <c r="AH12" i="46"/>
  <c r="AF12" i="46"/>
  <c r="AD12" i="46"/>
  <c r="AB12" i="46"/>
  <c r="Z12" i="46"/>
  <c r="AI12" i="46"/>
  <c r="AG12" i="46"/>
  <c r="AE12" i="46"/>
  <c r="AC12" i="46"/>
  <c r="AA12" i="46"/>
  <c r="B73" i="63"/>
  <c r="C31" i="72" l="1"/>
  <c r="C58" i="72"/>
  <c r="A21" i="64"/>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W22" i="36" l="1"/>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31" i="44"/>
  <c r="F9" i="44"/>
  <c r="F10" i="44"/>
  <c r="F16" i="15"/>
  <c r="M9" i="15"/>
  <c r="F38" i="44"/>
  <c r="M6" i="15"/>
  <c r="F7" i="15"/>
  <c r="M11" i="44"/>
  <c r="M28" i="15"/>
  <c r="M8" i="15"/>
  <c r="F15" i="44"/>
  <c r="F39" i="44"/>
  <c r="F26" i="15"/>
  <c r="F18" i="44"/>
  <c r="F40" i="44"/>
  <c r="M25" i="44"/>
  <c r="J17" i="44"/>
  <c r="J36" i="15"/>
  <c r="M30" i="44"/>
  <c r="F45" i="44"/>
  <c r="F36" i="15"/>
  <c r="F13" i="15"/>
  <c r="M24" i="44"/>
  <c r="M28" i="44"/>
  <c r="F11" i="44"/>
  <c r="M8" i="44"/>
  <c r="F9" i="15"/>
  <c r="F43" i="44"/>
  <c r="F28" i="44"/>
  <c r="M23" i="15"/>
  <c r="L48" i="44"/>
  <c r="M26" i="15"/>
  <c r="L49" i="44"/>
  <c r="M26" i="44"/>
  <c r="M10" i="44"/>
  <c r="F38" i="15"/>
  <c r="C24" i="72" l="1"/>
  <c r="C23" i="72"/>
  <c r="C29" i="72" s="1"/>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6" i="1"/>
  <c r="F33" i="44"/>
  <c r="M17" i="15"/>
  <c r="F31" i="15"/>
  <c r="M19" i="44"/>
  <c r="J15" i="15"/>
  <c r="F42" i="15"/>
  <c r="C16" i="15"/>
  <c r="L47" i="15"/>
  <c r="F43" i="15"/>
  <c r="F40" i="15"/>
  <c r="L48" i="15"/>
  <c r="M22" i="15"/>
  <c r="C18" i="44"/>
  <c r="M24" i="15"/>
  <c r="F8" i="15"/>
  <c r="F37" i="15"/>
  <c r="M29" i="15"/>
  <c r="J19" i="72" l="1"/>
  <c r="J17" i="72" s="1"/>
  <c r="C13" i="72"/>
  <c r="C56" i="72"/>
  <c r="C63" i="72" s="1"/>
  <c r="Q50" i="72"/>
  <c r="C36" i="72"/>
  <c r="J14" i="72"/>
  <c r="J7" i="36"/>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AE7" i="1"/>
  <c r="M29" i="44"/>
  <c r="F7" i="67"/>
  <c r="M27" i="15"/>
  <c r="AE9" i="1"/>
  <c r="F41" i="72" s="1"/>
  <c r="F68" i="72" l="1"/>
  <c r="J29" i="72"/>
  <c r="J13" i="72"/>
  <c r="J23" i="72" s="1"/>
  <c r="J22" i="72"/>
  <c r="J16" i="72" s="1"/>
  <c r="J25" i="72" s="1"/>
  <c r="Q71" i="72"/>
  <c r="C37" i="72"/>
  <c r="C30" i="72" s="1"/>
  <c r="C39" i="72" s="1"/>
  <c r="J35" i="72"/>
  <c r="C55" i="72"/>
  <c r="C64" i="72" s="1"/>
  <c r="C57" i="72" s="1"/>
  <c r="C66" i="72" s="1"/>
  <c r="C67" i="72" s="1"/>
  <c r="V36" i="36"/>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C19" i="44"/>
  <c r="F41" i="15"/>
  <c r="C17" i="15"/>
  <c r="F46" i="44"/>
  <c r="E7" i="67"/>
  <c r="C70" i="72" l="1"/>
  <c r="C40" i="72"/>
  <c r="C46" i="72" s="1"/>
  <c r="Q70" i="72"/>
  <c r="Q69" i="72" s="1"/>
  <c r="J39" i="72"/>
  <c r="J40" i="72" s="1"/>
  <c r="R37" i="36"/>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2"/>
  <c r="B7" i="67"/>
  <c r="Q68" i="72" l="1"/>
  <c r="Q66" i="72"/>
  <c r="Q76" i="72" s="1"/>
  <c r="Q57" i="72"/>
  <c r="Q63" i="72" s="1"/>
  <c r="Q48" i="72"/>
  <c r="Q54" i="72" s="1"/>
  <c r="C43" i="72"/>
  <c r="B2" i="72"/>
  <c r="J42" i="72"/>
  <c r="J43" i="72" s="1"/>
  <c r="C36" i="36"/>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6" i="44"/>
  <c r="C14" i="15"/>
  <c r="B3" i="72" l="1"/>
  <c r="G8" i="12" s="1"/>
  <c r="G10" i="12"/>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10" i="15" l="1"/>
  <c r="C5" i="15" s="1"/>
  <c r="C40" i="44"/>
  <c r="C34" i="44"/>
  <c r="R9" i="1"/>
  <c r="R10" i="1"/>
  <c r="R7" i="1"/>
  <c r="C21" i="44"/>
  <c r="C22" i="44" s="1"/>
  <c r="C25" i="44" s="1"/>
  <c r="C19" i="15"/>
  <c r="C20" i="15" s="1"/>
  <c r="C23" i="15" s="1"/>
  <c r="C18" i="12"/>
  <c r="D31" i="6"/>
  <c r="I6" i="6" s="1"/>
  <c r="R27" i="6"/>
  <c r="C18" i="43"/>
  <c r="K70" i="39"/>
  <c r="J72" i="39"/>
  <c r="K65" i="40"/>
  <c r="J67" i="40"/>
  <c r="C65" i="15"/>
  <c r="C59" i="15"/>
  <c r="F35" i="15"/>
  <c r="L52" i="44"/>
  <c r="M23" i="44"/>
  <c r="M21" i="15"/>
  <c r="F37" i="44"/>
  <c r="C38" i="15" l="1"/>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<sst xmlns="http://schemas.openxmlformats.org/spreadsheetml/2006/main" count="7904" uniqueCount="3337">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</sst>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65661</v>
      </c>
    </row>
    <row r="46" spans="1:2">
      <c r="A46" s="2897" t="s">
        <v>2722</v>
      </c>
      <c r="B46" s="2898">
        <f ca="1">'预评函-2'!P5</f>
        <v>111658</v>
      </c>
    </row>
    <row r="47" spans="1:2">
      <c r="A47" s="2897" t="s">
        <v>2723</v>
      </c>
      <c r="B47" s="2898">
        <f ca="1">'预评函-2'!Q5</f>
        <v>22663</v>
      </c>
    </row>
    <row r="48" spans="1:2">
      <c r="A48" s="2897" t="s">
        <v>2724</v>
      </c>
      <c r="B48" s="2898">
        <f ca="1">'预评函-2'!R5</f>
        <v>148806</v>
      </c>
    </row>
    <row r="49" spans="1:2">
      <c r="A49" s="2897" t="s">
        <v>2740</v>
      </c>
      <c r="B49" s="2898" t="str">
        <f>'预评函-2'!A6</f>
        <v>抵押价格</v>
      </c>
    </row>
    <row r="50" spans="1:2">
      <c r="A50" s="2897" t="s">
        <v>2725</v>
      </c>
      <c r="B50" s="2898">
        <f ca="1">'预评函-2'!R6</f>
        <v>148806</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4" t="str">
        <f>IF(B10="北京市","北京市",C10)&amp;F10&amp;B16&amp;"国有建设用地使用权"&amp;B9&amp;"预评估"</f>
        <v>北京市海淀区“海淀北部地区整体开发”中关村环保科技园HD-0303-0071地块出让国有建设用地使用权抵押价格预评估</v>
      </c>
      <c r="C1" s="3275"/>
      <c r="D1" s="3275"/>
      <c r="E1" s="3275"/>
      <c r="F1" s="3275"/>
      <c r="G1" s="3275"/>
      <c r="H1" s="3275"/>
      <c r="I1" s="3276"/>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80"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81"/>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7"/>
      <c r="C12" s="3278"/>
      <c r="D12" s="3279"/>
      <c r="E12" s="1694" t="s">
        <v>2060</v>
      </c>
      <c r="F12" s="3295" t="s">
        <v>3063</v>
      </c>
      <c r="G12" s="3296"/>
      <c r="H12" s="3296"/>
      <c r="I12" s="3297"/>
      <c r="J12" s="1689"/>
      <c r="K12" s="1769"/>
      <c r="L12" s="1718"/>
      <c r="M12" s="1718"/>
      <c r="N12" s="1689"/>
      <c r="O12" s="1690"/>
      <c r="P12" s="1689"/>
      <c r="Q12" s="1689"/>
      <c r="R12" s="1689"/>
      <c r="S12" s="1689"/>
      <c r="T12" s="1689"/>
      <c r="U12" s="1689"/>
    </row>
    <row r="13" spans="1:21">
      <c r="A13" s="1682" t="s">
        <v>2058</v>
      </c>
      <c r="B13" s="3277"/>
      <c r="C13" s="3278"/>
      <c r="D13" s="3279"/>
      <c r="E13" s="1694" t="s">
        <v>2060</v>
      </c>
      <c r="F13" s="3295" t="s">
        <v>3065</v>
      </c>
      <c r="G13" s="3296"/>
      <c r="H13" s="3296"/>
      <c r="I13" s="3297"/>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2"/>
      <c r="E20" s="3293"/>
      <c r="F20" s="3293"/>
      <c r="G20" s="3293"/>
      <c r="H20" s="3293"/>
      <c r="I20" s="3294"/>
      <c r="J20" s="1689"/>
      <c r="K20" s="1769"/>
      <c r="L20" s="1718"/>
      <c r="M20" s="1718"/>
      <c r="N20" s="1689"/>
      <c r="O20" s="1690"/>
      <c r="P20" s="1689"/>
      <c r="Q20" s="1689"/>
      <c r="R20" s="1689"/>
      <c r="S20" s="1689"/>
      <c r="T20" s="1689"/>
      <c r="U20" s="1689"/>
    </row>
    <row r="21" spans="1:21">
      <c r="A21" s="1758" t="s">
        <v>1960</v>
      </c>
      <c r="B21" s="1759" t="s">
        <v>1961</v>
      </c>
      <c r="C21" s="1754">
        <f>'数据-汇总表'!E3</f>
        <v>65661</v>
      </c>
      <c r="D21" s="1755" t="s">
        <v>1962</v>
      </c>
      <c r="E21" s="3282" t="s">
        <v>3064</v>
      </c>
      <c r="F21" s="3283"/>
      <c r="G21" s="3283"/>
      <c r="H21" s="3283"/>
      <c r="I21" s="3284"/>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82" t="s">
        <v>3062</v>
      </c>
      <c r="F22" s="3283"/>
      <c r="G22" s="3283"/>
      <c r="H22" s="3283"/>
      <c r="I22" s="3284"/>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85" t="s">
        <v>1968</v>
      </c>
      <c r="C24" s="3286"/>
      <c r="D24" s="3287" t="s">
        <v>1969</v>
      </c>
      <c r="E24" s="3288"/>
      <c r="F24" s="1703" t="s">
        <v>1970</v>
      </c>
      <c r="G24" s="1689"/>
      <c r="H24" s="1689"/>
      <c r="I24" s="1702"/>
      <c r="J24" s="1689"/>
      <c r="K24" s="3273"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3"/>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3"/>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9" t="s">
        <v>2000</v>
      </c>
      <c r="B31" s="1759" t="s">
        <v>2001</v>
      </c>
      <c r="C31" s="3298" t="s">
        <v>3070</v>
      </c>
      <c r="D31" s="3299"/>
      <c r="E31" s="1689"/>
      <c r="F31" s="1689"/>
      <c r="G31" s="1689"/>
      <c r="H31" s="1689"/>
      <c r="I31" s="1702"/>
      <c r="J31" s="1689"/>
      <c r="K31" s="2477"/>
      <c r="L31" s="1689"/>
      <c r="M31" s="1689"/>
      <c r="N31" s="1689"/>
      <c r="O31" s="1689"/>
      <c r="P31" s="1689"/>
      <c r="Q31" s="1689"/>
      <c r="R31" s="1689"/>
      <c r="S31" s="1689"/>
      <c r="T31" s="1689"/>
      <c r="U31" s="1689"/>
    </row>
    <row r="32" spans="1:21">
      <c r="A32" s="3259"/>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59"/>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60"/>
      <c r="B34" s="1657" t="s">
        <v>2004</v>
      </c>
      <c r="C34" s="3261"/>
      <c r="D34" s="3262"/>
      <c r="E34" s="1689"/>
      <c r="F34" s="1689"/>
      <c r="G34" s="1689"/>
      <c r="H34" s="1689"/>
      <c r="I34" s="1702"/>
      <c r="J34" s="1689"/>
      <c r="K34" s="2477"/>
      <c r="L34" s="1689"/>
      <c r="M34" s="1689"/>
      <c r="N34" s="1689"/>
      <c r="O34" s="1689"/>
      <c r="P34" s="1689"/>
      <c r="Q34" s="1689"/>
      <c r="R34" s="1689"/>
      <c r="S34" s="1689"/>
      <c r="T34" s="1689"/>
      <c r="U34" s="1689"/>
    </row>
    <row r="35" spans="1:21">
      <c r="A35" s="3263" t="s">
        <v>846</v>
      </c>
      <c r="B35" s="1717" t="s">
        <v>3072</v>
      </c>
      <c r="C35" s="1771" t="str">
        <f>IF(B35="场地平整","——","具体情况：")</f>
        <v>——</v>
      </c>
      <c r="D35" s="3265"/>
      <c r="E35" s="3266"/>
      <c r="F35" s="3266"/>
      <c r="G35" s="3266"/>
      <c r="H35" s="3266"/>
      <c r="I35" s="3267"/>
      <c r="J35" s="1689"/>
      <c r="K35" s="1770"/>
      <c r="L35" s="1718"/>
      <c r="M35" s="1718"/>
      <c r="N35" s="1689"/>
      <c r="O35" s="1690"/>
      <c r="P35" s="1689"/>
      <c r="Q35" s="1689"/>
      <c r="R35" s="1689"/>
      <c r="S35" s="1689"/>
      <c r="T35" s="1689"/>
      <c r="U35" s="1689"/>
    </row>
    <row r="36" spans="1:21">
      <c r="A36" s="3259"/>
      <c r="B36" s="3268" t="s">
        <v>2053</v>
      </c>
      <c r="C36" s="3269"/>
      <c r="D36" s="1787" t="s">
        <v>3073</v>
      </c>
      <c r="E36" s="3270"/>
      <c r="F36" s="3270"/>
      <c r="G36" s="1682" t="str">
        <f>IF(B35="场地未平整","估价结果处理","")</f>
        <v/>
      </c>
      <c r="H36" s="3271"/>
      <c r="I36" s="3271"/>
      <c r="J36" s="1689"/>
      <c r="K36" s="1770"/>
      <c r="L36" s="1718"/>
      <c r="M36" s="1718"/>
      <c r="N36" s="1689"/>
      <c r="O36" s="1690"/>
      <c r="P36" s="1689"/>
      <c r="Q36" s="1689"/>
      <c r="R36" s="1689"/>
      <c r="S36" s="1689"/>
      <c r="T36" s="1689"/>
      <c r="U36" s="1689"/>
    </row>
    <row r="37" spans="1:21" ht="28.5">
      <c r="A37" s="3259"/>
      <c r="B37" s="3289"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9"/>
      <c r="B38" s="3290"/>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60"/>
      <c r="B39" s="329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2" t="s">
        <v>1985</v>
      </c>
      <c r="T40" s="1726" t="str">
        <f>NUMBERSTRING(7-K40,1)&amp;"通"</f>
        <v>七通</v>
      </c>
      <c r="U40" s="1689"/>
    </row>
    <row r="41" spans="1:21">
      <c r="A41" s="1659"/>
      <c r="B41" s="3264" t="s">
        <v>1721</v>
      </c>
      <c r="C41" s="3264"/>
      <c r="D41" s="3264"/>
      <c r="E41" s="326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2"/>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65661</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71432</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5262</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65661</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5357</v>
      </c>
      <c r="BM5" s="29">
        <f t="shared" si="1"/>
        <v>0</v>
      </c>
      <c r="BN5" s="29">
        <f t="shared" si="1"/>
        <v>0</v>
      </c>
      <c r="BO5" s="29">
        <f t="shared" si="1"/>
        <v>0</v>
      </c>
      <c r="BP5" s="29">
        <f t="shared" si="1"/>
        <v>0</v>
      </c>
      <c r="BQ5" s="29">
        <f t="shared" si="1"/>
        <v>95</v>
      </c>
      <c r="BR5" s="29">
        <f t="shared" si="1"/>
        <v>5262</v>
      </c>
      <c r="BS5" s="29">
        <f t="shared" si="1"/>
        <v>0</v>
      </c>
      <c r="BT5" s="30">
        <f t="shared" si="1"/>
        <v>0</v>
      </c>
    </row>
    <row r="6" spans="1:72" s="37" customFormat="1" ht="12.75">
      <c r="A6" s="26" t="s">
        <v>169</v>
      </c>
      <c r="B6" s="31"/>
      <c r="C6" s="31"/>
      <c r="D6" s="32"/>
      <c r="E6" s="27">
        <f>H6+AC6+AT6</f>
        <v>13326.989999999998</v>
      </c>
      <c r="F6" s="27" t="s">
        <v>1</v>
      </c>
      <c r="G6" s="27" t="s">
        <v>2</v>
      </c>
      <c r="H6" s="33">
        <f>SUMIF(I$12:AB$12,"总值",I6:AB6)</f>
        <v>12239.699999999997</v>
      </c>
      <c r="I6" s="27">
        <f t="shared" ref="I6:AB6" si="2">ROUND($A$3*I5/$B$3,2)</f>
        <v>9438.9599999999991</v>
      </c>
      <c r="J6" s="27">
        <f t="shared" si="2"/>
        <v>0</v>
      </c>
      <c r="K6" s="27">
        <f t="shared" si="2"/>
        <v>0</v>
      </c>
      <c r="L6" s="27">
        <f t="shared" si="2"/>
        <v>0</v>
      </c>
      <c r="M6" s="27">
        <f t="shared" si="2"/>
        <v>1851.46</v>
      </c>
      <c r="N6" s="27">
        <f t="shared" si="2"/>
        <v>0</v>
      </c>
      <c r="O6" s="27">
        <f t="shared" si="2"/>
        <v>356.21</v>
      </c>
      <c r="P6" s="27">
        <f t="shared" si="2"/>
        <v>0</v>
      </c>
      <c r="Q6" s="27">
        <f t="shared" si="2"/>
        <v>390.51</v>
      </c>
      <c r="R6" s="27">
        <f t="shared" si="2"/>
        <v>0</v>
      </c>
      <c r="S6" s="27">
        <f t="shared" si="2"/>
        <v>202.56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1087.29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19.28</v>
      </c>
      <c r="AM6" s="27">
        <f t="shared" si="3"/>
        <v>0</v>
      </c>
      <c r="AN6" s="27">
        <f t="shared" si="3"/>
        <v>1068.01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12239.7</v>
      </c>
      <c r="BB6" s="27">
        <f>ROUND($AY$6*BB5/$AZ$5,2)</f>
        <v>9438.9599999999991</v>
      </c>
      <c r="BC6" s="27">
        <f t="shared" ref="BC6:BH6" si="4">ROUND($AY$6*BC5/$AZ$5,2)</f>
        <v>0</v>
      </c>
      <c r="BD6" s="27">
        <f t="shared" si="4"/>
        <v>1851.46</v>
      </c>
      <c r="BE6" s="27">
        <f t="shared" si="4"/>
        <v>356.21</v>
      </c>
      <c r="BF6" s="27">
        <f t="shared" si="4"/>
        <v>390.51</v>
      </c>
      <c r="BG6" s="27">
        <f t="shared" si="4"/>
        <v>202.56</v>
      </c>
      <c r="BH6" s="27">
        <f t="shared" si="4"/>
        <v>0</v>
      </c>
      <c r="BI6" s="27">
        <f t="shared" ref="BI6:BT6" si="5">ROUND($AY$6*BI5/$AZ$5,2)</f>
        <v>0</v>
      </c>
      <c r="BJ6" s="27">
        <f t="shared" si="5"/>
        <v>0</v>
      </c>
      <c r="BK6" s="27">
        <f t="shared" si="5"/>
        <v>0</v>
      </c>
      <c r="BL6" s="27">
        <f t="shared" si="5"/>
        <v>1087.29</v>
      </c>
      <c r="BM6" s="27">
        <f t="shared" si="5"/>
        <v>0</v>
      </c>
      <c r="BN6" s="27">
        <f t="shared" si="5"/>
        <v>0</v>
      </c>
      <c r="BO6" s="27">
        <f t="shared" si="5"/>
        <v>0</v>
      </c>
      <c r="BP6" s="27">
        <f t="shared" si="5"/>
        <v>0</v>
      </c>
      <c r="BQ6" s="27">
        <f t="shared" si="5"/>
        <v>19.28</v>
      </c>
      <c r="BR6" s="27">
        <f t="shared" si="5"/>
        <v>1068.01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9438.9599999999991</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9438.9599999999991</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1851.46</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1851.46</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356.21</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356.21</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390.51</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390.51</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1087.29</v>
      </c>
      <c r="F17" s="81"/>
      <c r="G17" s="82">
        <f t="shared" si="7"/>
        <v>5357</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5357</v>
      </c>
      <c r="AD17" s="3040"/>
      <c r="AE17" s="3040"/>
      <c r="AF17" s="3040"/>
      <c r="AG17" s="3040"/>
      <c r="AH17" s="3040"/>
      <c r="AI17" s="3040"/>
      <c r="AJ17" s="3040"/>
      <c r="AK17" s="3040"/>
      <c r="AL17" s="3040">
        <f>60+35</f>
        <v>95</v>
      </c>
      <c r="AM17" s="3040"/>
      <c r="AN17" s="3201">
        <v>5262</v>
      </c>
      <c r="AO17" s="3040"/>
      <c r="AP17" s="3040"/>
      <c r="AQ17" s="3040"/>
      <c r="AR17" s="3040"/>
      <c r="AS17" s="3040"/>
      <c r="AT17" s="3041"/>
      <c r="AU17" s="3042"/>
      <c r="AV17" s="17">
        <f t="shared" si="10"/>
        <v>0</v>
      </c>
      <c r="AW17" s="17">
        <f t="shared" si="10"/>
        <v>0</v>
      </c>
      <c r="AX17" s="17">
        <f t="shared" si="10"/>
        <v>0</v>
      </c>
      <c r="AY17" s="994">
        <f t="shared" si="11"/>
        <v>1087.29</v>
      </c>
      <c r="AZ17" s="27">
        <f t="shared" si="12"/>
        <v>5357</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5357</v>
      </c>
      <c r="BM17" s="27">
        <f t="shared" si="25"/>
        <v>0</v>
      </c>
      <c r="BN17" s="27">
        <f t="shared" si="26"/>
        <v>0</v>
      </c>
      <c r="BO17" s="27">
        <f t="shared" si="27"/>
        <v>0</v>
      </c>
      <c r="BP17" s="27">
        <f t="shared" si="28"/>
        <v>0</v>
      </c>
      <c r="BQ17" s="27">
        <f t="shared" si="29"/>
        <v>95</v>
      </c>
      <c r="BR17" s="27">
        <f t="shared" si="30"/>
        <v>5262</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202.56</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202.56</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856</v>
      </c>
      <c r="J2" s="1979"/>
      <c r="K2" s="1979"/>
      <c r="L2" s="1979"/>
    </row>
    <row r="3" spans="1:16" ht="15.75" thickBot="1">
      <c r="A3" s="3312" t="s">
        <v>206</v>
      </c>
      <c r="B3" s="3312"/>
      <c r="C3" s="3312"/>
      <c r="D3" s="107">
        <f>'数据-基础表'!AY6</f>
        <v>13326.99</v>
      </c>
      <c r="E3" s="107">
        <f>'数据-基础表'!AZ5</f>
        <v>65661</v>
      </c>
      <c r="F3" s="1979"/>
      <c r="G3" s="279" t="s">
        <v>857</v>
      </c>
      <c r="H3" s="274" t="s">
        <v>858</v>
      </c>
      <c r="I3" s="1971">
        <f>ROUND('数据-基础表'!B3/'数据-基础表'!A3,2)</f>
        <v>4.93</v>
      </c>
      <c r="J3" s="1979"/>
      <c r="K3" s="1979"/>
      <c r="L3" s="1979"/>
    </row>
    <row r="4" spans="1:16" ht="15">
      <c r="A4" s="3313"/>
      <c r="B4" s="3314"/>
      <c r="C4" s="3315"/>
      <c r="D4" s="108" t="s">
        <v>204</v>
      </c>
      <c r="E4" s="109" t="s">
        <v>205</v>
      </c>
      <c r="F4" s="1979"/>
      <c r="G4" s="1199"/>
      <c r="H4" s="274" t="s">
        <v>859</v>
      </c>
      <c r="I4" s="1971">
        <f>ROUND(SUMIF('数据-基础表'!I9:AS9,"地上",'数据-基础表'!I5:AS5)/'数据-基础表'!A3,2)</f>
        <v>3.5</v>
      </c>
      <c r="J4" s="1979"/>
      <c r="K4" s="1979"/>
      <c r="L4" s="1979"/>
    </row>
    <row r="5" spans="1:16">
      <c r="A5" s="110" t="s">
        <v>207</v>
      </c>
      <c r="B5" s="3316" t="s">
        <v>230</v>
      </c>
      <c r="C5" s="3316"/>
      <c r="D5" s="111">
        <f>ROUND($D$3*E5/$E$3,2)</f>
        <v>0</v>
      </c>
      <c r="E5" s="112">
        <f>SUMIF('数据-基础表'!$11:$11,"住宅",'数据-基础表'!$5:$5)</f>
        <v>0</v>
      </c>
      <c r="F5" s="1979"/>
      <c r="G5" s="279" t="s">
        <v>860</v>
      </c>
      <c r="H5" s="274" t="s">
        <v>858</v>
      </c>
      <c r="I5" s="1971">
        <f>ROUND(E31/D31,2)</f>
        <v>4.93</v>
      </c>
      <c r="J5" s="1979"/>
      <c r="K5" s="1979"/>
      <c r="L5" s="1979"/>
    </row>
    <row r="6" spans="1:16" ht="15" thickBot="1">
      <c r="A6" s="113"/>
      <c r="B6" s="3316" t="s">
        <v>208</v>
      </c>
      <c r="C6" s="3316"/>
      <c r="D6" s="111">
        <f>ROUND($D$3*E6/$E$3,2)</f>
        <v>13326.99</v>
      </c>
      <c r="E6" s="112">
        <f>E3-E5</f>
        <v>65661</v>
      </c>
      <c r="F6" s="1979"/>
      <c r="G6" s="1199"/>
      <c r="H6" s="274" t="s">
        <v>859</v>
      </c>
      <c r="I6" s="1971">
        <f>ROUND(F31/D31,2)</f>
        <v>3.5</v>
      </c>
      <c r="J6" s="1979"/>
      <c r="K6" s="1979"/>
      <c r="L6" s="1979"/>
    </row>
    <row r="7" spans="1:16" ht="15">
      <c r="A7" s="3308"/>
      <c r="B7" s="3309"/>
      <c r="C7" s="3310"/>
      <c r="D7" s="108" t="s">
        <v>204</v>
      </c>
      <c r="E7" s="114" t="s">
        <v>231</v>
      </c>
      <c r="F7" s="1979"/>
      <c r="G7" s="1154" t="s">
        <v>1645</v>
      </c>
      <c r="H7" s="1155"/>
      <c r="I7" s="1842"/>
      <c r="J7" s="1979"/>
      <c r="K7" s="1979"/>
      <c r="L7" s="1979"/>
    </row>
    <row r="8" spans="1:16">
      <c r="A8" s="110" t="s">
        <v>209</v>
      </c>
      <c r="B8" s="115" t="s">
        <v>210</v>
      </c>
      <c r="C8" s="111" t="s">
        <v>211</v>
      </c>
      <c r="D8" s="111">
        <f t="shared" ref="D8:D15" si="0">ROUND($D$3*E8/$E$3,2)</f>
        <v>9438.9599999999991</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202.56</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390.51</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356.21</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1851.46</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12239.699999999997</v>
      </c>
      <c r="E16" s="120">
        <f>SUM(E8:E15)</f>
        <v>60304</v>
      </c>
      <c r="F16" s="1979"/>
      <c r="G16" s="1981"/>
      <c r="H16" s="967" t="s">
        <v>219</v>
      </c>
      <c r="I16" s="968"/>
      <c r="J16" s="1979"/>
      <c r="K16" s="3302" t="s">
        <v>2566</v>
      </c>
      <c r="L16" s="3303"/>
      <c r="M16" s="3303"/>
      <c r="N16" s="3303"/>
      <c r="O16" s="3303"/>
      <c r="P16" s="3304"/>
    </row>
    <row r="17" spans="1:19" ht="15">
      <c r="A17" s="121" t="s">
        <v>216</v>
      </c>
      <c r="B17" s="122" t="s">
        <v>217</v>
      </c>
      <c r="C17" s="2293" t="s">
        <v>2312</v>
      </c>
      <c r="D17" s="108" t="s">
        <v>204</v>
      </c>
      <c r="E17" s="124" t="s">
        <v>205</v>
      </c>
      <c r="F17" s="125"/>
      <c r="G17" s="1363"/>
      <c r="H17" s="969" t="s">
        <v>218</v>
      </c>
      <c r="I17" s="970" t="s">
        <v>2311</v>
      </c>
      <c r="J17" s="1979"/>
      <c r="K17" s="3305" t="s">
        <v>2567</v>
      </c>
      <c r="L17" s="3306"/>
      <c r="M17" s="3307"/>
      <c r="N17" s="3305" t="s">
        <v>2568</v>
      </c>
      <c r="O17" s="3306"/>
      <c r="P17" s="3307"/>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9438.9599999999991</v>
      </c>
      <c r="E19" s="134">
        <f t="shared" ref="E19:E26" si="2">SUM(F19:G19)</f>
        <v>46505</v>
      </c>
      <c r="F19" s="135">
        <f>'数据-基础表'!I13</f>
        <v>46505</v>
      </c>
      <c r="G19" s="1365"/>
      <c r="H19" s="973">
        <f>ROUND($D$3*I19/$E$3,2)</f>
        <v>838.49</v>
      </c>
      <c r="I19" s="116">
        <f>IF($I$17="自定义",P19,M19)</f>
        <v>4131.1899999999996</v>
      </c>
      <c r="J19" s="1979"/>
      <c r="K19" s="2627">
        <f t="shared" ref="K19:K26" si="3">ROUND(E$28*E19/E$27,2)</f>
        <v>4131.1899999999996</v>
      </c>
      <c r="L19" s="274">
        <f t="shared" ref="L19:L26" si="4">ROUND(IF(COUNTIF(C19,"*住宅*")&gt;0,E$29*E19/E$32,0),2)</f>
        <v>0</v>
      </c>
      <c r="M19" s="2628">
        <f>K19+L19</f>
        <v>4131.1899999999996</v>
      </c>
      <c r="N19" s="2629"/>
      <c r="O19" s="2630"/>
      <c r="P19" s="2631">
        <f>N19+O19</f>
        <v>0</v>
      </c>
      <c r="R19" s="274">
        <f t="shared" ref="R19:S26" si="5">D19+H19</f>
        <v>10277.449999999999</v>
      </c>
      <c r="S19" s="2296">
        <f t="shared" si="5"/>
        <v>50636.19</v>
      </c>
    </row>
    <row r="20" spans="1:19">
      <c r="A20" s="138"/>
      <c r="B20" s="115" t="s">
        <v>226</v>
      </c>
      <c r="C20" s="3043" t="s">
        <v>3334</v>
      </c>
      <c r="D20" s="111">
        <f t="shared" si="1"/>
        <v>202.56</v>
      </c>
      <c r="E20" s="134">
        <f t="shared" si="2"/>
        <v>998</v>
      </c>
      <c r="F20" s="135"/>
      <c r="G20" s="1365">
        <f>'数据-基础表'!S19</f>
        <v>998</v>
      </c>
      <c r="H20" s="973">
        <f t="shared" ref="H20:H26" si="6">ROUND($D$3*I20/$E$3,2)</f>
        <v>18</v>
      </c>
      <c r="I20" s="116">
        <f t="shared" ref="I20:I26" si="7">IF($I$17="自定义",P20,M20)</f>
        <v>88.66</v>
      </c>
      <c r="J20" s="1979"/>
      <c r="K20" s="2627">
        <f t="shared" si="3"/>
        <v>88.66</v>
      </c>
      <c r="L20" s="274">
        <f>ROUND(IF(COUNTIF(C20,"*住宅*")&gt;0,E$29*E20/E$32,0),2)</f>
        <v>0</v>
      </c>
      <c r="M20" s="2628">
        <f t="shared" ref="M20:M26" si="8">K20+L20</f>
        <v>88.66</v>
      </c>
      <c r="N20" s="2629"/>
      <c r="O20" s="2630"/>
      <c r="P20" s="2631">
        <f t="shared" ref="P20:P26" si="9">N20+O20</f>
        <v>0</v>
      </c>
      <c r="R20" s="274">
        <f t="shared" si="5"/>
        <v>220.56</v>
      </c>
      <c r="S20" s="2296">
        <f t="shared" si="5"/>
        <v>1086.6600000000001</v>
      </c>
    </row>
    <row r="21" spans="1:19">
      <c r="A21" s="138"/>
      <c r="B21" s="115" t="s">
        <v>226</v>
      </c>
      <c r="C21" s="3043" t="s">
        <v>3079</v>
      </c>
      <c r="D21" s="111">
        <f t="shared" si="1"/>
        <v>1851.46</v>
      </c>
      <c r="E21" s="134">
        <f t="shared" si="2"/>
        <v>9122</v>
      </c>
      <c r="F21" s="135"/>
      <c r="G21" s="1365">
        <f>'数据-基础表'!M14</f>
        <v>9122</v>
      </c>
      <c r="H21" s="973">
        <f t="shared" si="6"/>
        <v>164.47</v>
      </c>
      <c r="I21" s="116">
        <f t="shared" si="7"/>
        <v>810.34</v>
      </c>
      <c r="J21" s="1979"/>
      <c r="K21" s="2627">
        <f t="shared" si="3"/>
        <v>810.34</v>
      </c>
      <c r="L21" s="274">
        <f>ROUND(IF(COUNTIF(C21,"*住宅*")&gt;0,E$29*E21/E$32,0),2)</f>
        <v>0</v>
      </c>
      <c r="M21" s="2628">
        <f t="shared" si="8"/>
        <v>810.34</v>
      </c>
      <c r="N21" s="2629"/>
      <c r="O21" s="2630"/>
      <c r="P21" s="2631">
        <f t="shared" si="9"/>
        <v>0</v>
      </c>
      <c r="R21" s="274">
        <f t="shared" si="5"/>
        <v>2015.93</v>
      </c>
      <c r="S21" s="2296">
        <f t="shared" si="5"/>
        <v>9932.34</v>
      </c>
    </row>
    <row r="22" spans="1:19">
      <c r="A22" s="138"/>
      <c r="B22" s="115" t="s">
        <v>226</v>
      </c>
      <c r="C22" s="3177" t="s">
        <v>3081</v>
      </c>
      <c r="D22" s="111">
        <f t="shared" si="1"/>
        <v>356.21</v>
      </c>
      <c r="E22" s="134">
        <f t="shared" si="2"/>
        <v>1755</v>
      </c>
      <c r="F22" s="140"/>
      <c r="G22" s="1366">
        <f>'数据-基础表'!O15</f>
        <v>1755</v>
      </c>
      <c r="H22" s="973">
        <f t="shared" si="6"/>
        <v>31.64</v>
      </c>
      <c r="I22" s="116">
        <f t="shared" si="7"/>
        <v>155.9</v>
      </c>
      <c r="J22" s="1979"/>
      <c r="K22" s="2627">
        <f t="shared" si="3"/>
        <v>155.9</v>
      </c>
      <c r="L22" s="274">
        <f>ROUND(IF(COUNTIF(C22,"*住宅*")&gt;0,E$29*E22/E$32,0),2)</f>
        <v>0</v>
      </c>
      <c r="M22" s="2628">
        <f t="shared" si="8"/>
        <v>155.9</v>
      </c>
      <c r="N22" s="2629"/>
      <c r="O22" s="2630"/>
      <c r="P22" s="2631">
        <f t="shared" si="9"/>
        <v>0</v>
      </c>
      <c r="R22" s="274">
        <f t="shared" si="5"/>
        <v>387.84999999999997</v>
      </c>
      <c r="S22" s="2296">
        <f t="shared" si="5"/>
        <v>1910.9</v>
      </c>
    </row>
    <row r="23" spans="1:19">
      <c r="A23" s="138"/>
      <c r="B23" s="115" t="s">
        <v>226</v>
      </c>
      <c r="C23" s="3177" t="s">
        <v>3082</v>
      </c>
      <c r="D23" s="111">
        <f>ROUND($D$3*E23/$E$3,2)</f>
        <v>390.51</v>
      </c>
      <c r="E23" s="134">
        <f>SUM(F23:G23)</f>
        <v>1924</v>
      </c>
      <c r="F23" s="140"/>
      <c r="G23" s="1366">
        <f>'数据-基础表'!Q16</f>
        <v>1924</v>
      </c>
      <c r="H23" s="973">
        <f>ROUND($D$3*I23/$E$3,2)</f>
        <v>34.69</v>
      </c>
      <c r="I23" s="116">
        <f t="shared" si="7"/>
        <v>170.92</v>
      </c>
      <c r="J23" s="1979"/>
      <c r="K23" s="2627">
        <f t="shared" si="3"/>
        <v>170.92</v>
      </c>
      <c r="L23" s="274">
        <f>ROUND(IF(COUNTIF(C23,"*住宅*")&gt;0,E$29*E23/E$32,0),2)</f>
        <v>0</v>
      </c>
      <c r="M23" s="2628">
        <f t="shared" si="8"/>
        <v>170.92</v>
      </c>
      <c r="N23" s="2629"/>
      <c r="O23" s="2630"/>
      <c r="P23" s="2631">
        <f t="shared" si="9"/>
        <v>0</v>
      </c>
      <c r="R23" s="274">
        <f t="shared" si="5"/>
        <v>425.2</v>
      </c>
      <c r="S23" s="2296">
        <f t="shared" si="5"/>
        <v>2094.92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29.25" thickBot="1">
      <c r="A27" s="138"/>
      <c r="B27" s="111"/>
      <c r="C27" s="127" t="s">
        <v>215</v>
      </c>
      <c r="D27" s="134">
        <f>SUM(D19:D26)</f>
        <v>12239.699999999999</v>
      </c>
      <c r="E27" s="143">
        <f>IF(SUM(E19:E26)='数据-基础表'!BA5,SUM(E19:E26),IF(F27="地上面积有误","面积有误","地下面积有误"))</f>
        <v>60304</v>
      </c>
      <c r="F27" s="134">
        <f>IF(SUM(F19:F26)=E8,SUM(F19:F26),"地上面积有误")</f>
        <v>46505</v>
      </c>
      <c r="G27" s="112">
        <f>SUM(G19:G26)</f>
        <v>13799</v>
      </c>
      <c r="H27" s="974">
        <f>SUM(H19:H26)</f>
        <v>1087.2900000000002</v>
      </c>
      <c r="I27" s="975">
        <f>SUM(I19:I26)</f>
        <v>5357.0099999999993</v>
      </c>
      <c r="J27" s="1979"/>
      <c r="K27" s="2636">
        <f>SUM(K19:K26)</f>
        <v>5357.0099999999993</v>
      </c>
      <c r="L27" s="2637">
        <f>SUM(L19:L26)</f>
        <v>0</v>
      </c>
      <c r="M27" s="2638">
        <f>SUM(M19:M26)</f>
        <v>5357.0099999999993</v>
      </c>
      <c r="N27" s="2636">
        <f t="shared" ref="N27:O27" si="10">SUM(N19:N26)</f>
        <v>0</v>
      </c>
      <c r="O27" s="2637">
        <f t="shared" si="10"/>
        <v>0</v>
      </c>
      <c r="P27" s="2639">
        <f>SUM(P19:P26)</f>
        <v>0</v>
      </c>
      <c r="R27" s="2300">
        <f>IF(SUM(R19:R26)=$D$3,SUM(R19:R26),SUM(R19:R26)&amp;"误差"&amp;ROUND(SUM(R19:R26)-$D$3,2))</f>
        <v>13326.99</v>
      </c>
      <c r="S27" s="274" t="str">
        <f>IF(SUM(S19:S26)=$E$3,SUM(S19:S26),SUM(S19:S26)&amp;"误差"&amp;ROUND(SUM(S19:S26)-E3,2))</f>
        <v>65661.01误差0.01</v>
      </c>
    </row>
    <row r="28" spans="1:19">
      <c r="A28" s="138"/>
      <c r="B28" s="115" t="s">
        <v>227</v>
      </c>
      <c r="C28" s="136" t="s">
        <v>228</v>
      </c>
      <c r="D28" s="111">
        <f>ROUND($D$3*E28/$E$3,2)</f>
        <v>1087.29</v>
      </c>
      <c r="E28" s="134">
        <f>SUM(F28:G28)</f>
        <v>5357</v>
      </c>
      <c r="F28" s="144">
        <f>'数据-基础表'!BQ5+'数据-基础表'!BS5</f>
        <v>95</v>
      </c>
      <c r="G28" s="145">
        <f>'数据-基础表'!BR5+'数据-基础表'!BT5</f>
        <v>5262</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1087.29</v>
      </c>
      <c r="E30" s="134">
        <f>SUM(E28:E29)</f>
        <v>5357</v>
      </c>
      <c r="F30" s="134">
        <f>SUM(F28:F29)</f>
        <v>95</v>
      </c>
      <c r="G30" s="112">
        <f>SUM(G28:G29)</f>
        <v>5262</v>
      </c>
      <c r="H30" s="1979"/>
      <c r="I30" s="1979"/>
      <c r="J30" s="1979"/>
      <c r="K30" s="1979"/>
      <c r="L30" s="1979"/>
    </row>
    <row r="31" spans="1:19" ht="32.25" customHeight="1" thickBot="1">
      <c r="A31" s="1367"/>
      <c r="B31" s="1368" t="s">
        <v>229</v>
      </c>
      <c r="C31" s="2325" t="s">
        <v>2321</v>
      </c>
      <c r="D31" s="1369">
        <f>D27+D30</f>
        <v>13326.989999999998</v>
      </c>
      <c r="E31" s="1369">
        <f>E27+E30</f>
        <v>65661</v>
      </c>
      <c r="F31" s="1370">
        <f>F27+F30</f>
        <v>46600</v>
      </c>
      <c r="G31" s="1371">
        <f>G27+G30</f>
        <v>19061</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W24" sqref="W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0.09</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0.15</v>
      </c>
      <c r="R6" s="179">
        <f>SUMIF('数据-汇总表'!C$19:C$33,A6,'数据-汇总表'!R$19:R$33)</f>
        <v>10277.449999999999</v>
      </c>
      <c r="S6" s="132">
        <f>IF('数据-汇总表'!$I$17="按面积比例",SUMIF('数据-汇总表'!C$19:C$33,A6,'数据-汇总表'!K$19:K$33),SUMIF('数据-汇总表'!C$19:C$33,A6,'数据-汇总表'!N$19:N$33))</f>
        <v>4131.1899999999996</v>
      </c>
      <c r="T6" s="2229">
        <f>IF($T$4="按面积比例",IF(ISERROR(ROUND($M$14*S6/S$16,0)),"0",ROUND($M$14*S6/S$16,0)),"需自行计算录入")</f>
        <v>909</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0.09</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9">
        <v>0.15</v>
      </c>
      <c r="R7" s="179">
        <f>SUMIF('数据-汇总表'!C$19:C$33,A7,'数据-汇总表'!R$19:R$33)</f>
        <v>220.56</v>
      </c>
      <c r="S7" s="132">
        <f>IF('数据-汇总表'!$I$17="按面积比例",SUMIF('数据-汇总表'!C$19:C$33,A7,'数据-汇总表'!K$19:K$33),SUMIF('数据-汇总表'!C$19:C$33,A7,'数据-汇总表'!N$19:N$33))</f>
        <v>88.66</v>
      </c>
      <c r="T7" s="2229">
        <f t="shared" ref="T7:T13" si="5">IF($T$4="按面积比例",IF(ISERROR(ROUND($M$14*S7/S$16,0)),"0",ROUND($M$14*S7/S$16,0)),"需自行计算录入")</f>
        <v>20</v>
      </c>
      <c r="U7" s="180">
        <v>3</v>
      </c>
      <c r="V7" s="181">
        <v>2.5000000000000001E-2</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3335</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0.09</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2015.93</v>
      </c>
      <c r="S8" s="132">
        <f>IF('数据-汇总表'!$I$17="按面积比例",SUMIF('数据-汇总表'!C$19:C$33,A8,'数据-汇总表'!K$19:K$33),SUMIF('数据-汇总表'!C$19:C$33,A8,'数据-汇总表'!N$19:N$33))</f>
        <v>810.34</v>
      </c>
      <c r="T8" s="2229">
        <f t="shared" si="5"/>
        <v>178</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0.09</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387.84999999999997</v>
      </c>
      <c r="S9" s="132">
        <f>IF('数据-汇总表'!$I$17="按面积比例",SUMIF('数据-汇总表'!C$19:C$33,A9,'数据-汇总表'!K$19:K$33),SUMIF('数据-汇总表'!C$19:C$33,A9,'数据-汇总表'!N$19:N$33))</f>
        <v>155.9</v>
      </c>
      <c r="T9" s="2229">
        <f t="shared" si="5"/>
        <v>34</v>
      </c>
      <c r="U9" s="180">
        <f>'不动产比较法-仓储'!C37</f>
        <v>3.2</v>
      </c>
      <c r="V9" s="181">
        <v>0.02</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3226</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0.09</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425.2</v>
      </c>
      <c r="S10" s="132">
        <f>IF('数据-汇总表'!$I$17="按面积比例",SUMIF('数据-汇总表'!C$19:C$33,A10,'数据-汇总表'!K$19:K$33),SUMIF('数据-汇总表'!C$19:C$33,A10,'数据-汇总表'!N$19:N$33))</f>
        <v>170.92</v>
      </c>
      <c r="T10" s="2229">
        <f t="shared" si="5"/>
        <v>38</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5357</v>
      </c>
      <c r="L14" s="193">
        <v>2200</v>
      </c>
      <c r="M14" s="177">
        <f t="shared" si="0"/>
        <v>1179</v>
      </c>
      <c r="N14" s="194">
        <v>0</v>
      </c>
      <c r="O14" s="177">
        <f t="shared" si="3"/>
        <v>0</v>
      </c>
      <c r="P14" s="178">
        <f t="shared" si="4"/>
        <v>1179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65661</v>
      </c>
      <c r="L16" s="206">
        <f>ROUND(M16*10000/SUM(K6:K14),0)</f>
        <v>3188</v>
      </c>
      <c r="M16" s="206">
        <f>SUM(M6:M14)</f>
        <v>20936</v>
      </c>
      <c r="N16" s="207">
        <f>ROUND(SUMPRODUCT(M6:M14,N6:N14)/M16,3)</f>
        <v>0</v>
      </c>
      <c r="O16" s="206">
        <f>SUM(O6:O14)</f>
        <v>0</v>
      </c>
      <c r="P16" s="206">
        <f>SUM(P6:P14)</f>
        <v>20936</v>
      </c>
      <c r="Q16" s="208">
        <f>ROUND(SUMPRODUCT(Q6:Q13,K6:K13)/SUMPRODUCT((Q6:Q13&gt;0)*(K6:K13)),2)</f>
        <v>0.14000000000000001</v>
      </c>
      <c r="R16" s="2306">
        <f>SUM(R6:R13)</f>
        <v>13326.99</v>
      </c>
      <c r="S16" s="209">
        <f>SUM(S6:S13)</f>
        <v>5357.0099999999993</v>
      </c>
      <c r="T16" s="210">
        <f>IF(SUMIF(T6:T13,"&lt;9E307")=M14,SUMIF(T6:T13,"&lt;9E307"),"有误，请检查")</f>
        <v>1179</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1663</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3106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3233</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3320</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3322</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3323</v>
      </c>
      <c r="D8" s="2005"/>
      <c r="E8" s="2005"/>
      <c r="F8" s="1550"/>
      <c r="G8" s="1550"/>
      <c r="H8" s="2003"/>
      <c r="I8" s="2003"/>
      <c r="J8" s="2003"/>
      <c r="K8" s="2003"/>
      <c r="L8" s="2003"/>
      <c r="M8" s="2003"/>
      <c r="N8" s="2003"/>
      <c r="O8" s="2003"/>
      <c r="P8" s="2003"/>
      <c r="Q8" s="2003"/>
      <c r="R8" s="2003"/>
    </row>
    <row r="9" spans="1:18" ht="54">
      <c r="A9" s="1227"/>
      <c r="B9" s="1229" t="s">
        <v>1656</v>
      </c>
      <c r="C9" s="3178" t="s">
        <v>3325</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3111</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2843</v>
      </c>
      <c r="B1" s="3063">
        <f>SUM(B14:B23)</f>
        <v>65661</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148806</v>
      </c>
      <c r="C5" s="3063">
        <f ca="1">ROUND(B5*10000/$B$1,0)</f>
        <v>22663</v>
      </c>
      <c r="D5" s="3063">
        <f ca="1">ROUND(B5*10000/$B$2,0)</f>
        <v>111658</v>
      </c>
      <c r="E5" s="3064"/>
      <c r="F5" s="3064"/>
    </row>
    <row r="6" spans="1:9" ht="16.5">
      <c r="A6" s="3063" t="s">
        <v>2851</v>
      </c>
      <c r="B6" s="3063">
        <f ca="1">SUM(G14:G23)</f>
        <v>148806</v>
      </c>
      <c r="C6" s="3063">
        <f t="shared" ref="C6:C8" ca="1" si="0">ROUND(B6*10000/$B$1,0)</f>
        <v>22663</v>
      </c>
      <c r="D6" s="3063">
        <f t="shared" ref="D6:D8" ca="1" si="1">ROUND(B6*10000/$B$2,0)</f>
        <v>111658</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65661</v>
      </c>
      <c r="C14" s="3067">
        <f>结果表!K38</f>
        <v>13326.99</v>
      </c>
      <c r="D14" s="3067">
        <f ca="1">结果表!C42</f>
        <v>148806</v>
      </c>
      <c r="E14" s="3067">
        <f ca="1">ROUND(D14*10000/B14,0)</f>
        <v>22663</v>
      </c>
      <c r="F14" s="3067">
        <f ca="1">ROUND(D14*10000/C14,0)</f>
        <v>111658</v>
      </c>
      <c r="G14" s="3067">
        <f ca="1">结果表!C44</f>
        <v>148806</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 zoomScaleNormal="100" zoomScaleSheetLayoutView="100" zoomScalePageLayoutView="80" workbookViewId="0">
      <selection activeCell="G39" sqref="G3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3261</v>
      </c>
      <c r="E1" s="1801" t="s">
        <v>2056</v>
      </c>
      <c r="F1" s="1803" t="s">
        <v>3260</v>
      </c>
      <c r="G1" s="310"/>
      <c r="H1" s="310"/>
      <c r="I1" s="310"/>
      <c r="J1" s="2024"/>
      <c r="K1" s="2024"/>
      <c r="L1" s="2024"/>
      <c r="M1" s="2024"/>
      <c r="N1" s="2024"/>
      <c r="O1" s="2024"/>
      <c r="P1" s="2024"/>
      <c r="Q1" s="2024"/>
      <c r="R1" s="2024"/>
      <c r="S1" s="2024"/>
      <c r="T1" s="2024"/>
      <c r="U1" s="2024"/>
      <c r="V1" s="2024"/>
    </row>
    <row r="2" spans="1:22" ht="21.75" customHeight="1" thickBot="1">
      <c r="A2" s="3355" t="str">
        <f>项目基本情况!K2</f>
        <v>北京市海淀区“海淀北部地区整体开发”中关村环保科技园HD-0303-0071地块出让国有建设用地使用权</v>
      </c>
      <c r="B2" s="3356"/>
      <c r="C2" s="3357"/>
      <c r="D2" s="3357"/>
      <c r="E2" s="3357"/>
      <c r="F2" s="3357"/>
      <c r="G2" s="3356"/>
      <c r="H2" s="3356"/>
      <c r="I2" s="3358"/>
      <c r="J2" s="2025"/>
      <c r="K2" s="2024"/>
      <c r="L2" s="2024"/>
      <c r="M2" s="2024"/>
      <c r="N2" s="2024"/>
      <c r="O2" s="2024"/>
      <c r="P2" s="2024"/>
      <c r="Q2" s="2024"/>
      <c r="R2" s="2024"/>
      <c r="S2" s="2024"/>
      <c r="T2" s="2024"/>
      <c r="U2" s="2024"/>
      <c r="V2" s="2024"/>
    </row>
    <row r="3" spans="1:22" ht="14.25">
      <c r="A3" s="3348" t="s">
        <v>298</v>
      </c>
      <c r="B3" s="3349"/>
      <c r="C3" s="3349"/>
      <c r="D3" s="3349"/>
      <c r="E3" s="3349"/>
      <c r="F3" s="3349"/>
      <c r="G3" s="3349"/>
      <c r="H3" s="3349"/>
      <c r="I3" s="3349"/>
      <c r="J3" s="2025"/>
      <c r="K3" s="2024"/>
      <c r="L3" s="2024"/>
      <c r="M3" s="2024"/>
      <c r="N3" s="2024"/>
      <c r="O3" s="2024"/>
      <c r="P3" s="2024"/>
      <c r="Q3" s="2024"/>
      <c r="R3" s="2024"/>
      <c r="S3" s="2024"/>
      <c r="T3" s="2024"/>
      <c r="U3" s="2024"/>
      <c r="V3" s="2024"/>
    </row>
    <row r="4" spans="1:22" ht="14.25">
      <c r="A4" s="257" t="s">
        <v>299</v>
      </c>
      <c r="B4" s="258" t="s">
        <v>300</v>
      </c>
      <c r="C4" s="259" t="s">
        <v>3138</v>
      </c>
      <c r="D4" s="259" t="s">
        <v>3139</v>
      </c>
      <c r="E4" s="3320" t="s">
        <v>301</v>
      </c>
      <c r="F4" s="3321"/>
      <c r="G4" s="3321"/>
      <c r="H4" s="3321"/>
      <c r="I4" s="3350"/>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9" t="s">
        <v>302</v>
      </c>
      <c r="B5" s="3345">
        <v>25</v>
      </c>
      <c r="C5" s="3343"/>
      <c r="D5" s="3347"/>
      <c r="E5" s="260" t="s">
        <v>303</v>
      </c>
      <c r="F5" s="261"/>
      <c r="G5" s="261"/>
      <c r="H5" s="261"/>
      <c r="I5" s="262"/>
      <c r="J5" s="2025"/>
      <c r="K5" s="2024"/>
      <c r="L5" s="2024"/>
      <c r="M5" s="2024"/>
      <c r="N5" s="2024"/>
      <c r="O5" s="2024"/>
      <c r="P5" s="2024"/>
      <c r="Q5" s="2024"/>
      <c r="R5" s="2024"/>
      <c r="S5" s="2024"/>
      <c r="T5" s="2024"/>
      <c r="U5" s="2024"/>
      <c r="V5" s="2024"/>
    </row>
    <row r="6" spans="1:22" ht="14.25">
      <c r="A6" s="3319"/>
      <c r="B6" s="3345"/>
      <c r="C6" s="3346"/>
      <c r="D6" s="3347"/>
      <c r="E6" s="260" t="s">
        <v>304</v>
      </c>
      <c r="F6" s="261"/>
      <c r="G6" s="261"/>
      <c r="H6" s="261"/>
      <c r="I6" s="262"/>
      <c r="J6" s="2025"/>
      <c r="K6" s="2024"/>
      <c r="L6" s="2024"/>
      <c r="M6" s="2024"/>
      <c r="N6" s="2024"/>
      <c r="O6" s="2024"/>
      <c r="P6" s="2024"/>
      <c r="Q6" s="2024"/>
      <c r="R6" s="2024"/>
      <c r="S6" s="2024"/>
      <c r="T6" s="2024"/>
      <c r="U6" s="2024"/>
      <c r="V6" s="2024"/>
    </row>
    <row r="7" spans="1:22" ht="14.25">
      <c r="A7" s="3319"/>
      <c r="B7" s="3345"/>
      <c r="C7" s="3344"/>
      <c r="D7" s="3347"/>
      <c r="E7" s="260" t="s">
        <v>305</v>
      </c>
      <c r="F7" s="261"/>
      <c r="G7" s="261"/>
      <c r="H7" s="261"/>
      <c r="I7" s="262"/>
      <c r="J7" s="2025"/>
      <c r="K7" s="2024"/>
      <c r="L7" s="2024"/>
      <c r="M7" s="2024"/>
      <c r="N7" s="2024"/>
      <c r="O7" s="2024"/>
      <c r="P7" s="2024"/>
      <c r="Q7" s="2024"/>
      <c r="R7" s="2024"/>
      <c r="S7" s="2024"/>
      <c r="T7" s="2024"/>
      <c r="U7" s="2024"/>
      <c r="V7" s="2024"/>
    </row>
    <row r="8" spans="1:22" ht="14.25">
      <c r="A8" s="3319" t="s">
        <v>306</v>
      </c>
      <c r="B8" s="3345">
        <v>15</v>
      </c>
      <c r="C8" s="3343"/>
      <c r="D8" s="3347"/>
      <c r="E8" s="260" t="s">
        <v>307</v>
      </c>
      <c r="F8" s="261"/>
      <c r="G8" s="261"/>
      <c r="H8" s="261"/>
      <c r="I8" s="262"/>
      <c r="J8" s="2025"/>
      <c r="K8" s="2024"/>
      <c r="L8" s="2024"/>
      <c r="M8" s="2024"/>
      <c r="N8" s="2024"/>
      <c r="O8" s="2024"/>
      <c r="P8" s="2024"/>
      <c r="Q8" s="2024"/>
      <c r="R8" s="2024"/>
      <c r="S8" s="2024"/>
      <c r="T8" s="2024"/>
      <c r="U8" s="2024"/>
      <c r="V8" s="2024"/>
    </row>
    <row r="9" spans="1:22" ht="14.25">
      <c r="A9" s="3319"/>
      <c r="B9" s="3345"/>
      <c r="C9" s="3344"/>
      <c r="D9" s="3347"/>
      <c r="E9" s="260" t="s">
        <v>308</v>
      </c>
      <c r="F9" s="261"/>
      <c r="G9" s="261"/>
      <c r="H9" s="261"/>
      <c r="I9" s="262"/>
      <c r="J9" s="2025"/>
      <c r="K9" s="2024"/>
      <c r="L9" s="2024"/>
      <c r="M9" s="2024"/>
      <c r="N9" s="2024"/>
      <c r="O9" s="2024"/>
      <c r="P9" s="2024"/>
      <c r="Q9" s="2024"/>
      <c r="R9" s="2024"/>
      <c r="S9" s="2024"/>
      <c r="T9" s="2024"/>
      <c r="U9" s="2024"/>
      <c r="V9" s="2024"/>
    </row>
    <row r="10" spans="1:22" ht="14.25">
      <c r="A10" s="3319" t="s">
        <v>309</v>
      </c>
      <c r="B10" s="3345">
        <v>15</v>
      </c>
      <c r="C10" s="3343"/>
      <c r="D10" s="3347"/>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9"/>
      <c r="B11" s="3345"/>
      <c r="C11" s="3344"/>
      <c r="D11" s="3347"/>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9" t="s">
        <v>312</v>
      </c>
      <c r="B12" s="3345">
        <v>15</v>
      </c>
      <c r="C12" s="3343"/>
      <c r="D12" s="3347"/>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9"/>
      <c r="B13" s="3345"/>
      <c r="C13" s="3344"/>
      <c r="D13" s="3347"/>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9" t="s">
        <v>315</v>
      </c>
      <c r="B14" s="3345">
        <v>30</v>
      </c>
      <c r="C14" s="3343">
        <v>5</v>
      </c>
      <c r="D14" s="3347">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9"/>
      <c r="B15" s="3345"/>
      <c r="C15" s="3346"/>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9"/>
      <c r="B16" s="3345"/>
      <c r="C16" s="3344"/>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160806</v>
      </c>
      <c r="D19" s="270">
        <f ca="1">SUMIF(INDIRECT("'"&amp;D4&amp;"'"&amp;"!A:A"),结果表!B19,INDIRECT("'"&amp;D4&amp;"'"&amp;"!B:B"))</f>
        <v>136806</v>
      </c>
      <c r="E19" s="267" t="s">
        <v>323</v>
      </c>
      <c r="F19" s="268" t="s">
        <v>322</v>
      </c>
      <c r="G19" s="271">
        <f ca="1">ROUND(C19*$C$18+D19*$D$18,0)</f>
        <v>148806</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24490</v>
      </c>
      <c r="D20" s="276">
        <f ca="1">SUMIF(INDIRECT("'"&amp;D4&amp;"'"&amp;"!A:A"),结果表!B20,INDIRECT("'"&amp;D4&amp;"'"&amp;"!B:B"))</f>
        <v>20835</v>
      </c>
      <c r="E20" s="273"/>
      <c r="F20" s="274" t="s">
        <v>325</v>
      </c>
      <c r="G20" s="277">
        <f ca="1">ROUND(C20*$C$18+D20*$D$18,0)</f>
        <v>22663</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120662</v>
      </c>
      <c r="D21" s="151">
        <f ca="1">SUMIF(INDIRECT("'"&amp;D4&amp;"'"&amp;"!A:A"),结果表!B21,INDIRECT("'"&amp;D4&amp;"'"&amp;"!B:B"))</f>
        <v>102653</v>
      </c>
      <c r="E21" s="273"/>
      <c r="F21" s="279" t="s">
        <v>327</v>
      </c>
      <c r="G21" s="281">
        <f ca="1">ROUND(C21*$C$18+D21*$D$18,0)</f>
        <v>111658</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0.17543090215341439</v>
      </c>
      <c r="E22" s="283"/>
      <c r="F22" s="284"/>
      <c r="G22" s="285">
        <f ca="1">ROUND(G19/('数据-汇总表'!D3/666.67),0)</f>
        <v>7444</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5"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6"/>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出让国有建设用地使用权价格：148806万元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大写金额：人民币壹拾肆亿捌仟捌佰零陆万元整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31932.618025751071</v>
      </c>
      <c r="E27" s="310"/>
      <c r="F27" s="310"/>
      <c r="G27" s="310"/>
      <c r="H27" s="310"/>
      <c r="I27" s="310"/>
      <c r="J27" s="2024"/>
      <c r="K27" s="1256" t="str">
        <f ca="1">"单位面积地价："&amp;M38&amp;"元/平方米"</f>
        <v>单位面积地价：111658元/平方米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楼面地价：22663元/平方米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抵押价格：148806万元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大写金额：人民币壹拾肆亿捌仟捌佰零陆万元整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148806</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22663</v>
      </c>
      <c r="D33" s="1382" t="s">
        <v>1691</v>
      </c>
      <c r="E33" s="3325"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111658</v>
      </c>
      <c r="D34" s="1384" t="s">
        <v>1691</v>
      </c>
      <c r="E34" s="3366"/>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7444</v>
      </c>
      <c r="D35" s="1387" t="s">
        <v>1693</v>
      </c>
      <c r="E35" s="3367"/>
      <c r="F35" s="300" t="s">
        <v>342</v>
      </c>
      <c r="G35" s="980">
        <f>E37+E38+E39</f>
        <v>0</v>
      </c>
      <c r="H35" s="3224" t="s">
        <v>3332</v>
      </c>
      <c r="I35" s="310"/>
      <c r="J35" s="2024"/>
      <c r="K35" s="3340" t="s">
        <v>349</v>
      </c>
      <c r="L35" s="3340" t="s">
        <v>350</v>
      </c>
      <c r="M35" s="1262" t="s">
        <v>351</v>
      </c>
      <c r="N35" s="3340" t="s">
        <v>352</v>
      </c>
      <c r="O35" s="3340" t="s">
        <v>353</v>
      </c>
      <c r="P35" s="2024"/>
      <c r="V35" s="2024"/>
    </row>
    <row r="36" spans="1:26" ht="16.5" customHeight="1">
      <c r="A36" s="302" t="s">
        <v>343</v>
      </c>
      <c r="B36" s="303" t="s">
        <v>333</v>
      </c>
      <c r="C36" s="304" t="s">
        <v>344</v>
      </c>
      <c r="D36" s="304" t="s">
        <v>345</v>
      </c>
      <c r="E36" s="305" t="s">
        <v>346</v>
      </c>
      <c r="F36" s="310"/>
      <c r="G36" s="310"/>
      <c r="H36" s="310"/>
      <c r="I36" s="310"/>
      <c r="J36" s="2026"/>
      <c r="K36" s="3341"/>
      <c r="L36" s="3341"/>
      <c r="M36" s="1264" t="s">
        <v>354</v>
      </c>
      <c r="N36" s="3341"/>
      <c r="O36" s="3341"/>
      <c r="P36" s="2024"/>
      <c r="V36" s="2024"/>
    </row>
    <row r="37" spans="1:26" ht="16.5" customHeight="1" thickBot="1">
      <c r="A37" s="1258" t="s">
        <v>347</v>
      </c>
      <c r="B37" s="306"/>
      <c r="C37" s="293"/>
      <c r="D37" s="293"/>
      <c r="E37" s="294"/>
      <c r="F37" s="310"/>
      <c r="G37" s="310"/>
      <c r="H37" s="310"/>
      <c r="I37" s="310"/>
      <c r="J37" s="2026"/>
      <c r="K37" s="3342"/>
      <c r="L37" s="3342"/>
      <c r="M37" s="1265"/>
      <c r="N37" s="3342"/>
      <c r="O37" s="3342"/>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65661</v>
      </c>
      <c r="M38" s="1267">
        <f ca="1">C34</f>
        <v>111658</v>
      </c>
      <c r="N38" s="1267">
        <f ca="1">C33</f>
        <v>22663</v>
      </c>
      <c r="O38" s="1268">
        <f ca="1">C32</f>
        <v>148806</v>
      </c>
      <c r="P38" s="2024"/>
      <c r="V38" s="2024"/>
    </row>
    <row r="39" spans="1:26" ht="16.5" customHeight="1" thickBot="1">
      <c r="A39" s="1263"/>
      <c r="B39" s="307"/>
      <c r="C39" s="308"/>
      <c r="D39" s="308"/>
      <c r="E39" s="294"/>
      <c r="F39" s="310"/>
      <c r="G39" s="310"/>
      <c r="H39" s="310"/>
      <c r="I39" s="310"/>
      <c r="J39" s="2026"/>
      <c r="K39" s="3385" t="str">
        <f>MID(A44,3,LEN(A44)-2)</f>
        <v>抵押价格</v>
      </c>
      <c r="L39" s="3386"/>
      <c r="M39" s="3386"/>
      <c r="N39" s="3387"/>
      <c r="O39" s="1389">
        <f ca="1">C44</f>
        <v>148806</v>
      </c>
      <c r="P39" s="2024"/>
      <c r="V39" s="2024"/>
    </row>
    <row r="40" spans="1:26" ht="19.5" thickBot="1">
      <c r="A40" s="104" t="s">
        <v>872</v>
      </c>
      <c r="B40" s="310"/>
      <c r="C40" s="310"/>
      <c r="D40" s="310"/>
      <c r="E40" s="310"/>
      <c r="F40" s="310"/>
      <c r="G40" s="310"/>
      <c r="H40" s="310"/>
      <c r="I40" s="310"/>
      <c r="J40" s="2026"/>
      <c r="K40" s="3385" t="str">
        <f t="shared" ref="K40:K41" si="0">MID(A45,3,LEN(A45)-2)</f>
        <v/>
      </c>
      <c r="L40" s="3386"/>
      <c r="M40" s="3386"/>
      <c r="N40" s="3387"/>
      <c r="O40" s="1389" t="str">
        <f>C45</f>
        <v>——</v>
      </c>
      <c r="P40" s="2024"/>
      <c r="V40" s="2024"/>
    </row>
    <row r="41" spans="1:26" ht="16.5" thickBot="1">
      <c r="A41" s="311" t="s">
        <v>355</v>
      </c>
      <c r="B41" s="312"/>
      <c r="C41" s="313" t="s">
        <v>356</v>
      </c>
      <c r="D41" s="314" t="s">
        <v>357</v>
      </c>
      <c r="E41" s="314" t="s">
        <v>358</v>
      </c>
      <c r="F41" s="315" t="s">
        <v>359</v>
      </c>
      <c r="G41" s="310"/>
      <c r="H41" s="310"/>
      <c r="I41" s="310"/>
      <c r="J41" s="2026"/>
      <c r="K41" s="3385" t="str">
        <f t="shared" si="0"/>
        <v/>
      </c>
      <c r="L41" s="3386"/>
      <c r="M41" s="3386"/>
      <c r="N41" s="3387"/>
      <c r="O41" s="1389" t="str">
        <f>C46</f>
        <v>——</v>
      </c>
      <c r="P41" s="2024"/>
      <c r="V41" s="2024"/>
    </row>
    <row r="42" spans="1:26" ht="29.25">
      <c r="A42" s="3327" t="s">
        <v>2066</v>
      </c>
      <c r="B42" s="3328"/>
      <c r="C42" s="263">
        <f ca="1">C32</f>
        <v>148806</v>
      </c>
      <c r="D42" s="316">
        <f ca="1">C33</f>
        <v>22663</v>
      </c>
      <c r="E42" s="316">
        <f ca="1">C34</f>
        <v>111658</v>
      </c>
      <c r="F42" s="317">
        <f ca="1">C35</f>
        <v>7444</v>
      </c>
      <c r="G42" s="310"/>
      <c r="H42" s="310"/>
      <c r="I42" s="318"/>
      <c r="J42" s="2026"/>
      <c r="K42" s="1269" t="s">
        <v>360</v>
      </c>
      <c r="L42" s="2043" t="s">
        <v>361</v>
      </c>
      <c r="M42" s="1270" t="s">
        <v>362</v>
      </c>
      <c r="N42" s="2044" t="s">
        <v>363</v>
      </c>
      <c r="O42" s="2045" t="s">
        <v>364</v>
      </c>
      <c r="P42" s="2024"/>
      <c r="V42" s="2024"/>
    </row>
    <row r="43" spans="1:26" ht="30">
      <c r="A43" s="3338" t="s">
        <v>2729</v>
      </c>
      <c r="B43" s="3339"/>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160806</v>
      </c>
      <c r="M43" s="1273">
        <f>C18</f>
        <v>0.5</v>
      </c>
      <c r="N43" s="1274">
        <f ca="1">IF(N42="测算结果/万元",G19,G20)</f>
        <v>148806</v>
      </c>
      <c r="O43" s="1275">
        <f ca="1">IF(O42="最终结果/万元",C32,C33)</f>
        <v>148806</v>
      </c>
      <c r="P43" s="2024"/>
      <c r="V43" s="2024"/>
    </row>
    <row r="44" spans="1:26" ht="30.75" thickBot="1">
      <c r="A44" s="3327" t="str">
        <f>IF(OR(项目基本情况!E8="抵押价格",项目基本情况!E8="已注销及未注销"),"3.抵押价格","——")</f>
        <v>3.抵押价格</v>
      </c>
      <c r="B44" s="3328"/>
      <c r="C44" s="263">
        <f ca="1">IF(A44="——","——",C42-C43)</f>
        <v>148806</v>
      </c>
      <c r="D44" s="316">
        <f ca="1">ROUND(C44*10000/'数据-汇总表'!E3,0)</f>
        <v>22663</v>
      </c>
      <c r="E44" s="316">
        <f ca="1">ROUND(C44*10000/'数据-汇总表'!D3,0)</f>
        <v>111658</v>
      </c>
      <c r="F44" s="317">
        <f ca="1">ROUND(C44/('数据-汇总表'!D3/666.67),0)</f>
        <v>7444</v>
      </c>
      <c r="G44" s="310"/>
      <c r="H44" s="310"/>
      <c r="I44" s="318"/>
      <c r="J44" s="2026"/>
      <c r="K44" s="1276" t="str">
        <f>D4</f>
        <v>剩余法-待开发</v>
      </c>
      <c r="L44" s="1277">
        <f ca="1">IF(L42="估价结果/万元",D19,D20)</f>
        <v>136806</v>
      </c>
      <c r="M44" s="1278">
        <f>D18</f>
        <v>0.5</v>
      </c>
      <c r="N44" s="1279"/>
      <c r="O44" s="1280"/>
      <c r="P44" s="2024"/>
      <c r="V44" s="2024"/>
    </row>
    <row r="45" spans="1:26" ht="15">
      <c r="A45" s="3333" t="str">
        <f>IF(项目基本情况!E8="已注销及未注销","4.抵押担保权已注销时的抵押价格",IF(项目基本情况!E8="已注销","3.抵押担保权已注销时的抵押价格","——"))</f>
        <v>——</v>
      </c>
      <c r="B45" s="333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9" t="str">
        <f>IF(项目基本情况!E9="抵押净值",IF(A45="——","4.抵押净值","5.抵押净值"),"——")</f>
        <v>——</v>
      </c>
      <c r="B46" s="3330"/>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4" t="s">
        <v>373</v>
      </c>
      <c r="B63" s="3375"/>
      <c r="C63" s="3376"/>
      <c r="D63" s="340">
        <f ca="1">ROUND(C42*F63,0)</f>
        <v>89284</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35" t="s">
        <v>377</v>
      </c>
      <c r="B64" s="3336"/>
      <c r="C64" s="3336"/>
      <c r="D64" s="3336"/>
      <c r="E64" s="3336"/>
      <c r="F64" s="3336"/>
      <c r="G64" s="3337"/>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31" t="s">
        <v>385</v>
      </c>
      <c r="B66" s="3332"/>
      <c r="C66" s="3332"/>
      <c r="D66" s="260">
        <f ca="1">IF(H66="情况1",0,IF(H66="情况2",D70,IF(H66="情况3",D71,IF(H66="情况4",D72))))</f>
        <v>4762</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89" t="s">
        <v>384</v>
      </c>
      <c r="M66" s="3390"/>
      <c r="N66" s="2478"/>
      <c r="O66" s="2479"/>
      <c r="P66" s="2480"/>
      <c r="Q66" s="2024"/>
      <c r="R66" s="2024"/>
      <c r="S66" s="2024"/>
      <c r="T66" s="2024"/>
      <c r="U66" s="2024"/>
      <c r="V66" s="2024"/>
    </row>
    <row r="67" spans="1:22" ht="25.5" customHeight="1">
      <c r="A67" s="351" t="s">
        <v>389</v>
      </c>
      <c r="B67" s="3322" t="s">
        <v>390</v>
      </c>
      <c r="C67" s="3322"/>
      <c r="D67" s="352">
        <v>0</v>
      </c>
      <c r="E67" s="41" t="s">
        <v>391</v>
      </c>
      <c r="F67" s="62" t="s">
        <v>21</v>
      </c>
      <c r="G67" s="3377"/>
      <c r="H67" s="310"/>
      <c r="I67" s="1290"/>
      <c r="J67" s="2031"/>
      <c r="K67" s="1972">
        <v>2</v>
      </c>
      <c r="L67" s="3388" t="s">
        <v>388</v>
      </c>
      <c r="M67" s="3388"/>
      <c r="N67" s="1323">
        <f>'数据-取费表'!B2</f>
        <v>43238</v>
      </c>
      <c r="O67" s="1323"/>
      <c r="P67" s="1323"/>
      <c r="Q67" s="2024"/>
      <c r="R67" s="2024"/>
      <c r="S67" s="2024"/>
      <c r="T67" s="2024"/>
      <c r="U67" s="2024"/>
      <c r="V67" s="2024"/>
    </row>
    <row r="68" spans="1:22" ht="25.5" customHeight="1">
      <c r="A68" s="353"/>
      <c r="B68" s="3322" t="s">
        <v>393</v>
      </c>
      <c r="C68" s="3322"/>
      <c r="D68" s="354"/>
      <c r="E68" s="77"/>
      <c r="F68" s="355"/>
      <c r="G68" s="3378"/>
      <c r="H68" s="310"/>
      <c r="I68" s="1290"/>
      <c r="J68" s="2031"/>
      <c r="K68" s="1972">
        <v>3</v>
      </c>
      <c r="L68" s="3388" t="s">
        <v>392</v>
      </c>
      <c r="M68" s="3388"/>
      <c r="N68" s="1291">
        <f ca="1">C42</f>
        <v>148806</v>
      </c>
      <c r="O68" s="1291"/>
      <c r="P68" s="1291"/>
      <c r="Q68" s="2024"/>
      <c r="R68" s="2024"/>
      <c r="S68" s="2024"/>
      <c r="T68" s="2024"/>
      <c r="U68" s="2024"/>
      <c r="V68" s="2024"/>
    </row>
    <row r="69" spans="1:22" ht="12" customHeight="1">
      <c r="A69" s="356"/>
      <c r="B69" s="3322" t="s">
        <v>394</v>
      </c>
      <c r="C69" s="3322"/>
      <c r="D69" s="357"/>
      <c r="E69" s="73"/>
      <c r="F69" s="355"/>
      <c r="G69" s="3379"/>
      <c r="H69" s="310"/>
      <c r="I69" s="1290"/>
      <c r="J69" s="2031"/>
      <c r="K69" s="1292">
        <v>4</v>
      </c>
      <c r="L69" s="3393" t="s">
        <v>2882</v>
      </c>
      <c r="M69" s="3394"/>
      <c r="N69" s="1293">
        <f ca="1">C44</f>
        <v>148806</v>
      </c>
      <c r="O69" s="1293"/>
      <c r="P69" s="1293"/>
      <c r="Q69" s="2024"/>
      <c r="R69" s="2024"/>
      <c r="S69" s="2024"/>
      <c r="T69" s="2024"/>
      <c r="U69" s="2024"/>
      <c r="V69" s="2024"/>
    </row>
    <row r="70" spans="1:22" ht="24" customHeight="1">
      <c r="A70" s="358" t="s">
        <v>395</v>
      </c>
      <c r="B70" s="3322" t="s">
        <v>396</v>
      </c>
      <c r="C70" s="3322"/>
      <c r="D70" s="357">
        <f ca="1">ROUND(D63*'数据-取费表'!B41/(1+'数据-取费表'!C42),0)</f>
        <v>4762</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23" t="s">
        <v>404</v>
      </c>
      <c r="C71" s="3324"/>
      <c r="D71" s="357">
        <f ca="1">ROUND(D63*'数据-取费表'!B41/(1+'数据-取费表'!C42),0)</f>
        <v>4762</v>
      </c>
      <c r="E71" s="17" t="s">
        <v>397</v>
      </c>
      <c r="F71" s="359">
        <f>'数据-取费表'!B41</f>
        <v>5.6000000000000001E-2</v>
      </c>
      <c r="G71" s="360"/>
      <c r="H71" s="310"/>
      <c r="I71" s="1290"/>
      <c r="J71" s="2031"/>
      <c r="K71" s="3079" t="s">
        <v>398</v>
      </c>
      <c r="L71" s="3395" t="s">
        <v>399</v>
      </c>
      <c r="M71" s="3395"/>
      <c r="N71" s="3079" t="s">
        <v>400</v>
      </c>
      <c r="O71" s="3079" t="s">
        <v>401</v>
      </c>
      <c r="P71" s="3079" t="s">
        <v>402</v>
      </c>
      <c r="Q71" s="2024"/>
      <c r="R71" s="2024"/>
      <c r="S71" s="2024"/>
      <c r="T71" s="2024"/>
      <c r="U71" s="2024"/>
      <c r="V71" s="2024"/>
    </row>
    <row r="72" spans="1:22" ht="12" customHeight="1">
      <c r="A72" s="358" t="s">
        <v>406</v>
      </c>
      <c r="B72" s="3323" t="s">
        <v>407</v>
      </c>
      <c r="C72" s="3324"/>
      <c r="D72" s="357">
        <f ca="1">C86</f>
        <v>4650</v>
      </c>
      <c r="E72" s="73" t="s">
        <v>408</v>
      </c>
      <c r="F72" s="359">
        <f>'数据-取费表'!B41</f>
        <v>5.6000000000000001E-2</v>
      </c>
      <c r="G72" s="360"/>
      <c r="H72" s="1296"/>
      <c r="I72" s="1290"/>
      <c r="J72" s="2031"/>
      <c r="K72" s="1972">
        <v>1</v>
      </c>
      <c r="L72" s="3370" t="s">
        <v>405</v>
      </c>
      <c r="M72" s="3370"/>
      <c r="N72" s="1294">
        <f ca="1">D66</f>
        <v>4762</v>
      </c>
      <c r="O72" s="1855" t="str">
        <f>E66</f>
        <v>销售额×税（费）率</v>
      </c>
      <c r="P72" s="1295">
        <f>F66</f>
        <v>5.6000000000000001E-2</v>
      </c>
      <c r="Q72" s="2024"/>
      <c r="R72" s="2024"/>
      <c r="S72" s="2024"/>
      <c r="T72" s="2024"/>
      <c r="U72" s="2024"/>
      <c r="V72" s="2024"/>
    </row>
    <row r="73" spans="1:22" ht="24" customHeight="1">
      <c r="A73" s="3364" t="s">
        <v>410</v>
      </c>
      <c r="B73" s="3332"/>
      <c r="C73" s="3332"/>
      <c r="D73" s="361">
        <f>IF(H73="个人住宅",0,ROUND(D63*I73,0))</f>
        <v>0</v>
      </c>
      <c r="E73" s="17" t="s">
        <v>411</v>
      </c>
      <c r="F73" s="359" t="str">
        <f>IF(H73="正常",I73,"免征")</f>
        <v>免征</v>
      </c>
      <c r="G73" s="360"/>
      <c r="H73" s="191" t="s">
        <v>2455</v>
      </c>
      <c r="I73" s="359">
        <f>'数据-取费表'!B49</f>
        <v>5.0000000000000001E-4</v>
      </c>
      <c r="J73" s="2031"/>
      <c r="K73" s="1972">
        <v>2</v>
      </c>
      <c r="L73" s="3370" t="s">
        <v>409</v>
      </c>
      <c r="M73" s="3370"/>
      <c r="N73" s="1294">
        <f t="shared" ref="N73:P74" si="1">D73</f>
        <v>0</v>
      </c>
      <c r="O73" s="1855" t="str">
        <f t="shared" si="1"/>
        <v>销售额×税（费）率</v>
      </c>
      <c r="P73" s="1295" t="str">
        <f t="shared" si="1"/>
        <v>免征</v>
      </c>
      <c r="Q73" s="2024"/>
      <c r="R73" s="2024"/>
      <c r="S73" s="2024"/>
      <c r="T73" s="2024"/>
      <c r="U73" s="2024"/>
      <c r="V73" s="2024"/>
    </row>
    <row r="74" spans="1:22" ht="24.75">
      <c r="A74" s="3364" t="s">
        <v>414</v>
      </c>
      <c r="B74" s="3332"/>
      <c r="C74" s="3332"/>
      <c r="D74" s="361">
        <f ca="1">IF(H74="个人住宅",D75,D76)</f>
        <v>49879</v>
      </c>
      <c r="E74" s="17" t="s">
        <v>415</v>
      </c>
      <c r="F74" s="359" t="str">
        <f>IF(H74="正常",F76,"免征")</f>
        <v>——</v>
      </c>
      <c r="G74" s="981" t="s">
        <v>416</v>
      </c>
      <c r="H74" s="362" t="s">
        <v>412</v>
      </c>
      <c r="I74" s="42"/>
      <c r="J74" s="2031"/>
      <c r="K74" s="1972">
        <v>3</v>
      </c>
      <c r="L74" s="3370" t="s">
        <v>413</v>
      </c>
      <c r="M74" s="3370"/>
      <c r="N74" s="1294">
        <f t="shared" ca="1" si="1"/>
        <v>49879</v>
      </c>
      <c r="O74" s="1855" t="str">
        <f t="shared" si="1"/>
        <v>增值额×税（费）率</v>
      </c>
      <c r="P74" s="1297" t="str">
        <f t="shared" si="1"/>
        <v>——</v>
      </c>
      <c r="Q74" s="2024"/>
      <c r="R74" s="2024"/>
      <c r="S74" s="2024"/>
      <c r="T74" s="2024"/>
      <c r="U74" s="2024"/>
      <c r="V74" s="2024"/>
    </row>
    <row r="75" spans="1:22" ht="24">
      <c r="A75" s="358" t="s">
        <v>417</v>
      </c>
      <c r="B75" s="3320" t="s">
        <v>418</v>
      </c>
      <c r="C75" s="3350"/>
      <c r="D75" s="363">
        <v>0</v>
      </c>
      <c r="E75" s="41" t="s">
        <v>419</v>
      </c>
      <c r="F75" s="364"/>
      <c r="G75" s="360"/>
      <c r="H75" s="42"/>
      <c r="I75" s="42"/>
      <c r="J75" s="2031"/>
      <c r="K75" s="3072">
        <f>IF(H77="非个人房产","",4)</f>
        <v>4</v>
      </c>
      <c r="L75" s="3370" t="str">
        <f>IF(H77="非个人房产","——","个人所得税")</f>
        <v>个人所得税</v>
      </c>
      <c r="M75" s="3370"/>
      <c r="N75" s="1298">
        <f ca="1">D77</f>
        <v>893</v>
      </c>
      <c r="O75" s="1868" t="str">
        <f>E77</f>
        <v>销售额×税（费）率</v>
      </c>
      <c r="P75" s="1299">
        <f>F77</f>
        <v>0.01</v>
      </c>
      <c r="Q75" s="2024"/>
      <c r="R75" s="2024"/>
      <c r="S75" s="2024"/>
      <c r="T75" s="2024"/>
      <c r="U75" s="2024"/>
      <c r="V75" s="2024"/>
    </row>
    <row r="76" spans="1:22" ht="24.75">
      <c r="A76" s="358" t="s">
        <v>395</v>
      </c>
      <c r="B76" s="3320" t="s">
        <v>421</v>
      </c>
      <c r="C76" s="3321"/>
      <c r="D76" s="361">
        <f ca="1">IF(H76="转让取得",C99,C115)</f>
        <v>49879</v>
      </c>
      <c r="E76" s="17" t="s">
        <v>422</v>
      </c>
      <c r="F76" s="53" t="s">
        <v>21</v>
      </c>
      <c r="G76" s="360"/>
      <c r="H76" s="362" t="s">
        <v>423</v>
      </c>
      <c r="I76" s="42"/>
      <c r="J76" s="2031"/>
      <c r="K76" s="3072" t="str">
        <f>IF(项目基本情况!K6="上海银行",IF(K75="",4,K75+1),"")</f>
        <v/>
      </c>
      <c r="L76" s="3381" t="str">
        <f>IF(项目基本情况!K6="上海银行","其他处置费用","")</f>
        <v/>
      </c>
      <c r="M76" s="3382"/>
      <c r="N76" s="1294" t="str">
        <f>IF(项目基本情况!K6="上海银行",N89,"")</f>
        <v/>
      </c>
      <c r="O76" s="3383" t="str">
        <f>IF(项目基本情况!K6="上海银行","包含处置中涉及的律师、诉讼、拍卖、评估等费用","")</f>
        <v/>
      </c>
      <c r="P76" s="3384"/>
      <c r="Q76" s="2024"/>
      <c r="R76" s="2024"/>
      <c r="S76" s="2024"/>
      <c r="T76" s="2024"/>
      <c r="U76" s="2024"/>
      <c r="V76" s="2024"/>
    </row>
    <row r="77" spans="1:22" ht="26.25" thickBot="1">
      <c r="A77" s="3372" t="s">
        <v>425</v>
      </c>
      <c r="B77" s="3373"/>
      <c r="C77" s="3373"/>
      <c r="D77" s="365">
        <f ca="1">IF(H77="非个人房产","——",IF(H77="个人住宅",0,ROUND(D63*I77,0)))</f>
        <v>893</v>
      </c>
      <c r="E77" s="366" t="str">
        <f>IF(H77="非个人房产","——","销售额×税（费）率")</f>
        <v>销售额×税（费）率</v>
      </c>
      <c r="F77" s="367">
        <f>IF(H77="非个人房产","——",IF(H77="个人住宅","免征",I77))</f>
        <v>0.01</v>
      </c>
      <c r="G77" s="982" t="s">
        <v>416</v>
      </c>
      <c r="H77" s="362" t="s">
        <v>2883</v>
      </c>
      <c r="I77" s="368">
        <v>0.01</v>
      </c>
      <c r="J77" s="2031"/>
      <c r="K77" s="3371">
        <f>IF(AND(K75="",K76=""),4,IF(项目基本情况!K6="上海银行",K76+1,K75+1))</f>
        <v>5</v>
      </c>
      <c r="L77" s="3370" t="s">
        <v>2884</v>
      </c>
      <c r="M77" s="3078" t="s">
        <v>420</v>
      </c>
      <c r="N77" s="1300"/>
      <c r="O77" s="1301">
        <f ca="1">SUMIF(N72:N76,"&lt;9e307")</f>
        <v>55534</v>
      </c>
      <c r="P77" s="1302"/>
      <c r="Q77" s="3076">
        <f ca="1">O77/N69</f>
        <v>0.37319731731247396</v>
      </c>
      <c r="R77" s="2024"/>
      <c r="S77" s="2024"/>
      <c r="T77" s="2024"/>
      <c r="U77" s="2024"/>
      <c r="V77" s="2024"/>
    </row>
    <row r="78" spans="1:22" ht="12" customHeight="1">
      <c r="A78" s="1303"/>
      <c r="B78" s="310"/>
      <c r="C78" s="310"/>
      <c r="D78" s="310"/>
      <c r="E78" s="42"/>
      <c r="F78" s="42"/>
      <c r="G78" s="42"/>
      <c r="H78" s="1001"/>
      <c r="I78" s="310"/>
      <c r="J78" s="2031"/>
      <c r="K78" s="3371"/>
      <c r="L78" s="3370"/>
      <c r="M78" s="3078" t="s">
        <v>424</v>
      </c>
      <c r="N78" s="1300"/>
      <c r="O78" s="1301" t="str">
        <f ca="1">NUMBERSTRING(INT(O77*10000),2)&amp;"元整"</f>
        <v>伍亿伍仟伍佰叁拾肆万元整</v>
      </c>
      <c r="P78" s="1302"/>
      <c r="Q78" s="2024"/>
      <c r="R78" s="2024"/>
      <c r="S78" s="2024"/>
      <c r="T78" s="2024"/>
      <c r="U78" s="2024"/>
      <c r="V78" s="2024"/>
    </row>
    <row r="79" spans="1:22" ht="13.5" thickBot="1">
      <c r="A79" s="3365" t="s">
        <v>426</v>
      </c>
      <c r="B79" s="3365"/>
      <c r="C79" s="3365"/>
      <c r="D79" s="3365"/>
      <c r="E79" s="3365"/>
      <c r="F79" s="42"/>
      <c r="G79" s="42"/>
      <c r="H79" s="1001"/>
      <c r="I79" s="310"/>
      <c r="J79" s="2031"/>
      <c r="K79" s="3391">
        <f>K77+1</f>
        <v>6</v>
      </c>
      <c r="L79" s="3370" t="s">
        <v>2885</v>
      </c>
      <c r="M79" s="3078" t="s">
        <v>420</v>
      </c>
      <c r="N79" s="1300"/>
      <c r="O79" s="1301">
        <f ca="1">N69-O77</f>
        <v>93272</v>
      </c>
      <c r="P79" s="1302"/>
      <c r="Q79" s="2024"/>
      <c r="R79" s="2024"/>
      <c r="S79" s="2024"/>
      <c r="T79" s="2024"/>
      <c r="U79" s="2024"/>
      <c r="V79" s="2024"/>
    </row>
    <row r="80" spans="1:22" ht="25.5">
      <c r="A80" s="3360" t="s">
        <v>427</v>
      </c>
      <c r="B80" s="3361"/>
      <c r="C80" s="992"/>
      <c r="D80" s="992" t="s">
        <v>428</v>
      </c>
      <c r="E80" s="369" t="s">
        <v>429</v>
      </c>
      <c r="F80" s="42"/>
      <c r="G80" s="42"/>
      <c r="H80" s="1001"/>
      <c r="I80" s="310"/>
      <c r="J80" s="2024"/>
      <c r="K80" s="3392"/>
      <c r="L80" s="3370"/>
      <c r="M80" s="3078" t="s">
        <v>424</v>
      </c>
      <c r="N80" s="1300"/>
      <c r="O80" s="1301" t="str">
        <f ca="1">NUMBERSTRING(INT(O79*10000),2)&amp;"元整"</f>
        <v>玖亿叁仟贰佰柒拾贰万元整</v>
      </c>
      <c r="P80" s="1302"/>
      <c r="Q80" s="2024"/>
      <c r="R80" s="2024"/>
      <c r="S80" s="2024"/>
      <c r="T80" s="2024"/>
      <c r="U80" s="2024"/>
      <c r="V80" s="2024"/>
    </row>
    <row r="81" spans="1:26" ht="13.5" thickBot="1">
      <c r="A81" s="380" t="s">
        <v>1823</v>
      </c>
      <c r="B81" s="370" t="s">
        <v>430</v>
      </c>
      <c r="C81" s="371">
        <f ca="1">ROUND((C82+C83)/(1+'数据-取费表'!C42),0)</f>
        <v>85032</v>
      </c>
      <c r="D81" s="372"/>
      <c r="E81" s="373"/>
      <c r="F81" s="42"/>
      <c r="G81" s="42"/>
      <c r="H81" s="1001"/>
      <c r="I81" s="310"/>
      <c r="J81" s="2024"/>
      <c r="K81" s="3072">
        <f>K79+1</f>
        <v>7</v>
      </c>
      <c r="L81" s="3368" t="s">
        <v>2886</v>
      </c>
      <c r="M81" s="3369"/>
      <c r="N81" s="1304"/>
      <c r="O81" s="1305">
        <f ca="1">ROUND(O79*10000/'数据-汇总表'!E3,0)</f>
        <v>14205</v>
      </c>
      <c r="P81" s="1306"/>
      <c r="Q81" s="2024"/>
      <c r="R81" s="2024"/>
      <c r="S81" s="2024"/>
      <c r="T81" s="2024"/>
      <c r="U81" s="2024"/>
      <c r="V81" s="2024"/>
    </row>
    <row r="82" spans="1:26" ht="13.5" thickTop="1">
      <c r="A82" s="374" t="s">
        <v>1824</v>
      </c>
      <c r="B82" s="375" t="s">
        <v>431</v>
      </c>
      <c r="C82" s="376">
        <f ca="1">D63</f>
        <v>89284</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80" t="s">
        <v>2873</v>
      </c>
      <c r="L83" s="3084" t="s">
        <v>2874</v>
      </c>
      <c r="M83" s="3074">
        <f ca="1">IF(N69&gt;10000,N69*0.5%,IF(AND(N69&gt;1000,N69&lt;=10000),N69*1%,IF(AND(N69&gt;100,N69&lt;=1000),N69*3%,IF(AND(N69&gt;10,N69&lt;=100),N69*5%,N69*8%))))</f>
        <v>744.03</v>
      </c>
      <c r="N83" s="53">
        <f ca="1">ROUND(M83,1)</f>
        <v>744</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80"/>
      <c r="L84" s="3084" t="s">
        <v>2875</v>
      </c>
      <c r="M84" s="3074">
        <f ca="1">IF(N69&gt;2000,N69*0.5%,IF(AND(N69&gt;1000,N69&lt;=2000),N69*0.6%,IF(AND(N69&gt;500,N69&lt;=1000),N69*0.7%,IF(AND(N69&gt;200,N69&lt;=500),N69*0.8%,IF(AND(N69&gt;100,N69&lt;=200),N69*0.9%,IF(AND(N69&gt;50,N69&lt;=100),N69*1%,IF(AND(N69&gt;20,N69&lt;=50),N69*1.5%,IF(AND(N69&gt;10,N69&lt;=20),N69*2%,IF(AND(N69&gt;1,N69&lt;=10),N69*2.5%)))))))))</f>
        <v>744.03</v>
      </c>
      <c r="N84" s="53">
        <f t="shared" ref="N84:N85" ca="1" si="2">ROUND(M84,1)</f>
        <v>744</v>
      </c>
      <c r="O84" s="2024" t="s">
        <v>2876</v>
      </c>
      <c r="P84" s="2024"/>
      <c r="Q84" s="2024"/>
      <c r="R84" s="2024"/>
      <c r="S84" s="2024"/>
      <c r="T84" s="2024"/>
      <c r="U84" s="2024"/>
      <c r="V84" s="2024"/>
    </row>
    <row r="85" spans="1:26" ht="12.75">
      <c r="A85" s="380" t="s">
        <v>1827</v>
      </c>
      <c r="B85" s="381" t="s">
        <v>434</v>
      </c>
      <c r="C85" s="384">
        <f ca="1">C81-C84</f>
        <v>83032</v>
      </c>
      <c r="D85" s="377" t="s">
        <v>19</v>
      </c>
      <c r="E85" s="378"/>
      <c r="F85" s="42"/>
      <c r="G85" s="42"/>
      <c r="H85" s="1001"/>
      <c r="I85" s="310"/>
      <c r="J85" s="2024"/>
      <c r="K85" s="3380"/>
      <c r="L85" s="3084" t="s">
        <v>2877</v>
      </c>
      <c r="M85" s="3074">
        <f ca="1">IF(N69&gt;1000,N69*0.1%,IF(AND(N69&gt;500,N69&lt;=1000),N69*0.5%,IF(AND(N69&gt;50,N69&lt;=500),N69*1%,IF(AND(N69&gt;1,N69&lt;=50),N69*1.5%))))</f>
        <v>148.80600000000001</v>
      </c>
      <c r="N85" s="53">
        <f t="shared" ca="1" si="2"/>
        <v>148.80000000000001</v>
      </c>
      <c r="O85" s="2024" t="s">
        <v>2876</v>
      </c>
      <c r="P85" s="2024"/>
      <c r="Q85" s="2024"/>
      <c r="R85" s="2024"/>
      <c r="S85" s="2024"/>
      <c r="T85" s="2024"/>
      <c r="U85" s="2024"/>
      <c r="V85" s="2024"/>
    </row>
    <row r="86" spans="1:26" ht="13.5" thickBot="1">
      <c r="A86" s="385" t="s">
        <v>1828</v>
      </c>
      <c r="B86" s="386" t="s">
        <v>435</v>
      </c>
      <c r="C86" s="387">
        <f ca="1">IF(C85&lt;=0,0,ROUND(C85*D86,0))</f>
        <v>4650</v>
      </c>
      <c r="D86" s="388">
        <f>'数据-取费表'!B41</f>
        <v>5.6000000000000001E-2</v>
      </c>
      <c r="E86" s="389"/>
      <c r="F86" s="42"/>
      <c r="G86" s="42"/>
      <c r="H86" s="1001"/>
      <c r="I86" s="310"/>
      <c r="J86" s="2024"/>
      <c r="K86" s="3380"/>
      <c r="L86" s="3084" t="s">
        <v>2878</v>
      </c>
      <c r="M86" s="3074">
        <f ca="1">N69*0.5%</f>
        <v>744.03</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0"/>
      <c r="L87" s="3084" t="s">
        <v>2880</v>
      </c>
      <c r="M87" s="3074">
        <f ca="1">IF(N69&gt;=10000,(8.25+(N69-10000)*0.01%),IF(AND(N69&gt;=8000,N69&lt;10000),(7.85+(N69-8000)*0.02%),IF(AND(N69&gt;=5000,N69&lt;8000),(6.65+(N69-5000)*0.04%),IF(AND(N69&gt;=2000,N69&lt;5000),(4.25+(PN69-2000)*0.08%),IF(AND(N69&gt;=1000,N69&lt;2000),(2.75+(N69-1000)*0.15%),IF(AND(N69&gt;=100,N69&lt;1000),(0.5+(N69-100)*0.25%),IF(AND(N69&gt;0,N69&lt;100),N69*0.5%)))))))</f>
        <v>22.130600000000001</v>
      </c>
      <c r="N87" s="53">
        <f ca="1">ROUND(M87*0.9,1)</f>
        <v>19.899999999999999</v>
      </c>
      <c r="O87" s="3077"/>
      <c r="P87" s="310"/>
      <c r="Q87" s="2024"/>
      <c r="R87" s="2024"/>
      <c r="S87" s="2024"/>
      <c r="T87" s="2024"/>
      <c r="U87" s="2024"/>
      <c r="V87" s="2024"/>
      <c r="W87" s="291"/>
      <c r="X87" s="291"/>
      <c r="Y87" s="291"/>
      <c r="Z87" s="291"/>
    </row>
    <row r="88" spans="1:26" s="1312" customFormat="1" ht="15" thickBot="1">
      <c r="A88" s="3362" t="s">
        <v>436</v>
      </c>
      <c r="B88" s="3363"/>
      <c r="C88" s="3363"/>
      <c r="D88" s="3363"/>
      <c r="E88" s="3363"/>
      <c r="F88" s="3363"/>
      <c r="G88" s="3363"/>
      <c r="H88" s="3363"/>
      <c r="I88" s="1313"/>
      <c r="J88" s="2032"/>
      <c r="K88" s="3380"/>
      <c r="L88" s="3084" t="s">
        <v>2881</v>
      </c>
      <c r="M88" s="3074">
        <f ca="1">IF(N69&gt;10000,N69*0.5%,IF(AND(N69&gt;5000,N69&lt;=10000),N69*1%,IF(AND(N69&gt;1000,N69&lt;=5000),N69*2%,IF(AND(N69&gt;200,N69&lt;=1000),N69*3%,N69*5%))))</f>
        <v>744.03</v>
      </c>
      <c r="N88" s="53">
        <f ca="1">ROUND(M88,1)</f>
        <v>744</v>
      </c>
      <c r="O88" s="3077"/>
      <c r="P88" s="11"/>
      <c r="Q88" s="2029"/>
      <c r="R88" s="2029"/>
      <c r="S88" s="2029"/>
      <c r="T88" s="2029"/>
      <c r="U88" s="2029"/>
      <c r="V88" s="2029"/>
      <c r="W88" s="2033"/>
      <c r="X88" s="2033"/>
      <c r="Y88" s="2033"/>
      <c r="Z88" s="2033"/>
    </row>
    <row r="89" spans="1:26" s="1312" customFormat="1" ht="14.25">
      <c r="A89" s="3360" t="s">
        <v>427</v>
      </c>
      <c r="B89" s="3361"/>
      <c r="C89" s="992"/>
      <c r="D89" s="992" t="s">
        <v>428</v>
      </c>
      <c r="E89" s="390" t="s">
        <v>437</v>
      </c>
      <c r="F89" s="391"/>
      <c r="G89" s="391"/>
      <c r="H89" s="392"/>
      <c r="I89" s="1314"/>
      <c r="J89" s="2034"/>
      <c r="K89" s="3380"/>
      <c r="L89" s="3084" t="s">
        <v>27</v>
      </c>
      <c r="M89" s="3075"/>
      <c r="N89" s="53">
        <f ca="1">ROUND(SUM(N83:N88),0)</f>
        <v>2401</v>
      </c>
      <c r="O89" s="3085">
        <f ca="1">N89/N69</f>
        <v>1.6135102079217235E-2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85032</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3071</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23" t="s">
        <v>446</v>
      </c>
      <c r="F94" s="3322"/>
      <c r="G94" s="3322"/>
      <c r="H94" s="3359"/>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510</v>
      </c>
      <c r="D96" s="405">
        <f>'数据-取费表'!B43</f>
        <v>6.000000000000001E-3</v>
      </c>
      <c r="E96" s="3351" t="s">
        <v>2428</v>
      </c>
      <c r="F96" s="3352"/>
      <c r="G96" s="3352"/>
      <c r="H96" s="335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81961</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26.688700748941713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48102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2" t="s">
        <v>453</v>
      </c>
      <c r="B101" s="3363"/>
      <c r="C101" s="3363"/>
      <c r="D101" s="3363"/>
      <c r="E101" s="3363"/>
      <c r="F101" s="3363"/>
      <c r="G101" s="3363"/>
      <c r="H101" s="3363"/>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0" t="s">
        <v>427</v>
      </c>
      <c r="B102" s="3361"/>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85032</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1200</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4" t="s">
        <v>461</v>
      </c>
      <c r="F109" s="3352"/>
      <c r="G109" s="3352"/>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4" t="s">
        <v>463</v>
      </c>
      <c r="F110" s="3352"/>
      <c r="G110" s="3352"/>
      <c r="H110" s="335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510</v>
      </c>
      <c r="D111" s="405">
        <f>'数据-取费表'!B43</f>
        <v>6.000000000000001E-3</v>
      </c>
      <c r="E111" s="3351" t="s">
        <v>2428</v>
      </c>
      <c r="F111" s="3352"/>
      <c r="G111" s="3352"/>
      <c r="H111" s="335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4" t="s">
        <v>2453</v>
      </c>
      <c r="F112" s="3352"/>
      <c r="G112" s="3352"/>
      <c r="H112" s="335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83832</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69.86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49879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L66" sqref="L66"/>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160806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24490</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120662</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8044</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05" t="s">
        <v>521</v>
      </c>
      <c r="D6" s="3406"/>
      <c r="E6" s="3405" t="s">
        <v>522</v>
      </c>
      <c r="F6" s="3406"/>
      <c r="G6" s="3405" t="s">
        <v>523</v>
      </c>
      <c r="H6" s="3406"/>
      <c r="I6" s="3405" t="s">
        <v>524</v>
      </c>
      <c r="J6" s="3406"/>
      <c r="K6" s="513" t="s">
        <v>525</v>
      </c>
      <c r="L6" s="2129"/>
      <c r="M6" s="2128"/>
      <c r="N6" s="2128"/>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30" ht="20.25">
      <c r="A7" s="514"/>
      <c r="B7" s="515"/>
      <c r="C7" s="3423" t="s">
        <v>3051</v>
      </c>
      <c r="D7" s="3422"/>
      <c r="E7" s="3421" t="s">
        <v>3052</v>
      </c>
      <c r="F7" s="3422"/>
      <c r="G7" s="3421" t="s">
        <v>3282</v>
      </c>
      <c r="H7" s="3422"/>
      <c r="I7" s="3421" t="s">
        <v>3053</v>
      </c>
      <c r="J7" s="3422"/>
      <c r="K7" s="513"/>
      <c r="L7" s="2129"/>
      <c r="M7" s="2128"/>
      <c r="N7" s="2128"/>
      <c r="O7" s="2130"/>
      <c r="P7" s="3409"/>
      <c r="Q7" s="3410"/>
      <c r="R7" s="3415"/>
      <c r="S7" s="3416"/>
      <c r="T7" s="3415"/>
      <c r="U7" s="3416"/>
      <c r="V7" s="3400"/>
      <c r="W7" s="3400"/>
      <c r="X7" s="1564"/>
      <c r="Y7" s="3415"/>
      <c r="Z7" s="3416"/>
      <c r="AA7" s="3403"/>
      <c r="AB7" s="3403"/>
      <c r="AC7" s="3403"/>
    </row>
    <row r="8" spans="1:30" ht="55.5" customHeight="1" thickBot="1">
      <c r="A8" s="514"/>
      <c r="B8" s="515"/>
      <c r="C8" s="3424" t="s">
        <v>3273</v>
      </c>
      <c r="D8" s="3425"/>
      <c r="E8" s="3424" t="s">
        <v>3054</v>
      </c>
      <c r="F8" s="3425"/>
      <c r="G8" s="3419" t="s">
        <v>3280</v>
      </c>
      <c r="H8" s="3420"/>
      <c r="I8" s="3419" t="s">
        <v>3281</v>
      </c>
      <c r="J8" s="3420"/>
      <c r="K8" s="513" t="s">
        <v>527</v>
      </c>
      <c r="L8" s="2129"/>
      <c r="M8" s="2128"/>
      <c r="N8" s="2128"/>
      <c r="O8" s="2130"/>
      <c r="P8" s="3411"/>
      <c r="Q8" s="3412"/>
      <c r="R8" s="3415"/>
      <c r="S8" s="3416"/>
      <c r="T8" s="3417"/>
      <c r="U8" s="3418"/>
      <c r="V8" s="3400"/>
      <c r="W8" s="3400"/>
      <c r="X8" s="1564"/>
      <c r="Y8" s="3417"/>
      <c r="Z8" s="3418"/>
      <c r="AA8" s="3404"/>
      <c r="AB8" s="3404"/>
      <c r="AC8" s="3404"/>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31" t="s">
        <v>529</v>
      </c>
      <c r="Q9" s="3433"/>
      <c r="R9" s="1565" t="s">
        <v>8</v>
      </c>
      <c r="S9" s="1566">
        <f t="shared" ref="S9:S17" si="0">F9</f>
        <v>99</v>
      </c>
      <c r="T9" s="1565" t="s">
        <v>8</v>
      </c>
      <c r="U9" s="1566">
        <f t="shared" ref="U9:U17" si="1">H9</f>
        <v>98</v>
      </c>
      <c r="V9" s="1565" t="s">
        <v>8</v>
      </c>
      <c r="W9" s="1566">
        <f t="shared" ref="W9:W17" si="2">J9</f>
        <v>95.5</v>
      </c>
      <c r="X9" s="1567"/>
      <c r="Y9" s="3431" t="s">
        <v>529</v>
      </c>
      <c r="Z9" s="3432"/>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31" t="s">
        <v>532</v>
      </c>
      <c r="Q10" s="3432"/>
      <c r="R10" s="1565" t="s">
        <v>8</v>
      </c>
      <c r="S10" s="1566">
        <f t="shared" si="0"/>
        <v>100</v>
      </c>
      <c r="T10" s="1565" t="s">
        <v>8</v>
      </c>
      <c r="U10" s="1566">
        <f t="shared" si="1"/>
        <v>100</v>
      </c>
      <c r="V10" s="1565" t="s">
        <v>8</v>
      </c>
      <c r="W10" s="1566">
        <f t="shared" si="2"/>
        <v>100</v>
      </c>
      <c r="X10" s="1567"/>
      <c r="Y10" s="3431" t="s">
        <v>532</v>
      </c>
      <c r="Z10" s="3432"/>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30" s="1336" customFormat="1" ht="28.5">
      <c r="A12" s="2935"/>
      <c r="B12" s="2940" t="s">
        <v>2756</v>
      </c>
      <c r="C12" s="909" t="s">
        <v>3134</v>
      </c>
      <c r="D12" s="254">
        <v>100</v>
      </c>
      <c r="E12" s="528" t="s">
        <v>3135</v>
      </c>
      <c r="F12" s="254">
        <f>ROUND(100/'数据-取费表'!G16,0)</f>
        <v>101</v>
      </c>
      <c r="G12" s="529" t="s">
        <v>3136</v>
      </c>
      <c r="H12" s="254">
        <f>ROUND(100/'数据-取费表'!G16,0)</f>
        <v>101</v>
      </c>
      <c r="I12" s="529" t="s">
        <v>3136</v>
      </c>
      <c r="J12" s="254">
        <f>ROUND(100/'数据-取费表'!G16,0)</f>
        <v>101</v>
      </c>
      <c r="K12" s="530"/>
      <c r="L12" s="2134"/>
      <c r="M12" s="2128"/>
      <c r="N12" s="2128"/>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399"/>
      <c r="Q13" s="1149" t="str">
        <f t="shared" si="6"/>
        <v>容积率</v>
      </c>
      <c r="R13" s="1565" t="s">
        <v>8</v>
      </c>
      <c r="S13" s="1566">
        <f t="shared" si="0"/>
        <v>96</v>
      </c>
      <c r="T13" s="1565" t="s">
        <v>8</v>
      </c>
      <c r="U13" s="1566">
        <f t="shared" si="1"/>
        <v>102</v>
      </c>
      <c r="V13" s="1565" t="s">
        <v>8</v>
      </c>
      <c r="W13" s="1566">
        <f t="shared" si="2"/>
        <v>97</v>
      </c>
      <c r="X13" s="1567"/>
      <c r="Y13" s="3345"/>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399"/>
      <c r="Q14" s="1149" t="str">
        <f t="shared" si="6"/>
        <v>配建</v>
      </c>
      <c r="R14" s="1565" t="s">
        <v>8</v>
      </c>
      <c r="S14" s="1566">
        <f t="shared" si="0"/>
        <v>100</v>
      </c>
      <c r="T14" s="1565" t="s">
        <v>8</v>
      </c>
      <c r="U14" s="1566">
        <f t="shared" si="1"/>
        <v>100</v>
      </c>
      <c r="V14" s="1565" t="s">
        <v>8</v>
      </c>
      <c r="W14" s="1566">
        <f t="shared" si="2"/>
        <v>100</v>
      </c>
      <c r="X14" s="1567"/>
      <c r="Y14" s="3345"/>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34" t="s">
        <v>539</v>
      </c>
      <c r="Q17" s="1569" t="str">
        <f t="shared" si="6"/>
        <v>居住社区成熟度</v>
      </c>
      <c r="R17" s="1570" t="s">
        <v>8</v>
      </c>
      <c r="S17" s="1571">
        <f t="shared" si="0"/>
        <v>100</v>
      </c>
      <c r="T17" s="1570" t="s">
        <v>8</v>
      </c>
      <c r="U17" s="1571">
        <f t="shared" si="1"/>
        <v>100</v>
      </c>
      <c r="V17" s="1570" t="s">
        <v>8</v>
      </c>
      <c r="W17" s="1571">
        <f t="shared" si="2"/>
        <v>100</v>
      </c>
      <c r="X17" s="1564"/>
      <c r="Y17" s="3434"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35"/>
      <c r="Q18" s="1569"/>
      <c r="R18" s="1570"/>
      <c r="S18" s="1571"/>
      <c r="T18" s="1570"/>
      <c r="U18" s="1571"/>
      <c r="V18" s="1570"/>
      <c r="W18" s="1571"/>
      <c r="X18" s="1564"/>
      <c r="Y18" s="3435"/>
      <c r="Z18" s="1572"/>
      <c r="AA18" s="1573">
        <v>1</v>
      </c>
      <c r="AB18" s="1573">
        <v>1</v>
      </c>
      <c r="AC18" s="1573">
        <v>1</v>
      </c>
    </row>
    <row r="19" spans="1:29" ht="93" hidden="1" customHeight="1">
      <c r="A19" s="531"/>
      <c r="B19" s="3206" t="s">
        <v>540</v>
      </c>
      <c r="C19" s="560" t="str">
        <f>估价对象房地状况!C16</f>
        <v>估价对象位于中关村环保科技园，周边商业氛围成熟度一般，人流量一般，商业繁华度一般。</v>
      </c>
      <c r="D19" s="562">
        <v>100</v>
      </c>
      <c r="E19" s="3184" t="s">
        <v>3107</v>
      </c>
      <c r="F19" s="558">
        <f>SUMIF(92:92,E20,93:93)-SUMIF(92:92,C20,93:93)+100</f>
        <v>100</v>
      </c>
      <c r="G19" s="3183" t="s">
        <v>3123</v>
      </c>
      <c r="H19" s="564">
        <f>SUMIF(92:92,G20,93:93)-SUMIF(92:92,C20,93:93)+100</f>
        <v>100</v>
      </c>
      <c r="I19" s="3183" t="s">
        <v>3129</v>
      </c>
      <c r="J19" s="564">
        <f>SUMIF(92:92,I20,93:93)-SUMIF(92:92,C20,93:93)+100</f>
        <v>100</v>
      </c>
      <c r="K19" s="534">
        <v>0</v>
      </c>
      <c r="L19" s="2138"/>
      <c r="M19" s="2128"/>
      <c r="N19" s="2128"/>
      <c r="O19" s="2137"/>
      <c r="P19" s="3435"/>
      <c r="Q19" s="1569" t="str">
        <f>B19</f>
        <v>商业繁华度</v>
      </c>
      <c r="R19" s="1570" t="s">
        <v>8</v>
      </c>
      <c r="S19" s="1571">
        <f>F19</f>
        <v>100</v>
      </c>
      <c r="T19" s="1570" t="s">
        <v>8</v>
      </c>
      <c r="U19" s="1571">
        <f>H19</f>
        <v>100</v>
      </c>
      <c r="V19" s="1570" t="s">
        <v>8</v>
      </c>
      <c r="W19" s="1571">
        <f>J19</f>
        <v>100</v>
      </c>
      <c r="X19" s="1564"/>
      <c r="Y19" s="3435"/>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35"/>
      <c r="Q20" s="1569"/>
      <c r="R20" s="1570"/>
      <c r="S20" s="1571"/>
      <c r="T20" s="1570"/>
      <c r="U20" s="1571"/>
      <c r="V20" s="1570"/>
      <c r="W20" s="1571"/>
      <c r="X20" s="1564"/>
      <c r="Y20" s="3435"/>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3105</v>
      </c>
      <c r="F21" s="564">
        <f>SUMIF(94:94,E22,95:95)-SUMIF(94:94,C22,95:95)+100</f>
        <v>100</v>
      </c>
      <c r="G21" s="3184" t="s">
        <v>3121</v>
      </c>
      <c r="H21" s="558">
        <f>SUMIF(94:94,G22,95:95)-SUMIF(94:94,C22,95:95)+100</f>
        <v>100</v>
      </c>
      <c r="I21" s="3214" t="s">
        <v>3130</v>
      </c>
      <c r="J21" s="558">
        <f>SUMIF(94:94,I22,95:95)-SUMIF(94:94,C22,95:95)+100</f>
        <v>100</v>
      </c>
      <c r="K21" s="534">
        <v>3</v>
      </c>
      <c r="L21" s="2138"/>
      <c r="M21" s="2128"/>
      <c r="N21" s="2128"/>
      <c r="O21" s="2137"/>
      <c r="P21" s="3435"/>
      <c r="Q21" s="1569" t="str">
        <f>B21</f>
        <v>办公集聚程度</v>
      </c>
      <c r="R21" s="1570" t="s">
        <v>8</v>
      </c>
      <c r="S21" s="1571">
        <f>F21</f>
        <v>100</v>
      </c>
      <c r="T21" s="1570" t="s">
        <v>8</v>
      </c>
      <c r="U21" s="1571">
        <f>H21</f>
        <v>100</v>
      </c>
      <c r="V21" s="1570" t="s">
        <v>8</v>
      </c>
      <c r="W21" s="1571">
        <f>J21</f>
        <v>100</v>
      </c>
      <c r="X21" s="1564"/>
      <c r="Y21" s="3435"/>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35"/>
      <c r="Q22" s="1569"/>
      <c r="R22" s="1570"/>
      <c r="S22" s="1571"/>
      <c r="T22" s="1570"/>
      <c r="U22" s="1571"/>
      <c r="V22" s="1570"/>
      <c r="W22" s="1571"/>
      <c r="X22" s="1564"/>
      <c r="Y22" s="3435"/>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3108</v>
      </c>
      <c r="F23" s="564">
        <f>SUMIF(96:96,E24,97:97)-SUMIF(96:96,C24,97:97)+100</f>
        <v>100</v>
      </c>
      <c r="G23" s="563" t="s">
        <v>3124</v>
      </c>
      <c r="H23" s="558">
        <f>SUMIF(96:96,G24,97:97)-SUMIF(96:96,C24,97:97)+100</f>
        <v>100</v>
      </c>
      <c r="I23" s="563" t="s">
        <v>3131</v>
      </c>
      <c r="J23" s="558">
        <f>SUMIF(96:96,I24,97:97)-SUMIF(96:96,C24,97:97)+100</f>
        <v>100</v>
      </c>
      <c r="K23" s="534"/>
      <c r="L23" s="2138"/>
      <c r="M23" s="2128"/>
      <c r="N23" s="2128"/>
      <c r="O23" s="2137"/>
      <c r="P23" s="3435"/>
      <c r="Q23" s="1569" t="str">
        <f>B23</f>
        <v>交通便捷度</v>
      </c>
      <c r="R23" s="1570" t="s">
        <v>8</v>
      </c>
      <c r="S23" s="1571">
        <f>F23</f>
        <v>100</v>
      </c>
      <c r="T23" s="1570" t="s">
        <v>8</v>
      </c>
      <c r="U23" s="1571">
        <f>H23</f>
        <v>100</v>
      </c>
      <c r="V23" s="1570" t="s">
        <v>8</v>
      </c>
      <c r="W23" s="1571">
        <f>J23</f>
        <v>100</v>
      </c>
      <c r="X23" s="1564"/>
      <c r="Y23" s="3435"/>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35"/>
      <c r="Q24" s="1569"/>
      <c r="R24" s="1570"/>
      <c r="S24" s="1571"/>
      <c r="T24" s="1570"/>
      <c r="U24" s="1571"/>
      <c r="V24" s="1570"/>
      <c r="W24" s="1571"/>
      <c r="X24" s="1564"/>
      <c r="Y24" s="3435"/>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3112</v>
      </c>
      <c r="F25" s="564">
        <f>SUMIF(98:98,E26,99:99)-SUMIF(98:98,C26,99:99)+100</f>
        <v>100</v>
      </c>
      <c r="G25" s="3183" t="s">
        <v>3112</v>
      </c>
      <c r="H25" s="558">
        <f>SUMIF(98:98,G26,99:99)-SUMIF(98:98,C26,99:99)+100</f>
        <v>100</v>
      </c>
      <c r="I25" s="3184" t="s">
        <v>3112</v>
      </c>
      <c r="J25" s="558">
        <f>SUMIF(98:98,I26,99:99)-SUMIF(98:98,C26,99:99)+100</f>
        <v>100</v>
      </c>
      <c r="K25" s="534"/>
      <c r="L25" s="2138"/>
      <c r="M25" s="2128"/>
      <c r="N25" s="2128"/>
      <c r="O25" s="2137"/>
      <c r="P25" s="3435"/>
      <c r="Q25" s="1569" t="str">
        <f t="shared" ref="Q25:Q39" si="8">B25</f>
        <v>区域土地利用方向</v>
      </c>
      <c r="R25" s="1570" t="s">
        <v>8</v>
      </c>
      <c r="S25" s="1571">
        <f>F25</f>
        <v>100</v>
      </c>
      <c r="T25" s="1570" t="s">
        <v>8</v>
      </c>
      <c r="U25" s="1571">
        <f>H25</f>
        <v>100</v>
      </c>
      <c r="V25" s="1570" t="s">
        <v>8</v>
      </c>
      <c r="W25" s="1571">
        <f>J25</f>
        <v>100</v>
      </c>
      <c r="X25" s="1564"/>
      <c r="Y25" s="3435"/>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35"/>
      <c r="Q26" s="1569"/>
      <c r="R26" s="1570"/>
      <c r="S26" s="1571"/>
      <c r="T26" s="1570"/>
      <c r="U26" s="1571"/>
      <c r="V26" s="1570"/>
      <c r="W26" s="1571"/>
      <c r="X26" s="1564"/>
      <c r="Y26" s="3435"/>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3125</v>
      </c>
      <c r="F27" s="558">
        <f>SUMIF(100:100,E28,101:101)-SUMIF(100:100,C28,101:101)+100</f>
        <v>102</v>
      </c>
      <c r="G27" s="3184" t="s">
        <v>3126</v>
      </c>
      <c r="H27" s="558">
        <f>SUMIF(100:100,G28,101:101)-SUMIF(100:100,C28,101:101)+100</f>
        <v>102</v>
      </c>
      <c r="I27" s="3184" t="s">
        <v>3132</v>
      </c>
      <c r="J27" s="558">
        <f>SUMIF(100:100,I28,101:101)-SUMIF(100:100,C28,101:101)+100</f>
        <v>102</v>
      </c>
      <c r="K27" s="534">
        <v>2</v>
      </c>
      <c r="L27" s="2138"/>
      <c r="M27" s="2128"/>
      <c r="N27" s="2128"/>
      <c r="O27" s="2137"/>
      <c r="P27" s="3435"/>
      <c r="Q27" s="1569" t="str">
        <f t="shared" si="8"/>
        <v>自然及人文环境状况</v>
      </c>
      <c r="R27" s="1570" t="s">
        <v>8</v>
      </c>
      <c r="S27" s="1571">
        <f>F27</f>
        <v>102</v>
      </c>
      <c r="T27" s="1570" t="s">
        <v>8</v>
      </c>
      <c r="U27" s="1571">
        <f>H27</f>
        <v>102</v>
      </c>
      <c r="V27" s="1570" t="s">
        <v>8</v>
      </c>
      <c r="W27" s="1571">
        <f>J27</f>
        <v>102</v>
      </c>
      <c r="X27" s="1564"/>
      <c r="Y27" s="3435"/>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35"/>
      <c r="Q28" s="1569"/>
      <c r="R28" s="1570"/>
      <c r="S28" s="1571"/>
      <c r="T28" s="1570"/>
      <c r="U28" s="1571"/>
      <c r="V28" s="1570"/>
      <c r="W28" s="1571"/>
      <c r="X28" s="1564"/>
      <c r="Y28" s="3435"/>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3113</v>
      </c>
      <c r="F29" s="558">
        <f>SUMIF(102:102,E30,103:103)-SUMIF(102:102,C30,103:103)+100</f>
        <v>100</v>
      </c>
      <c r="G29" s="563" t="s">
        <v>3127</v>
      </c>
      <c r="H29" s="558">
        <f>SUMIF(102:102,G30,103:103)-SUMIF(102:102,C30,103:103)+100</f>
        <v>100</v>
      </c>
      <c r="I29" s="563" t="s">
        <v>3133</v>
      </c>
      <c r="J29" s="558">
        <f>SUMIF(102:102,I30,103:103)-SUMIF(102:102,C30,103:103)+100</f>
        <v>102</v>
      </c>
      <c r="K29" s="534">
        <v>2</v>
      </c>
      <c r="L29" s="2131"/>
      <c r="M29" s="2128"/>
      <c r="N29" s="2128"/>
      <c r="O29" s="2133"/>
      <c r="P29" s="3435"/>
      <c r="Q29" s="1149" t="str">
        <f t="shared" si="8"/>
        <v>公共配套设施</v>
      </c>
      <c r="R29" s="1565" t="s">
        <v>8</v>
      </c>
      <c r="S29" s="1566">
        <f>F29</f>
        <v>100</v>
      </c>
      <c r="T29" s="1565" t="s">
        <v>8</v>
      </c>
      <c r="U29" s="1566">
        <f>H29</f>
        <v>100</v>
      </c>
      <c r="V29" s="1565" t="s">
        <v>8</v>
      </c>
      <c r="W29" s="1566">
        <f>J29</f>
        <v>102</v>
      </c>
      <c r="X29" s="1567"/>
      <c r="Y29" s="3435"/>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35"/>
      <c r="Q30" s="1149"/>
      <c r="R30" s="1565"/>
      <c r="S30" s="1566"/>
      <c r="T30" s="1565"/>
      <c r="U30" s="1566"/>
      <c r="V30" s="1565"/>
      <c r="W30" s="1566"/>
      <c r="X30" s="1567"/>
      <c r="Y30" s="3435"/>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3109</v>
      </c>
      <c r="F31" s="558">
        <f>SUMIF(104:104,E32,105:105)-SUMIF(104:104,C32,105:105)+100</f>
        <v>100</v>
      </c>
      <c r="G31" s="561" t="s">
        <v>3109</v>
      </c>
      <c r="H31" s="558">
        <f>SUMIF(104:104,G32,105:105)-SUMIF(104:104,C32,105:105)+100</f>
        <v>100</v>
      </c>
      <c r="I31" s="563" t="s">
        <v>3110</v>
      </c>
      <c r="J31" s="558">
        <f>SUMIF(104:104,I32,105:105)-SUMIF(104:104,C32,105:105)+100</f>
        <v>100</v>
      </c>
      <c r="K31" s="534"/>
      <c r="L31" s="2131"/>
      <c r="M31" s="2128"/>
      <c r="N31" s="2128"/>
      <c r="O31" s="2133"/>
      <c r="P31" s="3435"/>
      <c r="Q31" s="2598" t="str">
        <f t="shared" ref="Q31" si="9">B31</f>
        <v>基础设施水平</v>
      </c>
      <c r="R31" s="1565" t="s">
        <v>8</v>
      </c>
      <c r="S31" s="1566">
        <f>F31</f>
        <v>100</v>
      </c>
      <c r="T31" s="1565" t="s">
        <v>8</v>
      </c>
      <c r="U31" s="1566">
        <f>H31</f>
        <v>100</v>
      </c>
      <c r="V31" s="1565" t="s">
        <v>8</v>
      </c>
      <c r="W31" s="1566">
        <f>J31</f>
        <v>100</v>
      </c>
      <c r="X31" s="1567"/>
      <c r="Y31" s="3435"/>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35"/>
      <c r="Q32" s="2598"/>
      <c r="R32" s="1565"/>
      <c r="S32" s="1566"/>
      <c r="T32" s="1565"/>
      <c r="U32" s="1566"/>
      <c r="V32" s="1565"/>
      <c r="W32" s="1566"/>
      <c r="X32" s="1567"/>
      <c r="Y32" s="3435"/>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3128</v>
      </c>
      <c r="J33" s="539">
        <f>SUMIF(106:106,I33,107:107)-SUMIF(106:106,C33,107:107)+100</f>
        <v>97</v>
      </c>
      <c r="K33" s="534">
        <v>3</v>
      </c>
      <c r="L33" s="2138"/>
      <c r="M33" s="2128"/>
      <c r="N33" s="2128"/>
      <c r="O33" s="2137"/>
      <c r="P33" s="3435"/>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35"/>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3114</v>
      </c>
      <c r="F34" s="558">
        <f>SUMIF(108:108,E35,109:109)-SUMIF(108:108,C35,109:109)+100</f>
        <v>102</v>
      </c>
      <c r="G34" s="3183" t="s">
        <v>3122</v>
      </c>
      <c r="H34" s="558">
        <f>SUMIF(108:108,G35,109:109)-SUMIF(108:108,C35,109:109)+100</f>
        <v>98</v>
      </c>
      <c r="I34" s="3183" t="s">
        <v>3122</v>
      </c>
      <c r="J34" s="558">
        <f>SUMIF(108:108,I35,109:109)-SUMIF(108:108,C35,109:109)+100</f>
        <v>98</v>
      </c>
      <c r="K34" s="534">
        <v>2</v>
      </c>
      <c r="L34" s="2138"/>
      <c r="M34" s="2128"/>
      <c r="N34" s="2128"/>
      <c r="O34" s="2137"/>
      <c r="P34" s="3435"/>
      <c r="Q34" s="1569" t="str">
        <f t="shared" si="8"/>
        <v>毗邻道路的类型与等级</v>
      </c>
      <c r="R34" s="1570" t="s">
        <v>8</v>
      </c>
      <c r="S34" s="1571">
        <f t="shared" si="10"/>
        <v>102</v>
      </c>
      <c r="T34" s="1570" t="s">
        <v>8</v>
      </c>
      <c r="U34" s="1571">
        <f t="shared" si="11"/>
        <v>98</v>
      </c>
      <c r="V34" s="1570" t="s">
        <v>8</v>
      </c>
      <c r="W34" s="1571">
        <f t="shared" si="12"/>
        <v>98</v>
      </c>
      <c r="X34" s="1564"/>
      <c r="Y34" s="3435"/>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35"/>
      <c r="Q35" s="1569"/>
      <c r="R35" s="1570"/>
      <c r="S35" s="1571"/>
      <c r="T35" s="1570"/>
      <c r="U35" s="1571"/>
      <c r="V35" s="1570"/>
      <c r="W35" s="1571"/>
      <c r="X35" s="1564"/>
      <c r="Y35" s="3435"/>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5"/>
      <c r="Q36" s="1569" t="str">
        <f t="shared" si="8"/>
        <v>土地级别</v>
      </c>
      <c r="R36" s="1570" t="s">
        <v>8</v>
      </c>
      <c r="S36" s="1571">
        <f t="shared" si="10"/>
        <v>100</v>
      </c>
      <c r="T36" s="1570" t="s">
        <v>8</v>
      </c>
      <c r="U36" s="1571">
        <f t="shared" si="11"/>
        <v>100</v>
      </c>
      <c r="V36" s="1570" t="s">
        <v>8</v>
      </c>
      <c r="W36" s="1571">
        <f t="shared" si="12"/>
        <v>100</v>
      </c>
      <c r="X36" s="1564"/>
      <c r="Y36" s="3435"/>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5"/>
      <c r="Q37" s="1569">
        <f t="shared" si="8"/>
        <v>111</v>
      </c>
      <c r="R37" s="1570" t="s">
        <v>8</v>
      </c>
      <c r="S37" s="1571">
        <f t="shared" si="10"/>
        <v>100</v>
      </c>
      <c r="T37" s="1570" t="s">
        <v>8</v>
      </c>
      <c r="U37" s="1571">
        <f t="shared" si="11"/>
        <v>100</v>
      </c>
      <c r="V37" s="1570" t="s">
        <v>8</v>
      </c>
      <c r="W37" s="1571">
        <f t="shared" si="12"/>
        <v>100</v>
      </c>
      <c r="X37" s="1564"/>
      <c r="Y37" s="3435"/>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6" t="s">
        <v>549</v>
      </c>
      <c r="Q38" s="1569">
        <f t="shared" si="8"/>
        <v>111</v>
      </c>
      <c r="R38" s="1570" t="s">
        <v>8</v>
      </c>
      <c r="S38" s="1571">
        <f t="shared" si="10"/>
        <v>100</v>
      </c>
      <c r="T38" s="1570" t="s">
        <v>8</v>
      </c>
      <c r="U38" s="1571">
        <f t="shared" si="11"/>
        <v>100</v>
      </c>
      <c r="V38" s="1570" t="s">
        <v>8</v>
      </c>
      <c r="W38" s="1571">
        <f t="shared" si="12"/>
        <v>100</v>
      </c>
      <c r="X38" s="1564"/>
      <c r="Y38" s="3437"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7"/>
      <c r="Q39" s="1569">
        <f t="shared" si="8"/>
        <v>111</v>
      </c>
      <c r="R39" s="1574" t="s">
        <v>8</v>
      </c>
      <c r="S39" s="1575">
        <f t="shared" si="10"/>
        <v>100</v>
      </c>
      <c r="T39" s="1574" t="s">
        <v>8</v>
      </c>
      <c r="U39" s="1575">
        <f t="shared" si="11"/>
        <v>100</v>
      </c>
      <c r="V39" s="1574" t="s">
        <v>8</v>
      </c>
      <c r="W39" s="1575">
        <f t="shared" si="12"/>
        <v>100</v>
      </c>
      <c r="X39" s="1576"/>
      <c r="Y39" s="3437"/>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37"/>
      <c r="Q40" s="1569" t="str">
        <f>B40</f>
        <v>宗地面积</v>
      </c>
      <c r="R40" s="1570" t="s">
        <v>8</v>
      </c>
      <c r="S40" s="1571">
        <f t="shared" si="10"/>
        <v>100</v>
      </c>
      <c r="T40" s="1570" t="s">
        <v>8</v>
      </c>
      <c r="U40" s="1571">
        <f t="shared" si="11"/>
        <v>102</v>
      </c>
      <c r="V40" s="1570" t="s">
        <v>8</v>
      </c>
      <c r="W40" s="1571">
        <f t="shared" si="12"/>
        <v>100</v>
      </c>
      <c r="X40" s="1564"/>
      <c r="Y40" s="3437"/>
      <c r="Z40" s="1572" t="str">
        <f t="shared" si="13"/>
        <v>宗地面积</v>
      </c>
      <c r="AA40" s="1573">
        <f t="shared" si="3"/>
        <v>1</v>
      </c>
      <c r="AB40" s="1573">
        <f t="shared" si="4"/>
        <v>0.98039215686274506</v>
      </c>
      <c r="AC40" s="1573">
        <f t="shared" si="5"/>
        <v>1</v>
      </c>
    </row>
    <row r="41" spans="1:29" ht="20.25">
      <c r="A41" s="593"/>
      <c r="B41" s="526" t="s">
        <v>552</v>
      </c>
      <c r="C41" s="3215" t="s">
        <v>3116</v>
      </c>
      <c r="D41" s="539">
        <v>100</v>
      </c>
      <c r="E41" s="598" t="s">
        <v>3116</v>
      </c>
      <c r="F41" s="539">
        <f>SUMIF(121:121,E41,122:122)-SUMIF(121:121,C41,122:122)+100</f>
        <v>100</v>
      </c>
      <c r="G41" s="3215" t="s">
        <v>3116</v>
      </c>
      <c r="H41" s="539">
        <f>SUMIF(121:121,G41,122:122)-SUMIF(121:121,C41,122:122)+100</f>
        <v>100</v>
      </c>
      <c r="I41" s="3215" t="s">
        <v>3119</v>
      </c>
      <c r="J41" s="539">
        <f>SUMIF(121:121,I41,122:122)-SUMIF(121:121,C41,122:122)+100</f>
        <v>96</v>
      </c>
      <c r="K41" s="583">
        <v>2</v>
      </c>
      <c r="L41" s="2138"/>
      <c r="M41" s="2128"/>
      <c r="N41" s="2128"/>
      <c r="O41" s="2137"/>
      <c r="P41" s="3437"/>
      <c r="Q41" s="1569" t="str">
        <f t="shared" ref="Q41:Q47" si="14">B41</f>
        <v>宗地形状</v>
      </c>
      <c r="R41" s="1570" t="s">
        <v>8</v>
      </c>
      <c r="S41" s="1571">
        <f t="shared" si="10"/>
        <v>100</v>
      </c>
      <c r="T41" s="1570" t="s">
        <v>8</v>
      </c>
      <c r="U41" s="1571">
        <f t="shared" si="11"/>
        <v>100</v>
      </c>
      <c r="V41" s="1570" t="s">
        <v>8</v>
      </c>
      <c r="W41" s="1571">
        <f t="shared" si="12"/>
        <v>96</v>
      </c>
      <c r="X41" s="1564"/>
      <c r="Y41" s="3437"/>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37"/>
      <c r="Q42" s="1569" t="str">
        <f t="shared" si="14"/>
        <v>临街宽度及深度</v>
      </c>
      <c r="R42" s="1570" t="s">
        <v>8</v>
      </c>
      <c r="S42" s="1571">
        <f t="shared" si="10"/>
        <v>100</v>
      </c>
      <c r="T42" s="1570" t="s">
        <v>8</v>
      </c>
      <c r="U42" s="1571">
        <f t="shared" si="11"/>
        <v>100</v>
      </c>
      <c r="V42" s="1570" t="s">
        <v>8</v>
      </c>
      <c r="W42" s="1571">
        <f t="shared" si="12"/>
        <v>100</v>
      </c>
      <c r="X42" s="1564"/>
      <c r="Y42" s="3437"/>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37"/>
      <c r="Q43" s="1569" t="str">
        <f t="shared" si="14"/>
        <v>宗地开发程度</v>
      </c>
      <c r="R43" s="1565" t="s">
        <v>8</v>
      </c>
      <c r="S43" s="1566">
        <f t="shared" si="10"/>
        <v>96</v>
      </c>
      <c r="T43" s="1565" t="s">
        <v>8</v>
      </c>
      <c r="U43" s="1566">
        <f t="shared" si="11"/>
        <v>99</v>
      </c>
      <c r="V43" s="1565" t="s">
        <v>8</v>
      </c>
      <c r="W43" s="1566">
        <f t="shared" si="12"/>
        <v>100</v>
      </c>
      <c r="X43" s="1567"/>
      <c r="Y43" s="3437"/>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37" t="s">
        <v>549</v>
      </c>
      <c r="Q44" s="1569" t="str">
        <f t="shared" si="14"/>
        <v>工程地质条件</v>
      </c>
      <c r="R44" s="1570" t="s">
        <v>8</v>
      </c>
      <c r="S44" s="1571">
        <f t="shared" si="10"/>
        <v>100</v>
      </c>
      <c r="T44" s="1570" t="s">
        <v>8</v>
      </c>
      <c r="U44" s="1571">
        <f t="shared" si="11"/>
        <v>100</v>
      </c>
      <c r="V44" s="1570" t="s">
        <v>8</v>
      </c>
      <c r="W44" s="1571">
        <f t="shared" si="12"/>
        <v>100</v>
      </c>
      <c r="X44" s="1564"/>
      <c r="Y44" s="3437"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7"/>
      <c r="Q45" s="1569">
        <f t="shared" si="14"/>
        <v>111</v>
      </c>
      <c r="R45" s="1570" t="s">
        <v>8</v>
      </c>
      <c r="S45" s="1571">
        <f t="shared" si="10"/>
        <v>100</v>
      </c>
      <c r="T45" s="1570" t="s">
        <v>8</v>
      </c>
      <c r="U45" s="1571">
        <f t="shared" si="11"/>
        <v>100</v>
      </c>
      <c r="V45" s="1570" t="s">
        <v>8</v>
      </c>
      <c r="W45" s="1571">
        <f t="shared" si="12"/>
        <v>100</v>
      </c>
      <c r="X45" s="1564"/>
      <c r="Y45" s="3437"/>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7"/>
      <c r="Q46" s="1569">
        <f t="shared" si="14"/>
        <v>111</v>
      </c>
      <c r="R46" s="1570" t="s">
        <v>8</v>
      </c>
      <c r="S46" s="1571">
        <f t="shared" si="10"/>
        <v>100</v>
      </c>
      <c r="T46" s="1570" t="s">
        <v>8</v>
      </c>
      <c r="U46" s="1571">
        <f t="shared" si="11"/>
        <v>100</v>
      </c>
      <c r="V46" s="1570" t="s">
        <v>8</v>
      </c>
      <c r="W46" s="1571">
        <f t="shared" si="12"/>
        <v>100</v>
      </c>
      <c r="X46" s="1564"/>
      <c r="Y46" s="3437"/>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7"/>
      <c r="Q47" s="1569">
        <f t="shared" si="14"/>
        <v>111</v>
      </c>
      <c r="R47" s="1574" t="s">
        <v>8</v>
      </c>
      <c r="S47" s="1575">
        <f t="shared" si="10"/>
        <v>100</v>
      </c>
      <c r="T47" s="1574" t="s">
        <v>8</v>
      </c>
      <c r="U47" s="1575">
        <f t="shared" si="11"/>
        <v>100</v>
      </c>
      <c r="V47" s="1574" t="s">
        <v>8</v>
      </c>
      <c r="W47" s="1575">
        <f t="shared" si="12"/>
        <v>100</v>
      </c>
      <c r="X47" s="1576"/>
      <c r="Y47" s="3437"/>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399" t="str">
        <f>A48</f>
        <v>成交单价</v>
      </c>
      <c r="Q48" s="3399"/>
      <c r="R48" s="3400">
        <f>E48</f>
        <v>33810</v>
      </c>
      <c r="S48" s="3400"/>
      <c r="T48" s="3400">
        <f>G48</f>
        <v>34757</v>
      </c>
      <c r="U48" s="3400"/>
      <c r="V48" s="3400">
        <f>I48</f>
        <v>31000</v>
      </c>
      <c r="W48" s="3400"/>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399" t="str">
        <f>A49</f>
        <v>比较价格（元/平方米）</v>
      </c>
      <c r="Q49" s="3399"/>
      <c r="R49" s="3401">
        <f>ROUND(PRODUCT(R48,AA9:AA47),0)</f>
        <v>34238</v>
      </c>
      <c r="S49" s="3401"/>
      <c r="T49" s="3401">
        <f>ROUND(PRODUCT(T48,AB9:AB47),0)</f>
        <v>33113</v>
      </c>
      <c r="U49" s="3401"/>
      <c r="V49" s="3401">
        <f>ROUND(PRODUCT(V48,AC9:AC47),0)</f>
        <v>34898</v>
      </c>
      <c r="W49" s="3401"/>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396" t="str">
        <f>A50</f>
        <v>估价对象XX用房的比较价格（楼面单价，元/平方米）</v>
      </c>
      <c r="Q50" s="3397"/>
      <c r="R50" s="3398">
        <f>ROUND(AVERAGE(R49:V49),0)</f>
        <v>34083</v>
      </c>
      <c r="S50" s="3398"/>
      <c r="T50" s="3398"/>
      <c r="U50" s="3398"/>
      <c r="V50" s="3398"/>
      <c r="W50" s="339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26" t="s">
        <v>2280</v>
      </c>
      <c r="H57" s="3427"/>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428"/>
      <c r="H58" s="342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f>'数据-汇总表'!G20</f>
        <v>998</v>
      </c>
      <c r="F59" s="635">
        <f t="shared" si="15"/>
        <v>510</v>
      </c>
      <c r="G59" s="343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43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43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43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160806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3115</v>
      </c>
      <c r="D121" s="3185" t="s">
        <v>3117</v>
      </c>
      <c r="E121" s="3185" t="s">
        <v>3118</v>
      </c>
      <c r="F121" s="3185" t="s">
        <v>3120</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1" sqref="G11"/>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136806</v>
      </c>
      <c r="C2" s="2100"/>
      <c r="D2" s="2100"/>
      <c r="E2" s="2100"/>
      <c r="F2" s="2100"/>
      <c r="G2" s="2100"/>
      <c r="H2" s="2100"/>
      <c r="I2" s="2100"/>
      <c r="J2" s="2100"/>
      <c r="K2" s="2100"/>
    </row>
    <row r="3" spans="1:31" s="2037" customFormat="1" ht="18" customHeight="1">
      <c r="A3" s="2102" t="s">
        <v>1684</v>
      </c>
      <c r="B3" s="2103">
        <f ca="1">ROUND(B2*10000/IF(B1="",'数据-汇总表'!E3,INDIRECT("'数据-取费表'!K"&amp;$K$1)),0)</f>
        <v>20835</v>
      </c>
      <c r="C3" s="2100"/>
      <c r="D3" s="2100"/>
      <c r="E3" s="2100"/>
      <c r="F3" s="2100"/>
      <c r="G3" s="2100"/>
      <c r="H3" s="2100"/>
      <c r="I3" s="2100"/>
      <c r="J3" s="2100"/>
      <c r="K3" s="2100"/>
    </row>
    <row r="4" spans="1:31" s="2037" customFormat="1" ht="18" customHeight="1">
      <c r="A4" s="425" t="s">
        <v>467</v>
      </c>
      <c r="B4" s="426">
        <f ca="1">ROUND(B2*10000/IF(B1="",'数据-汇总表'!D3,INDIRECT("'数据-取费表'!R"&amp;$K$1)),0)</f>
        <v>102653</v>
      </c>
      <c r="C4" s="427"/>
      <c r="D4" s="421"/>
      <c r="E4" s="421"/>
      <c r="F4" s="421"/>
      <c r="G4" s="421"/>
      <c r="H4" s="421"/>
      <c r="I4" s="421"/>
      <c r="J4" s="421"/>
      <c r="K4" s="421"/>
    </row>
    <row r="5" spans="1:31" s="2037" customFormat="1" ht="18" customHeight="1" thickBot="1">
      <c r="A5" s="428"/>
      <c r="B5" s="429">
        <f ca="1">ROUND(B2/(IF(B1="",'数据-汇总表'!D3,INDIRECT("'数据-取费表'!R"&amp;$K$1))/666.67),0)</f>
        <v>6844</v>
      </c>
      <c r="C5" s="430" t="s">
        <v>468</v>
      </c>
      <c r="D5" s="421"/>
      <c r="E5" s="421"/>
      <c r="F5" s="421"/>
      <c r="G5" s="421"/>
      <c r="H5" s="421"/>
      <c r="I5" s="421"/>
      <c r="J5" s="421"/>
      <c r="K5" s="421"/>
    </row>
    <row r="6" spans="1:31" s="2107" customFormat="1" ht="16.5" customHeight="1">
      <c r="A6" s="2848" t="s">
        <v>1842</v>
      </c>
      <c r="B6" s="2849"/>
      <c r="C6" s="2850">
        <f ca="1">SUM(C10:K10)</f>
        <v>216381.35152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3137</v>
      </c>
      <c r="G7" s="435" t="s">
        <v>3333</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10803</v>
      </c>
      <c r="F8" s="2854">
        <f>C8*0.6</f>
        <v>25474.799999999999</v>
      </c>
      <c r="G8" s="2854">
        <f ca="1">'不动产收益法 (地下商业)'!B3</f>
        <v>10070</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1896</v>
      </c>
      <c r="F10" s="2857">
        <f>F8*F9/10000</f>
        <v>4901.3515199999993</v>
      </c>
      <c r="G10" s="2857">
        <f ca="1">'不动产收益法 (地下商业)'!B2</f>
        <v>1005</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20936</v>
      </c>
      <c r="D13" s="2864"/>
      <c r="E13" s="2865"/>
      <c r="F13" s="2866"/>
      <c r="G13" s="2832"/>
      <c r="H13" s="2833"/>
      <c r="I13" s="2833"/>
      <c r="J13" s="2833"/>
      <c r="K13" s="2834"/>
    </row>
    <row r="14" spans="1:31" s="2112" customFormat="1" ht="13.5" customHeight="1">
      <c r="A14" s="2862" t="s">
        <v>1849</v>
      </c>
      <c r="B14" s="2863" t="s">
        <v>479</v>
      </c>
      <c r="C14" s="53">
        <f ca="1">ROUND(C13*F14,0)</f>
        <v>628</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1313</v>
      </c>
      <c r="D16" s="2864">
        <f ca="1">IF(B1="",'数据-汇总表'!E3,INDIRECT("'数据-取费表'!K"&amp;$K$1)+INDIRECT("'数据-取费表'!S"&amp;$K$1))</f>
        <v>65661</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314</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23191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65661</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1092.98</v>
      </c>
      <c r="D20" s="2874"/>
      <c r="E20" s="2828"/>
      <c r="F20" s="2875"/>
      <c r="G20" s="3105" t="s">
        <v>3331</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1313</v>
      </c>
      <c r="D22" s="2864">
        <f ca="1">IF(B1="",'数据-汇总表'!E6,IF(INDIRECT("'数据-取费表'!c"&amp;$K$1)="住宅",INDIRECT("'数据-取费表'!s"&amp;$K$1),INDIRECT("'数据-取费表'!k"&amp;$K$1)+INDIRECT("'数据-取费表'!s"&amp;$K$1)))</f>
        <v>65661</v>
      </c>
      <c r="E22" s="53">
        <f>'数据-取费表'!B28</f>
        <v>200</v>
      </c>
      <c r="F22" s="2867"/>
      <c r="G22" s="26"/>
      <c r="H22" s="51"/>
      <c r="I22" s="51"/>
      <c r="J22" s="51"/>
      <c r="K22" s="2839"/>
    </row>
    <row r="23" spans="1:14" s="2112" customFormat="1" ht="13.5" customHeight="1">
      <c r="A23" s="2870" t="s">
        <v>1858</v>
      </c>
      <c r="B23" s="3053" t="s">
        <v>2833</v>
      </c>
      <c r="C23" s="2872">
        <f ca="1">ROUND((C18+C19+C20)*F23,0)</f>
        <v>486</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4328</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1031</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1031</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11540</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41668.979999999996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41668.979999999996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4074</v>
      </c>
      <c r="D33" s="466">
        <f ca="1">C34</f>
        <v>0.14410000000000001</v>
      </c>
      <c r="E33" s="468" t="s">
        <v>494</v>
      </c>
      <c r="F33" s="478">
        <f ca="1">IF(B1="",'数据-取费表'!Q16,INDIRECT("'数据-取费表'!q"&amp;$K$1))</f>
        <v>0.14000000000000001</v>
      </c>
      <c r="G33" s="2836"/>
      <c r="H33" s="2837"/>
      <c r="I33" s="2837"/>
      <c r="J33" s="2837"/>
      <c r="K33" s="2838"/>
    </row>
    <row r="34" spans="1:11" s="2119" customFormat="1" ht="13.5" customHeight="1">
      <c r="A34" s="374" t="s">
        <v>1856</v>
      </c>
      <c r="B34" s="2883" t="s">
        <v>500</v>
      </c>
      <c r="C34" s="471">
        <f ca="1">ROUND((1+C25)*F33,4)</f>
        <v>0.14410000000000001</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4074</v>
      </c>
      <c r="D35" s="1626"/>
      <c r="E35" s="2884"/>
      <c r="F35" s="1627"/>
      <c r="G35" s="2842"/>
      <c r="H35" s="2843"/>
      <c r="I35" s="2843"/>
      <c r="J35" s="2843"/>
      <c r="K35" s="2844"/>
    </row>
    <row r="36" spans="1:11" s="2081" customFormat="1" ht="13.5" customHeight="1" thickBot="1">
      <c r="A36" s="283" t="s">
        <v>1844</v>
      </c>
      <c r="B36" s="2846"/>
      <c r="C36" s="2885">
        <f ca="1">ROUND((C6-C30-C33)/(1+D30+D33),0)</f>
        <v>136806</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1" t="str">
        <f>项目基本情况!B1</f>
        <v>北京市海淀区“海淀北部地区整体开发”中关村环保科技园HD-0303-0071地块出让国有建设用地使用权抵押价格预评估</v>
      </c>
      <c r="C37" s="3231"/>
      <c r="D37" s="3231"/>
      <c r="E37" s="3231"/>
      <c r="F37" s="3231"/>
      <c r="G37" s="3231"/>
      <c r="H37" s="3231"/>
      <c r="I37" s="3231"/>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20936</v>
      </c>
      <c r="D13" s="450"/>
      <c r="E13" s="364"/>
      <c r="F13" s="451"/>
      <c r="G13" s="443"/>
      <c r="H13" s="446"/>
      <c r="I13" s="446"/>
      <c r="J13" s="446"/>
      <c r="K13" s="447"/>
    </row>
    <row r="14" spans="1:41" s="2112" customFormat="1" ht="13.5" customHeight="1">
      <c r="A14" s="1630" t="s">
        <v>1849</v>
      </c>
      <c r="B14" s="448" t="s">
        <v>479</v>
      </c>
      <c r="C14" s="53">
        <f ca="1">ROUND(C13*F14,0)</f>
        <v>628</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1313</v>
      </c>
      <c r="D16" s="450">
        <f ca="1">IF(B1="",'数据-汇总表'!E3,INDIRECT("'数据-取费表'!K"&amp;$K$1)+INDIRECT("'数据-取费表'!S"&amp;$K$1))</f>
        <v>65661</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314</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23191</v>
      </c>
      <c r="D18" s="460"/>
      <c r="E18" s="461"/>
      <c r="F18" s="461"/>
      <c r="G18" s="1325" t="s">
        <v>2432</v>
      </c>
      <c r="H18" s="446"/>
      <c r="I18" s="446"/>
      <c r="J18" s="446"/>
      <c r="K18" s="447"/>
    </row>
    <row r="19" spans="1:14" s="2115" customFormat="1" ht="13.5" customHeight="1">
      <c r="A19" s="1631" t="s">
        <v>1854</v>
      </c>
      <c r="B19" s="458" t="s">
        <v>492</v>
      </c>
      <c r="C19" s="459">
        <f ca="1">ROUND(C18*F19,0)</f>
        <v>464</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838</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838</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3312</v>
      </c>
      <c r="D24" s="488">
        <f ca="1">C26</f>
        <v>2.8E-3</v>
      </c>
      <c r="E24" s="468" t="s">
        <v>506</v>
      </c>
      <c r="F24" s="478">
        <f ca="1">IF(B1="",'数据-取费表'!Q16,INDIRECT("'数据-取费表'!q"&amp;$K$1))</f>
        <v>0.14000000000000001</v>
      </c>
      <c r="G24" s="443"/>
      <c r="H24" s="446"/>
      <c r="I24" s="446"/>
      <c r="J24" s="446"/>
      <c r="K24" s="447"/>
    </row>
    <row r="25" spans="1:14" s="2116" customFormat="1" ht="13.5" customHeight="1">
      <c r="A25" s="1630" t="s">
        <v>1848</v>
      </c>
      <c r="B25" s="1326" t="s">
        <v>2436</v>
      </c>
      <c r="C25" s="489">
        <f ca="1">ROUND((C18+C19)*F24,0)</f>
        <v>3312</v>
      </c>
      <c r="D25" s="471"/>
      <c r="E25" s="472"/>
      <c r="F25" s="479"/>
      <c r="G25" s="1324" t="s">
        <v>2433</v>
      </c>
      <c r="H25" s="456"/>
      <c r="I25" s="456"/>
      <c r="J25" s="456"/>
      <c r="K25" s="457"/>
    </row>
    <row r="26" spans="1:14" s="2116" customFormat="1" ht="13.5" customHeight="1">
      <c r="A26" s="1630" t="s">
        <v>1849</v>
      </c>
      <c r="B26" s="1326" t="s">
        <v>508</v>
      </c>
      <c r="C26" s="490">
        <f ca="1">ROUND(F20*F24,4)</f>
        <v>2.8E-3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30118</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05" t="s">
        <v>521</v>
      </c>
      <c r="D6" s="3406"/>
      <c r="E6" s="3441" t="s">
        <v>522</v>
      </c>
      <c r="F6" s="3442"/>
      <c r="G6" s="3405" t="s">
        <v>523</v>
      </c>
      <c r="H6" s="3406"/>
      <c r="I6" s="3405" t="s">
        <v>524</v>
      </c>
      <c r="J6" s="3406"/>
      <c r="K6" s="513" t="s">
        <v>525</v>
      </c>
      <c r="L6" s="2129"/>
      <c r="M6" s="2130"/>
      <c r="N6" s="2130"/>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29" ht="15">
      <c r="A7" s="514"/>
      <c r="B7" s="515"/>
      <c r="C7" s="3421" t="s">
        <v>2922</v>
      </c>
      <c r="D7" s="3422"/>
      <c r="E7" s="3443" t="s">
        <v>2923</v>
      </c>
      <c r="F7" s="3444"/>
      <c r="G7" s="3421" t="s">
        <v>2924</v>
      </c>
      <c r="H7" s="3422"/>
      <c r="I7" s="3421" t="s">
        <v>2925</v>
      </c>
      <c r="J7" s="3422"/>
      <c r="K7" s="513"/>
      <c r="L7" s="2129"/>
      <c r="M7" s="2130"/>
      <c r="N7" s="2130"/>
      <c r="O7" s="2130"/>
      <c r="P7" s="3409"/>
      <c r="Q7" s="3410"/>
      <c r="R7" s="3415"/>
      <c r="S7" s="3416"/>
      <c r="T7" s="3415"/>
      <c r="U7" s="3416"/>
      <c r="V7" s="3400"/>
      <c r="W7" s="3400"/>
      <c r="X7" s="1564"/>
      <c r="Y7" s="3415"/>
      <c r="Z7" s="3416"/>
      <c r="AA7" s="3403"/>
      <c r="AB7" s="3403"/>
      <c r="AC7" s="3403"/>
    </row>
    <row r="8" spans="1:29" ht="15.75" thickBot="1">
      <c r="A8" s="516"/>
      <c r="B8" s="517"/>
      <c r="C8" s="3438" t="s">
        <v>2926</v>
      </c>
      <c r="D8" s="3420"/>
      <c r="E8" s="3439" t="s">
        <v>2926</v>
      </c>
      <c r="F8" s="3440"/>
      <c r="G8" s="3438" t="s">
        <v>2926</v>
      </c>
      <c r="H8" s="3420"/>
      <c r="I8" s="3438" t="s">
        <v>2926</v>
      </c>
      <c r="J8" s="3420"/>
      <c r="K8" s="513" t="s">
        <v>527</v>
      </c>
      <c r="L8" s="2129"/>
      <c r="M8" s="2130"/>
      <c r="N8" s="2130"/>
      <c r="O8" s="2130"/>
      <c r="P8" s="3411"/>
      <c r="Q8" s="3412"/>
      <c r="R8" s="3415"/>
      <c r="S8" s="3416"/>
      <c r="T8" s="3417"/>
      <c r="U8" s="3418"/>
      <c r="V8" s="3400"/>
      <c r="W8" s="3400"/>
      <c r="X8" s="1564"/>
      <c r="Y8" s="3417"/>
      <c r="Z8" s="3418"/>
      <c r="AA8" s="3404"/>
      <c r="AB8" s="3404"/>
      <c r="AC8" s="3404"/>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1" t="s">
        <v>529</v>
      </c>
      <c r="Q9" s="3433"/>
      <c r="R9" s="1565" t="s">
        <v>8</v>
      </c>
      <c r="S9" s="1566">
        <f t="shared" ref="S9:S17" si="0">F9</f>
        <v>0</v>
      </c>
      <c r="T9" s="1565" t="s">
        <v>8</v>
      </c>
      <c r="U9" s="1566">
        <f t="shared" ref="U9:U17" si="1">H9</f>
        <v>0</v>
      </c>
      <c r="V9" s="1565" t="s">
        <v>8</v>
      </c>
      <c r="W9" s="1566">
        <f t="shared" ref="W9:W17" si="2">J9</f>
        <v>0</v>
      </c>
      <c r="X9" s="1567"/>
      <c r="Y9" s="3431" t="s">
        <v>529</v>
      </c>
      <c r="Z9" s="3432"/>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1" t="s">
        <v>532</v>
      </c>
      <c r="Q10" s="3432"/>
      <c r="R10" s="1565" t="s">
        <v>8</v>
      </c>
      <c r="S10" s="1566">
        <f t="shared" si="0"/>
        <v>0</v>
      </c>
      <c r="T10" s="1565" t="s">
        <v>8</v>
      </c>
      <c r="U10" s="1566">
        <f t="shared" si="1"/>
        <v>0</v>
      </c>
      <c r="V10" s="1565" t="s">
        <v>8</v>
      </c>
      <c r="W10" s="1566">
        <f t="shared" si="2"/>
        <v>0</v>
      </c>
      <c r="X10" s="1567"/>
      <c r="Y10" s="3431" t="s">
        <v>532</v>
      </c>
      <c r="Z10" s="3432"/>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9"/>
      <c r="Q13" s="1149" t="str">
        <f t="shared" si="6"/>
        <v>容积率</v>
      </c>
      <c r="R13" s="1565" t="s">
        <v>8</v>
      </c>
      <c r="S13" s="1566" t="e">
        <f t="shared" si="0"/>
        <v>#N/A</v>
      </c>
      <c r="T13" s="1565" t="s">
        <v>8</v>
      </c>
      <c r="U13" s="1566" t="e">
        <f t="shared" si="1"/>
        <v>#N/A</v>
      </c>
      <c r="V13" s="1565" t="s">
        <v>8</v>
      </c>
      <c r="W13" s="1566" t="e">
        <f t="shared" si="2"/>
        <v>#N/A</v>
      </c>
      <c r="X13" s="1567"/>
      <c r="Y13" s="3345"/>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4" t="s">
        <v>539</v>
      </c>
      <c r="Q17" s="1569" t="str">
        <f t="shared" si="6"/>
        <v>产业集聚程度</v>
      </c>
      <c r="R17" s="1570" t="s">
        <v>8</v>
      </c>
      <c r="S17" s="1571">
        <f t="shared" si="0"/>
        <v>100</v>
      </c>
      <c r="T17" s="1570" t="s">
        <v>8</v>
      </c>
      <c r="U17" s="1571">
        <f t="shared" si="1"/>
        <v>100</v>
      </c>
      <c r="V17" s="1570" t="s">
        <v>8</v>
      </c>
      <c r="W17" s="1571">
        <f t="shared" si="2"/>
        <v>100</v>
      </c>
      <c r="X17" s="1564"/>
      <c r="Y17" s="343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5"/>
      <c r="Q18" s="1569"/>
      <c r="R18" s="1570"/>
      <c r="S18" s="1571"/>
      <c r="T18" s="1570"/>
      <c r="U18" s="1571"/>
      <c r="V18" s="1570"/>
      <c r="W18" s="1571"/>
      <c r="X18" s="1564"/>
      <c r="Y18" s="3435"/>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5"/>
      <c r="Q19" s="1569" t="str">
        <f>B19</f>
        <v>交通便捷度</v>
      </c>
      <c r="R19" s="1570" t="s">
        <v>8</v>
      </c>
      <c r="S19" s="1571">
        <f>F19</f>
        <v>100</v>
      </c>
      <c r="T19" s="1570" t="s">
        <v>8</v>
      </c>
      <c r="U19" s="1571">
        <f>H19</f>
        <v>100</v>
      </c>
      <c r="V19" s="1570" t="s">
        <v>8</v>
      </c>
      <c r="W19" s="1571">
        <f>J19</f>
        <v>100</v>
      </c>
      <c r="X19" s="1564"/>
      <c r="Y19" s="343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5"/>
      <c r="Q21" s="1569" t="str">
        <f t="shared" ref="Q21:Q35" si="8">B21</f>
        <v>区域土地利用方向</v>
      </c>
      <c r="R21" s="1570" t="s">
        <v>8</v>
      </c>
      <c r="S21" s="1571">
        <f>F21</f>
        <v>100</v>
      </c>
      <c r="T21" s="1570" t="s">
        <v>8</v>
      </c>
      <c r="U21" s="1571">
        <f>H21</f>
        <v>100</v>
      </c>
      <c r="V21" s="1570" t="s">
        <v>8</v>
      </c>
      <c r="W21" s="1571">
        <f>J21</f>
        <v>100</v>
      </c>
      <c r="X21" s="1564"/>
      <c r="Y21" s="343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5"/>
      <c r="Q22" s="1569"/>
      <c r="R22" s="1570"/>
      <c r="S22" s="1571"/>
      <c r="T22" s="1570"/>
      <c r="U22" s="1571"/>
      <c r="V22" s="1570"/>
      <c r="W22" s="1571"/>
      <c r="X22" s="1564"/>
      <c r="Y22" s="3435"/>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5"/>
      <c r="Q23" s="1569" t="str">
        <f t="shared" si="8"/>
        <v>环境状况</v>
      </c>
      <c r="R23" s="1570" t="s">
        <v>8</v>
      </c>
      <c r="S23" s="1571">
        <f>F23</f>
        <v>100</v>
      </c>
      <c r="T23" s="1570" t="s">
        <v>8</v>
      </c>
      <c r="U23" s="1571">
        <f>H23</f>
        <v>100</v>
      </c>
      <c r="V23" s="1570" t="s">
        <v>8</v>
      </c>
      <c r="W23" s="1571">
        <f>J23</f>
        <v>100</v>
      </c>
      <c r="X23" s="1564"/>
      <c r="Y23" s="343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5"/>
      <c r="Q24" s="1569"/>
      <c r="R24" s="1570"/>
      <c r="S24" s="1571"/>
      <c r="T24" s="1570"/>
      <c r="U24" s="1571"/>
      <c r="V24" s="1570"/>
      <c r="W24" s="1571"/>
      <c r="X24" s="1564"/>
      <c r="Y24" s="3435"/>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5"/>
      <c r="Q25" s="1149" t="str">
        <f t="shared" si="8"/>
        <v>公共配套设施</v>
      </c>
      <c r="R25" s="1565" t="s">
        <v>8</v>
      </c>
      <c r="S25" s="1566">
        <f>F25</f>
        <v>100</v>
      </c>
      <c r="T25" s="1565" t="s">
        <v>8</v>
      </c>
      <c r="U25" s="1566">
        <f>H25</f>
        <v>100</v>
      </c>
      <c r="V25" s="1565" t="s">
        <v>8</v>
      </c>
      <c r="W25" s="1566">
        <f>J25</f>
        <v>100</v>
      </c>
      <c r="X25" s="1567"/>
      <c r="Y25" s="3435"/>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35"/>
      <c r="Q26" s="1149"/>
      <c r="R26" s="1565"/>
      <c r="S26" s="1566"/>
      <c r="T26" s="1565"/>
      <c r="U26" s="1566"/>
      <c r="V26" s="1565"/>
      <c r="W26" s="1566"/>
      <c r="X26" s="1567"/>
      <c r="Y26" s="3435"/>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5"/>
      <c r="Q27" s="2598" t="str">
        <f t="shared" ref="Q27" si="9">B27</f>
        <v>基础设施水平</v>
      </c>
      <c r="R27" s="1565" t="s">
        <v>8</v>
      </c>
      <c r="S27" s="1566">
        <f>F27</f>
        <v>100</v>
      </c>
      <c r="T27" s="1565" t="s">
        <v>8</v>
      </c>
      <c r="U27" s="1566">
        <f>H27</f>
        <v>100</v>
      </c>
      <c r="V27" s="1565" t="s">
        <v>8</v>
      </c>
      <c r="W27" s="1566">
        <f>J27</f>
        <v>100</v>
      </c>
      <c r="X27" s="1567"/>
      <c r="Y27" s="3435"/>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35"/>
      <c r="Q28" s="2598"/>
      <c r="R28" s="1565"/>
      <c r="S28" s="1566"/>
      <c r="T28" s="1565"/>
      <c r="U28" s="1566"/>
      <c r="V28" s="1565"/>
      <c r="W28" s="1566"/>
      <c r="X28" s="1567"/>
      <c r="Y28" s="3435"/>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5"/>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5"/>
      <c r="Q30" s="1569" t="str">
        <f t="shared" si="8"/>
        <v>毗邻道路的类型与等级</v>
      </c>
      <c r="R30" s="1570" t="s">
        <v>8</v>
      </c>
      <c r="S30" s="1571">
        <f t="shared" si="10"/>
        <v>100</v>
      </c>
      <c r="T30" s="1570" t="s">
        <v>8</v>
      </c>
      <c r="U30" s="1571">
        <f t="shared" si="11"/>
        <v>100</v>
      </c>
      <c r="V30" s="1570" t="s">
        <v>8</v>
      </c>
      <c r="W30" s="1571">
        <f t="shared" si="12"/>
        <v>100</v>
      </c>
      <c r="X30" s="1564"/>
      <c r="Y30" s="343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5"/>
      <c r="Q31" s="1569"/>
      <c r="R31" s="1570"/>
      <c r="S31" s="1571"/>
      <c r="T31" s="1570"/>
      <c r="U31" s="1571"/>
      <c r="V31" s="1570"/>
      <c r="W31" s="1571"/>
      <c r="X31" s="1564"/>
      <c r="Y31" s="3435"/>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5"/>
      <c r="Q32" s="1569" t="str">
        <f t="shared" si="8"/>
        <v>土地级别</v>
      </c>
      <c r="R32" s="1570" t="s">
        <v>8</v>
      </c>
      <c r="S32" s="1571">
        <f t="shared" si="10"/>
        <v>100</v>
      </c>
      <c r="T32" s="1570" t="s">
        <v>8</v>
      </c>
      <c r="U32" s="1571">
        <f t="shared" si="11"/>
        <v>100</v>
      </c>
      <c r="V32" s="1570" t="s">
        <v>8</v>
      </c>
      <c r="W32" s="1571">
        <f t="shared" si="12"/>
        <v>100</v>
      </c>
      <c r="X32" s="1564"/>
      <c r="Y32" s="343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5"/>
      <c r="Q33" s="1569">
        <f t="shared" si="8"/>
        <v>111</v>
      </c>
      <c r="R33" s="1570" t="s">
        <v>8</v>
      </c>
      <c r="S33" s="1571">
        <f t="shared" si="10"/>
        <v>100</v>
      </c>
      <c r="T33" s="1570" t="s">
        <v>8</v>
      </c>
      <c r="U33" s="1571">
        <f t="shared" si="11"/>
        <v>100</v>
      </c>
      <c r="V33" s="1570" t="s">
        <v>8</v>
      </c>
      <c r="W33" s="1571">
        <f t="shared" si="12"/>
        <v>100</v>
      </c>
      <c r="X33" s="1564"/>
      <c r="Y33" s="343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6" t="s">
        <v>549</v>
      </c>
      <c r="Q34" s="1569">
        <f t="shared" si="8"/>
        <v>111</v>
      </c>
      <c r="R34" s="1570" t="s">
        <v>8</v>
      </c>
      <c r="S34" s="1571">
        <f t="shared" si="10"/>
        <v>100</v>
      </c>
      <c r="T34" s="1570" t="s">
        <v>8</v>
      </c>
      <c r="U34" s="1571">
        <f t="shared" si="11"/>
        <v>100</v>
      </c>
      <c r="V34" s="1570" t="s">
        <v>8</v>
      </c>
      <c r="W34" s="1571">
        <f t="shared" si="12"/>
        <v>100</v>
      </c>
      <c r="X34" s="1564"/>
      <c r="Y34" s="3437"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7"/>
      <c r="Q35" s="1569">
        <f t="shared" si="8"/>
        <v>111</v>
      </c>
      <c r="R35" s="1574" t="s">
        <v>8</v>
      </c>
      <c r="S35" s="1575">
        <f t="shared" si="10"/>
        <v>100</v>
      </c>
      <c r="T35" s="1574" t="s">
        <v>8</v>
      </c>
      <c r="U35" s="1575">
        <f t="shared" si="11"/>
        <v>100</v>
      </c>
      <c r="V35" s="1574" t="s">
        <v>8</v>
      </c>
      <c r="W35" s="1575">
        <f t="shared" si="12"/>
        <v>100</v>
      </c>
      <c r="X35" s="1576"/>
      <c r="Y35" s="3437"/>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7"/>
      <c r="Q36" s="1569" t="str">
        <f>B36</f>
        <v>宗地面积</v>
      </c>
      <c r="R36" s="1570" t="s">
        <v>8</v>
      </c>
      <c r="S36" s="1571" t="e">
        <f t="shared" si="10"/>
        <v>#N/A</v>
      </c>
      <c r="T36" s="1570" t="s">
        <v>8</v>
      </c>
      <c r="U36" s="1571" t="e">
        <f t="shared" si="11"/>
        <v>#N/A</v>
      </c>
      <c r="V36" s="1570" t="s">
        <v>8</v>
      </c>
      <c r="W36" s="1571" t="e">
        <f t="shared" si="12"/>
        <v>#N/A</v>
      </c>
      <c r="X36" s="1564"/>
      <c r="Y36" s="3437"/>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7"/>
      <c r="Q37" s="1569" t="str">
        <f t="shared" ref="Q37:Q42" si="14">B37</f>
        <v>宗地形状</v>
      </c>
      <c r="R37" s="1570" t="s">
        <v>8</v>
      </c>
      <c r="S37" s="1571">
        <f t="shared" si="10"/>
        <v>100</v>
      </c>
      <c r="T37" s="1570" t="s">
        <v>8</v>
      </c>
      <c r="U37" s="1571">
        <f t="shared" si="11"/>
        <v>100</v>
      </c>
      <c r="V37" s="1570" t="s">
        <v>8</v>
      </c>
      <c r="W37" s="1571">
        <f t="shared" si="12"/>
        <v>100</v>
      </c>
      <c r="X37" s="1564"/>
      <c r="Y37" s="3437"/>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7"/>
      <c r="Q38" s="1569" t="str">
        <f t="shared" si="14"/>
        <v>宗地开发程度</v>
      </c>
      <c r="R38" s="1565" t="s">
        <v>8</v>
      </c>
      <c r="S38" s="1566">
        <f t="shared" si="10"/>
        <v>100</v>
      </c>
      <c r="T38" s="1565" t="s">
        <v>8</v>
      </c>
      <c r="U38" s="1566">
        <f t="shared" si="11"/>
        <v>100</v>
      </c>
      <c r="V38" s="1565" t="s">
        <v>8</v>
      </c>
      <c r="W38" s="1566">
        <f t="shared" si="12"/>
        <v>100</v>
      </c>
      <c r="X38" s="1567"/>
      <c r="Y38" s="3437"/>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t="s">
        <v>600</v>
      </c>
      <c r="Q39" s="1569" t="str">
        <f t="shared" si="14"/>
        <v>工程地质条件</v>
      </c>
      <c r="R39" s="1570" t="s">
        <v>8</v>
      </c>
      <c r="S39" s="1571">
        <f t="shared" si="10"/>
        <v>100</v>
      </c>
      <c r="T39" s="1570" t="s">
        <v>8</v>
      </c>
      <c r="U39" s="1571">
        <f t="shared" si="11"/>
        <v>100</v>
      </c>
      <c r="V39" s="1570" t="s">
        <v>8</v>
      </c>
      <c r="W39" s="1571">
        <f t="shared" si="12"/>
        <v>100</v>
      </c>
      <c r="X39" s="1564"/>
      <c r="Y39" s="343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7"/>
      <c r="Q40" s="1569">
        <f t="shared" si="14"/>
        <v>111</v>
      </c>
      <c r="R40" s="1570" t="s">
        <v>8</v>
      </c>
      <c r="S40" s="1571">
        <f t="shared" si="10"/>
        <v>100</v>
      </c>
      <c r="T40" s="1570" t="s">
        <v>8</v>
      </c>
      <c r="U40" s="1571">
        <f t="shared" si="11"/>
        <v>100</v>
      </c>
      <c r="V40" s="1570" t="s">
        <v>8</v>
      </c>
      <c r="W40" s="1571">
        <f t="shared" si="12"/>
        <v>100</v>
      </c>
      <c r="X40" s="1564"/>
      <c r="Y40" s="343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7"/>
      <c r="Q41" s="1569">
        <f t="shared" si="14"/>
        <v>111</v>
      </c>
      <c r="R41" s="1570" t="s">
        <v>8</v>
      </c>
      <c r="S41" s="1571">
        <f t="shared" si="10"/>
        <v>100</v>
      </c>
      <c r="T41" s="1570" t="s">
        <v>8</v>
      </c>
      <c r="U41" s="1571">
        <f t="shared" si="11"/>
        <v>100</v>
      </c>
      <c r="V41" s="1570" t="s">
        <v>8</v>
      </c>
      <c r="W41" s="1571">
        <f t="shared" si="12"/>
        <v>100</v>
      </c>
      <c r="X41" s="1564"/>
      <c r="Y41" s="3437"/>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7"/>
      <c r="Q42" s="1569">
        <f t="shared" si="14"/>
        <v>111</v>
      </c>
      <c r="R42" s="1574" t="s">
        <v>8</v>
      </c>
      <c r="S42" s="1575">
        <f t="shared" si="10"/>
        <v>100</v>
      </c>
      <c r="T42" s="1574" t="s">
        <v>8</v>
      </c>
      <c r="U42" s="1575">
        <f t="shared" si="11"/>
        <v>100</v>
      </c>
      <c r="V42" s="1574" t="s">
        <v>8</v>
      </c>
      <c r="W42" s="1575">
        <f t="shared" si="12"/>
        <v>100</v>
      </c>
      <c r="X42" s="1576"/>
      <c r="Y42" s="3437"/>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399" t="str">
        <f>A43</f>
        <v>成交单价</v>
      </c>
      <c r="Q43" s="3399"/>
      <c r="R43" s="3400">
        <f>E43</f>
        <v>0</v>
      </c>
      <c r="S43" s="3400"/>
      <c r="T43" s="3400">
        <f>G43</f>
        <v>0</v>
      </c>
      <c r="U43" s="3400"/>
      <c r="V43" s="3400">
        <f>I43</f>
        <v>0</v>
      </c>
      <c r="W43" s="3400"/>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399" t="str">
        <f>A44</f>
        <v>比较价格（元/平方米）</v>
      </c>
      <c r="Q44" s="3399"/>
      <c r="R44" s="3401" t="e">
        <f>ROUND(PRODUCT(R43,AA9:AA42),0)</f>
        <v>#DIV/0!</v>
      </c>
      <c r="S44" s="3401"/>
      <c r="T44" s="3401" t="e">
        <f>ROUND(PRODUCT(T43,AB9:AB42),0)</f>
        <v>#DIV/0!</v>
      </c>
      <c r="U44" s="3401"/>
      <c r="V44" s="3401" t="e">
        <f>ROUND(PRODUCT(V43,AC9:AC42),0)</f>
        <v>#DIV/0!</v>
      </c>
      <c r="W44" s="3401"/>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396" t="str">
        <f>A45</f>
        <v>估价对象XX用房的比较价格（楼面单价，元/平方米）</v>
      </c>
      <c r="Q45" s="3397"/>
      <c r="R45" s="3398" t="e">
        <f>ROUND(AVERAGE(R44:V44),0)</f>
        <v>#DIV/0!</v>
      </c>
      <c r="S45" s="3398"/>
      <c r="T45" s="3398"/>
      <c r="U45" s="3398"/>
      <c r="V45" s="3398"/>
      <c r="W45" s="339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45" t="s">
        <v>2283</v>
      </c>
      <c r="H52" s="3446"/>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7"/>
      <c r="H53" s="344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9"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9"/>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9"/>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9"/>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9"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0"/>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1" t="s">
        <v>2782</v>
      </c>
      <c r="X8" s="3452"/>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0"/>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0"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0"/>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0"/>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0"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9"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0"/>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1"/>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0"/>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1"/>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2"/>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9"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0"/>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5"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6"/>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6"/>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7"/>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3" t="s">
        <v>1633</v>
      </c>
      <c r="B90" s="3463"/>
      <c r="C90" s="3463"/>
      <c r="D90" s="3463"/>
      <c r="E90" s="3463"/>
      <c r="F90" s="3463"/>
      <c r="G90" s="3463"/>
      <c r="H90" s="3463"/>
      <c r="I90" s="3463"/>
      <c r="J90" s="3463"/>
      <c r="K90" s="2470"/>
      <c r="L90" s="2470"/>
      <c r="M90" s="2470"/>
      <c r="N90" s="2470"/>
    </row>
    <row r="91" spans="1:40">
      <c r="A91" s="3464" t="s">
        <v>1443</v>
      </c>
      <c r="B91" s="3464" t="s">
        <v>1634</v>
      </c>
      <c r="C91" s="1138" t="s">
        <v>1635</v>
      </c>
      <c r="D91" s="1139"/>
      <c r="E91" s="1139"/>
      <c r="F91" s="1139"/>
      <c r="G91" s="1139"/>
      <c r="H91" s="1139"/>
      <c r="I91" s="1139"/>
      <c r="J91" s="1140"/>
      <c r="K91" s="1132"/>
      <c r="L91" s="1132"/>
      <c r="M91" s="1132"/>
      <c r="N91" s="1132"/>
    </row>
    <row r="92" spans="1:40">
      <c r="A92" s="3464"/>
      <c r="B92" s="3464"/>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3"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4"/>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4"/>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4"/>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4"/>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4"/>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4"/>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4"/>
      <c r="B108" s="345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5"/>
      <c r="B109" s="3457"/>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8" t="s">
        <v>1639</v>
      </c>
      <c r="B110" s="3458"/>
      <c r="C110" s="3458"/>
      <c r="D110" s="3458"/>
      <c r="E110" s="3458"/>
      <c r="F110" s="3458"/>
      <c r="G110" s="3458"/>
      <c r="H110" s="3458"/>
      <c r="I110" s="3458"/>
      <c r="J110" s="3458"/>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4" t="s">
        <v>1007</v>
      </c>
      <c r="B18" s="1152" t="s">
        <v>1446</v>
      </c>
      <c r="C18" s="1129" t="s">
        <v>1447</v>
      </c>
      <c r="D18" s="1130"/>
      <c r="E18" s="1152">
        <v>1</v>
      </c>
      <c r="F18" s="1131" t="s">
        <v>1448</v>
      </c>
      <c r="G18" s="1132"/>
      <c r="H18" s="1103"/>
      <c r="I18" s="1103"/>
    </row>
    <row r="19" spans="1:9" s="1596" customFormat="1" ht="19.5" customHeight="1">
      <c r="A19" s="3464"/>
      <c r="B19" s="3464" t="s">
        <v>1449</v>
      </c>
      <c r="C19" s="1129" t="s">
        <v>1450</v>
      </c>
      <c r="D19" s="1130"/>
      <c r="E19" s="1152">
        <v>0.9</v>
      </c>
      <c r="F19" s="1131" t="s">
        <v>1451</v>
      </c>
      <c r="G19" s="1132"/>
      <c r="H19" s="1103"/>
      <c r="I19" s="1103"/>
    </row>
    <row r="20" spans="1:9" s="1596" customFormat="1" ht="19.5" customHeight="1">
      <c r="A20" s="3464"/>
      <c r="B20" s="3464"/>
      <c r="C20" s="1129" t="s">
        <v>1452</v>
      </c>
      <c r="D20" s="1130"/>
      <c r="E20" s="1152">
        <v>1.1000000000000001</v>
      </c>
      <c r="F20" s="1131" t="s">
        <v>1453</v>
      </c>
      <c r="G20" s="1132"/>
      <c r="H20" s="1103"/>
      <c r="I20" s="1103"/>
    </row>
    <row r="21" spans="1:9" s="1596" customFormat="1" ht="19.5" customHeight="1">
      <c r="A21" s="3464"/>
      <c r="B21" s="3464"/>
      <c r="C21" s="1129" t="s">
        <v>1454</v>
      </c>
      <c r="D21" s="1130"/>
      <c r="E21" s="1152">
        <v>0.8</v>
      </c>
      <c r="F21" s="1131" t="s">
        <v>1455</v>
      </c>
      <c r="G21" s="1132"/>
      <c r="H21" s="1103"/>
      <c r="I21" s="1103"/>
    </row>
    <row r="22" spans="1:9" s="1596" customFormat="1" ht="19.5" customHeight="1">
      <c r="A22" s="3464"/>
      <c r="B22" s="3464"/>
      <c r="C22" s="1129" t="s">
        <v>1456</v>
      </c>
      <c r="D22" s="1130"/>
      <c r="E22" s="1152">
        <v>0.5</v>
      </c>
      <c r="F22" s="1131"/>
      <c r="G22" s="1132"/>
      <c r="H22" s="1103"/>
      <c r="I22" s="1103"/>
    </row>
    <row r="23" spans="1:9" s="1596" customFormat="1" ht="19.5" customHeight="1">
      <c r="A23" s="3464" t="s">
        <v>1029</v>
      </c>
      <c r="B23" s="1152" t="s">
        <v>1446</v>
      </c>
      <c r="C23" s="1129" t="s">
        <v>1457</v>
      </c>
      <c r="D23" s="1130"/>
      <c r="E23" s="1152">
        <v>1</v>
      </c>
      <c r="F23" s="1131" t="s">
        <v>1458</v>
      </c>
      <c r="G23" s="1132"/>
      <c r="H23" s="1103"/>
      <c r="I23" s="1103"/>
    </row>
    <row r="24" spans="1:9" s="1596" customFormat="1" ht="19.5" customHeight="1">
      <c r="A24" s="3464"/>
      <c r="B24" s="3464" t="s">
        <v>1449</v>
      </c>
      <c r="C24" s="1129" t="s">
        <v>1459</v>
      </c>
      <c r="D24" s="1130"/>
      <c r="E24" s="1152">
        <v>0.5</v>
      </c>
      <c r="F24" s="1131"/>
      <c r="G24" s="1132"/>
      <c r="H24" s="1103"/>
      <c r="I24" s="1103"/>
    </row>
    <row r="25" spans="1:9" s="1596" customFormat="1" ht="19.5" customHeight="1">
      <c r="A25" s="3464"/>
      <c r="B25" s="3464"/>
      <c r="C25" s="1129" t="s">
        <v>1460</v>
      </c>
      <c r="D25" s="1130"/>
      <c r="E25" s="1152">
        <v>1.1000000000000001</v>
      </c>
      <c r="F25" s="1131"/>
      <c r="G25" s="1132"/>
      <c r="H25" s="1103"/>
      <c r="I25" s="1103"/>
    </row>
    <row r="26" spans="1:9" s="1596" customFormat="1" ht="19.5" customHeight="1">
      <c r="A26" s="3464"/>
      <c r="B26" s="3464"/>
      <c r="C26" s="1129" t="s">
        <v>1461</v>
      </c>
      <c r="D26" s="1130"/>
      <c r="E26" s="1152">
        <v>1.1000000000000001</v>
      </c>
      <c r="F26" s="1131"/>
      <c r="G26" s="1132"/>
      <c r="H26" s="1103"/>
      <c r="I26" s="1103"/>
    </row>
    <row r="27" spans="1:9" s="1596" customFormat="1" ht="19.5" customHeight="1">
      <c r="A27" s="3464"/>
      <c r="B27" s="3464"/>
      <c r="C27" s="1129" t="s">
        <v>1462</v>
      </c>
      <c r="D27" s="1130"/>
      <c r="E27" s="1152">
        <v>0.9</v>
      </c>
      <c r="F27" s="1131" t="s">
        <v>1463</v>
      </c>
      <c r="G27" s="1132"/>
      <c r="H27" s="1103"/>
      <c r="I27" s="1103"/>
    </row>
    <row r="28" spans="1:9" s="1596" customFormat="1" ht="19.5" customHeight="1">
      <c r="A28" s="3464"/>
      <c r="B28" s="3464"/>
      <c r="C28" s="1129" t="s">
        <v>1464</v>
      </c>
      <c r="D28" s="1130"/>
      <c r="E28" s="1152">
        <v>0.9</v>
      </c>
      <c r="F28" s="1131" t="s">
        <v>1465</v>
      </c>
      <c r="G28" s="1132"/>
      <c r="H28" s="1103"/>
      <c r="I28" s="1103"/>
    </row>
    <row r="29" spans="1:9" s="1596" customFormat="1" ht="19.5" customHeight="1">
      <c r="A29" s="3464"/>
      <c r="B29" s="3464"/>
      <c r="C29" s="1129" t="s">
        <v>1466</v>
      </c>
      <c r="D29" s="1130"/>
      <c r="E29" s="1152">
        <v>0.9</v>
      </c>
      <c r="F29" s="1131" t="s">
        <v>1467</v>
      </c>
      <c r="G29" s="1132"/>
      <c r="H29" s="1103"/>
      <c r="I29" s="1103"/>
    </row>
    <row r="30" spans="1:9" s="1596" customFormat="1" ht="19.5" customHeight="1">
      <c r="A30" s="3464"/>
      <c r="B30" s="3464"/>
      <c r="C30" s="1129" t="s">
        <v>1468</v>
      </c>
      <c r="D30" s="1130"/>
      <c r="E30" s="1152">
        <v>0.9</v>
      </c>
      <c r="F30" s="1131" t="s">
        <v>1469</v>
      </c>
      <c r="G30" s="1132"/>
      <c r="H30" s="1103"/>
      <c r="I30" s="1103"/>
    </row>
    <row r="31" spans="1:9" s="1596" customFormat="1" ht="19.5" customHeight="1">
      <c r="A31" s="3464"/>
      <c r="B31" s="3464"/>
      <c r="C31" s="1129" t="s">
        <v>1470</v>
      </c>
      <c r="D31" s="1130"/>
      <c r="E31" s="1152">
        <v>0.8</v>
      </c>
      <c r="F31" s="1131" t="s">
        <v>1471</v>
      </c>
      <c r="G31" s="1132"/>
      <c r="H31" s="1103"/>
      <c r="I31" s="1103"/>
    </row>
    <row r="32" spans="1:9" s="1596" customFormat="1" ht="19.5" customHeight="1">
      <c r="A32" s="3464"/>
      <c r="B32" s="3464"/>
      <c r="C32" s="1129" t="s">
        <v>1472</v>
      </c>
      <c r="D32" s="1130"/>
      <c r="E32" s="1152">
        <v>0.8</v>
      </c>
      <c r="F32" s="1131" t="s">
        <v>1473</v>
      </c>
      <c r="G32" s="1132"/>
      <c r="H32" s="1103"/>
      <c r="I32" s="1103"/>
    </row>
    <row r="33" spans="1:9" s="1596" customFormat="1" ht="19.5" customHeight="1">
      <c r="A33" s="3464" t="s">
        <v>1474</v>
      </c>
      <c r="B33" s="1152" t="s">
        <v>1446</v>
      </c>
      <c r="C33" s="1129" t="s">
        <v>1475</v>
      </c>
      <c r="D33" s="1130"/>
      <c r="E33" s="1152">
        <v>1</v>
      </c>
      <c r="F33" s="1131" t="s">
        <v>1476</v>
      </c>
      <c r="G33" s="1132"/>
      <c r="H33" s="1103"/>
      <c r="I33" s="1103"/>
    </row>
    <row r="34" spans="1:9" s="1596" customFormat="1" ht="19.5" customHeight="1">
      <c r="A34" s="3464"/>
      <c r="B34" s="1152" t="s">
        <v>1449</v>
      </c>
      <c r="C34" s="1129" t="s">
        <v>1477</v>
      </c>
      <c r="D34" s="1130"/>
      <c r="E34" s="1152">
        <v>1.5</v>
      </c>
      <c r="F34" s="1131" t="s">
        <v>1478</v>
      </c>
      <c r="G34" s="1132"/>
      <c r="H34" s="1103"/>
      <c r="I34" s="1103"/>
    </row>
    <row r="35" spans="1:9" s="1596" customFormat="1" ht="19.5" customHeight="1">
      <c r="A35" s="3464" t="s">
        <v>1432</v>
      </c>
      <c r="B35" s="1152" t="s">
        <v>1446</v>
      </c>
      <c r="C35" s="1129" t="s">
        <v>1479</v>
      </c>
      <c r="D35" s="1130"/>
      <c r="E35" s="1152">
        <v>1</v>
      </c>
      <c r="F35" s="1131" t="s">
        <v>1480</v>
      </c>
      <c r="G35" s="1132"/>
      <c r="H35" s="1103"/>
      <c r="I35" s="1103"/>
    </row>
    <row r="36" spans="1:9" s="1596" customFormat="1" ht="19.5" customHeight="1">
      <c r="A36" s="3464"/>
      <c r="B36" s="3464" t="s">
        <v>1449</v>
      </c>
      <c r="C36" s="1129" t="s">
        <v>1481</v>
      </c>
      <c r="D36" s="1130"/>
      <c r="E36" s="1152">
        <v>1</v>
      </c>
      <c r="F36" s="1131" t="s">
        <v>1482</v>
      </c>
      <c r="G36" s="1132"/>
      <c r="H36" s="1103"/>
      <c r="I36" s="1103"/>
    </row>
    <row r="37" spans="1:9" s="1596" customFormat="1" ht="19.5" customHeight="1">
      <c r="A37" s="3464"/>
      <c r="B37" s="3464"/>
      <c r="C37" s="1129" t="s">
        <v>1483</v>
      </c>
      <c r="D37" s="1130"/>
      <c r="E37" s="1152">
        <v>1.5</v>
      </c>
      <c r="F37" s="1131" t="s">
        <v>1484</v>
      </c>
      <c r="G37" s="1132"/>
      <c r="H37" s="1103"/>
      <c r="I37" s="1103"/>
    </row>
    <row r="38" spans="1:9" s="1596" customFormat="1" ht="19.5" customHeight="1">
      <c r="A38" s="3464"/>
      <c r="B38" s="3464"/>
      <c r="C38" s="1129" t="s">
        <v>1485</v>
      </c>
      <c r="D38" s="1130"/>
      <c r="E38" s="1152">
        <v>1</v>
      </c>
      <c r="F38" s="1131" t="s">
        <v>1486</v>
      </c>
      <c r="G38" s="1132"/>
      <c r="H38" s="1103"/>
      <c r="I38" s="1103"/>
    </row>
    <row r="39" spans="1:9" s="1596" customFormat="1" ht="19.5" customHeight="1">
      <c r="A39" s="3464"/>
      <c r="B39" s="3464"/>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4" t="s">
        <v>1501</v>
      </c>
      <c r="C61" s="1066" t="s">
        <v>1502</v>
      </c>
      <c r="D61" s="1066" t="s">
        <v>1503</v>
      </c>
      <c r="E61" s="1137">
        <v>0.5</v>
      </c>
      <c r="F61" s="1152">
        <v>80</v>
      </c>
      <c r="H61" s="1103">
        <f>SUMIF(C59:C119,基准地价!C8,E59:E119)</f>
        <v>0</v>
      </c>
    </row>
    <row r="62" spans="1:8" s="1103" customFormat="1" ht="24">
      <c r="A62" s="1152">
        <v>2</v>
      </c>
      <c r="B62" s="3464"/>
      <c r="C62" s="1066" t="s">
        <v>1504</v>
      </c>
      <c r="D62" s="1066" t="s">
        <v>1505</v>
      </c>
      <c r="E62" s="1137">
        <v>0.5</v>
      </c>
      <c r="F62" s="1152">
        <v>80</v>
      </c>
    </row>
    <row r="63" spans="1:8" s="1103" customFormat="1" ht="36">
      <c r="A63" s="1152">
        <v>3</v>
      </c>
      <c r="B63" s="3464"/>
      <c r="C63" s="1066" t="s">
        <v>1506</v>
      </c>
      <c r="D63" s="1066" t="s">
        <v>1507</v>
      </c>
      <c r="E63" s="1137">
        <v>0.5</v>
      </c>
      <c r="F63" s="1152">
        <v>80</v>
      </c>
    </row>
    <row r="64" spans="1:8" s="1103" customFormat="1" ht="36">
      <c r="A64" s="1152">
        <v>4</v>
      </c>
      <c r="B64" s="3464"/>
      <c r="C64" s="1066" t="s">
        <v>1508</v>
      </c>
      <c r="D64" s="1066" t="s">
        <v>1509</v>
      </c>
      <c r="E64" s="1137">
        <v>0.4</v>
      </c>
      <c r="F64" s="1152">
        <v>60</v>
      </c>
    </row>
    <row r="65" spans="1:6" s="1103" customFormat="1" ht="36">
      <c r="A65" s="1152">
        <v>5</v>
      </c>
      <c r="B65" s="3464"/>
      <c r="C65" s="1066" t="s">
        <v>1510</v>
      </c>
      <c r="D65" s="1066" t="s">
        <v>1511</v>
      </c>
      <c r="E65" s="1137">
        <v>0.2</v>
      </c>
      <c r="F65" s="1152">
        <v>30</v>
      </c>
    </row>
    <row r="66" spans="1:6" s="1103" customFormat="1" ht="36">
      <c r="A66" s="1152">
        <v>6</v>
      </c>
      <c r="B66" s="3464"/>
      <c r="C66" s="1066" t="s">
        <v>1512</v>
      </c>
      <c r="D66" s="1066" t="s">
        <v>1513</v>
      </c>
      <c r="E66" s="1137">
        <v>0.3</v>
      </c>
      <c r="F66" s="1152">
        <v>50</v>
      </c>
    </row>
    <row r="67" spans="1:6" s="1103" customFormat="1" ht="36">
      <c r="A67" s="1152">
        <v>7</v>
      </c>
      <c r="B67" s="3464"/>
      <c r="C67" s="1066" t="s">
        <v>1514</v>
      </c>
      <c r="D67" s="1066" t="s">
        <v>1515</v>
      </c>
      <c r="E67" s="1137">
        <v>0.2</v>
      </c>
      <c r="F67" s="1152">
        <v>30</v>
      </c>
    </row>
    <row r="68" spans="1:6" s="1103" customFormat="1" ht="36">
      <c r="A68" s="1152">
        <v>8</v>
      </c>
      <c r="B68" s="3464"/>
      <c r="C68" s="1066" t="s">
        <v>1516</v>
      </c>
      <c r="D68" s="1066" t="s">
        <v>1517</v>
      </c>
      <c r="E68" s="1137">
        <v>0.2</v>
      </c>
      <c r="F68" s="1152">
        <v>30</v>
      </c>
    </row>
    <row r="69" spans="1:6" s="1103" customFormat="1" ht="36">
      <c r="A69" s="1152">
        <v>9</v>
      </c>
      <c r="B69" s="3464"/>
      <c r="C69" s="1066" t="s">
        <v>1518</v>
      </c>
      <c r="D69" s="1066" t="s">
        <v>1519</v>
      </c>
      <c r="E69" s="1137">
        <v>0.2</v>
      </c>
      <c r="F69" s="1152">
        <v>30</v>
      </c>
    </row>
    <row r="70" spans="1:6" s="1103" customFormat="1" ht="48">
      <c r="A70" s="1152">
        <v>10</v>
      </c>
      <c r="B70" s="3464"/>
      <c r="C70" s="1066" t="s">
        <v>1520</v>
      </c>
      <c r="D70" s="1066" t="s">
        <v>1521</v>
      </c>
      <c r="E70" s="1137">
        <v>0.2</v>
      </c>
      <c r="F70" s="1152">
        <v>30</v>
      </c>
    </row>
    <row r="71" spans="1:6" s="1103" customFormat="1" ht="48">
      <c r="A71" s="1152">
        <v>11</v>
      </c>
      <c r="B71" s="3464"/>
      <c r="C71" s="1066" t="s">
        <v>1522</v>
      </c>
      <c r="D71" s="1066" t="s">
        <v>1523</v>
      </c>
      <c r="E71" s="1137">
        <v>0.2</v>
      </c>
      <c r="F71" s="1152">
        <v>30</v>
      </c>
    </row>
    <row r="72" spans="1:6" s="1103" customFormat="1" ht="36">
      <c r="A72" s="1152">
        <v>12</v>
      </c>
      <c r="B72" s="3464"/>
      <c r="C72" s="1066" t="s">
        <v>1524</v>
      </c>
      <c r="D72" s="1066" t="s">
        <v>1525</v>
      </c>
      <c r="E72" s="1137">
        <v>0.5</v>
      </c>
      <c r="F72" s="1152">
        <v>80</v>
      </c>
    </row>
    <row r="73" spans="1:6" s="1103" customFormat="1" ht="24">
      <c r="A73" s="1152">
        <v>13</v>
      </c>
      <c r="B73" s="3464"/>
      <c r="C73" s="1066" t="s">
        <v>1526</v>
      </c>
      <c r="D73" s="1066" t="s">
        <v>1527</v>
      </c>
      <c r="E73" s="1137">
        <v>0.4</v>
      </c>
      <c r="F73" s="1152">
        <v>60</v>
      </c>
    </row>
    <row r="74" spans="1:6" s="1103" customFormat="1" ht="24">
      <c r="A74" s="1152">
        <v>14</v>
      </c>
      <c r="B74" s="3464"/>
      <c r="C74" s="1066" t="s">
        <v>1528</v>
      </c>
      <c r="D74" s="1066" t="s">
        <v>1529</v>
      </c>
      <c r="E74" s="1137">
        <v>0.2</v>
      </c>
      <c r="F74" s="1152">
        <v>30</v>
      </c>
    </row>
    <row r="75" spans="1:6" s="1103" customFormat="1" ht="24">
      <c r="A75" s="1152">
        <v>15</v>
      </c>
      <c r="B75" s="3464"/>
      <c r="C75" s="1066" t="s">
        <v>1530</v>
      </c>
      <c r="D75" s="1066" t="s">
        <v>1531</v>
      </c>
      <c r="E75" s="1137">
        <v>0.2</v>
      </c>
      <c r="F75" s="1152">
        <v>30</v>
      </c>
    </row>
    <row r="76" spans="1:6" s="1103" customFormat="1" ht="24">
      <c r="A76" s="1152">
        <v>16</v>
      </c>
      <c r="B76" s="3464" t="s">
        <v>1532</v>
      </c>
      <c r="C76" s="1066" t="s">
        <v>1533</v>
      </c>
      <c r="D76" s="1066" t="s">
        <v>1534</v>
      </c>
      <c r="E76" s="1137">
        <v>0.5</v>
      </c>
      <c r="F76" s="1152">
        <v>80</v>
      </c>
    </row>
    <row r="77" spans="1:6" s="1103" customFormat="1" ht="24">
      <c r="A77" s="1152">
        <v>17</v>
      </c>
      <c r="B77" s="3464"/>
      <c r="C77" s="1066" t="s">
        <v>1535</v>
      </c>
      <c r="D77" s="1066" t="s">
        <v>1536</v>
      </c>
      <c r="E77" s="1137">
        <v>0.5</v>
      </c>
      <c r="F77" s="1152">
        <v>80</v>
      </c>
    </row>
    <row r="78" spans="1:6" s="1103" customFormat="1" ht="24">
      <c r="A78" s="1152">
        <v>18</v>
      </c>
      <c r="B78" s="3464"/>
      <c r="C78" s="1066" t="s">
        <v>1537</v>
      </c>
      <c r="D78" s="1066" t="s">
        <v>1538</v>
      </c>
      <c r="E78" s="1137">
        <v>0.2</v>
      </c>
      <c r="F78" s="1152">
        <v>30</v>
      </c>
    </row>
    <row r="79" spans="1:6" s="1103" customFormat="1" ht="24">
      <c r="A79" s="1152">
        <v>19</v>
      </c>
      <c r="B79" s="3464"/>
      <c r="C79" s="1066" t="s">
        <v>1539</v>
      </c>
      <c r="D79" s="1066" t="s">
        <v>1540</v>
      </c>
      <c r="E79" s="1137">
        <v>0.5</v>
      </c>
      <c r="F79" s="1152">
        <v>80</v>
      </c>
    </row>
    <row r="80" spans="1:6" s="1103" customFormat="1" ht="36">
      <c r="A80" s="1152">
        <v>20</v>
      </c>
      <c r="B80" s="3464"/>
      <c r="C80" s="1066" t="s">
        <v>1541</v>
      </c>
      <c r="D80" s="1066" t="s">
        <v>1542</v>
      </c>
      <c r="E80" s="1137">
        <v>0.2</v>
      </c>
      <c r="F80" s="1152">
        <v>30</v>
      </c>
    </row>
    <row r="81" spans="1:6" s="1103" customFormat="1" ht="36">
      <c r="A81" s="1152">
        <v>21</v>
      </c>
      <c r="B81" s="3464"/>
      <c r="C81" s="1066" t="s">
        <v>1543</v>
      </c>
      <c r="D81" s="1066" t="s">
        <v>1544</v>
      </c>
      <c r="E81" s="1137">
        <v>0.2</v>
      </c>
      <c r="F81" s="1152">
        <v>30</v>
      </c>
    </row>
    <row r="82" spans="1:6" s="1103" customFormat="1" ht="48">
      <c r="A82" s="1152">
        <v>22</v>
      </c>
      <c r="B82" s="3464"/>
      <c r="C82" s="1066" t="s">
        <v>1545</v>
      </c>
      <c r="D82" s="1066" t="s">
        <v>1546</v>
      </c>
      <c r="E82" s="1137">
        <v>0.2</v>
      </c>
      <c r="F82" s="1152">
        <v>30</v>
      </c>
    </row>
    <row r="83" spans="1:6" s="1103" customFormat="1" ht="48">
      <c r="A83" s="1152">
        <v>23</v>
      </c>
      <c r="B83" s="3464"/>
      <c r="C83" s="1066" t="s">
        <v>1547</v>
      </c>
      <c r="D83" s="1066" t="s">
        <v>1548</v>
      </c>
      <c r="E83" s="1137">
        <v>0.2</v>
      </c>
      <c r="F83" s="1152">
        <v>30</v>
      </c>
    </row>
    <row r="84" spans="1:6" s="1103" customFormat="1" ht="36">
      <c r="A84" s="1152">
        <v>24</v>
      </c>
      <c r="B84" s="3464"/>
      <c r="C84" s="1066" t="s">
        <v>1549</v>
      </c>
      <c r="D84" s="1066" t="s">
        <v>1550</v>
      </c>
      <c r="E84" s="1137">
        <v>0.2</v>
      </c>
      <c r="F84" s="1152">
        <v>30</v>
      </c>
    </row>
    <row r="85" spans="1:6" s="1103" customFormat="1" ht="36">
      <c r="A85" s="1152">
        <v>25</v>
      </c>
      <c r="B85" s="3464"/>
      <c r="C85" s="1066" t="s">
        <v>1551</v>
      </c>
      <c r="D85" s="1066" t="s">
        <v>1552</v>
      </c>
      <c r="E85" s="1137">
        <v>0.5</v>
      </c>
      <c r="F85" s="1152">
        <v>80</v>
      </c>
    </row>
    <row r="86" spans="1:6" s="1103" customFormat="1" ht="36">
      <c r="A86" s="1152">
        <v>26</v>
      </c>
      <c r="B86" s="3464"/>
      <c r="C86" s="1066" t="s">
        <v>1553</v>
      </c>
      <c r="D86" s="1066" t="s">
        <v>1554</v>
      </c>
      <c r="E86" s="1137">
        <v>0.2</v>
      </c>
      <c r="F86" s="1152">
        <v>30</v>
      </c>
    </row>
    <row r="87" spans="1:6" s="1103" customFormat="1" ht="36">
      <c r="A87" s="1152">
        <v>27</v>
      </c>
      <c r="B87" s="3464"/>
      <c r="C87" s="1066" t="s">
        <v>1555</v>
      </c>
      <c r="D87" s="1066" t="s">
        <v>1556</v>
      </c>
      <c r="E87" s="1137">
        <v>0.2</v>
      </c>
      <c r="F87" s="1152">
        <v>30</v>
      </c>
    </row>
    <row r="88" spans="1:6" s="1103" customFormat="1" ht="36">
      <c r="A88" s="1152">
        <v>28</v>
      </c>
      <c r="B88" s="3464"/>
      <c r="C88" s="1066" t="s">
        <v>1557</v>
      </c>
      <c r="D88" s="1066" t="s">
        <v>1558</v>
      </c>
      <c r="E88" s="1137">
        <v>0.2</v>
      </c>
      <c r="F88" s="1152">
        <v>30</v>
      </c>
    </row>
    <row r="89" spans="1:6" s="1103" customFormat="1" ht="24">
      <c r="A89" s="1152">
        <v>29</v>
      </c>
      <c r="B89" s="3464"/>
      <c r="C89" s="1066" t="s">
        <v>1559</v>
      </c>
      <c r="D89" s="1066" t="s">
        <v>1560</v>
      </c>
      <c r="E89" s="1137">
        <v>0.2</v>
      </c>
      <c r="F89" s="1152">
        <v>30</v>
      </c>
    </row>
    <row r="90" spans="1:6" s="1103" customFormat="1" ht="24">
      <c r="A90" s="1152">
        <v>30</v>
      </c>
      <c r="B90" s="3464"/>
      <c r="C90" s="1066" t="s">
        <v>1561</v>
      </c>
      <c r="D90" s="1066" t="s">
        <v>1562</v>
      </c>
      <c r="E90" s="1137">
        <v>0.2</v>
      </c>
      <c r="F90" s="1152">
        <v>30</v>
      </c>
    </row>
    <row r="91" spans="1:6" s="1103" customFormat="1" ht="36">
      <c r="A91" s="1152">
        <v>31</v>
      </c>
      <c r="B91" s="3464"/>
      <c r="C91" s="1066" t="s">
        <v>1563</v>
      </c>
      <c r="D91" s="1066" t="s">
        <v>1564</v>
      </c>
      <c r="E91" s="1137">
        <v>0.2</v>
      </c>
      <c r="F91" s="1152">
        <v>30</v>
      </c>
    </row>
    <row r="92" spans="1:6" s="1103" customFormat="1" ht="24">
      <c r="A92" s="1152">
        <v>32</v>
      </c>
      <c r="B92" s="3464" t="s">
        <v>1565</v>
      </c>
      <c r="C92" s="1152" t="s">
        <v>1566</v>
      </c>
      <c r="D92" s="1066" t="s">
        <v>1567</v>
      </c>
      <c r="E92" s="1137">
        <v>0.2</v>
      </c>
      <c r="F92" s="1152">
        <v>30</v>
      </c>
    </row>
    <row r="93" spans="1:6" s="1103" customFormat="1" ht="36">
      <c r="A93" s="1152">
        <v>33</v>
      </c>
      <c r="B93" s="3464"/>
      <c r="C93" s="1152" t="s">
        <v>1568</v>
      </c>
      <c r="D93" s="1066" t="s">
        <v>1569</v>
      </c>
      <c r="E93" s="1137">
        <v>0.2</v>
      </c>
      <c r="F93" s="1152">
        <v>30</v>
      </c>
    </row>
    <row r="94" spans="1:6" s="1103" customFormat="1" ht="48">
      <c r="A94" s="1152">
        <v>34</v>
      </c>
      <c r="B94" s="3464"/>
      <c r="C94" s="1152" t="s">
        <v>1570</v>
      </c>
      <c r="D94" s="1066" t="s">
        <v>1571</v>
      </c>
      <c r="E94" s="1137">
        <v>0.2</v>
      </c>
      <c r="F94" s="1152">
        <v>30</v>
      </c>
    </row>
    <row r="95" spans="1:6" s="1103" customFormat="1" ht="36">
      <c r="A95" s="1152">
        <v>35</v>
      </c>
      <c r="B95" s="3464"/>
      <c r="C95" s="1152" t="s">
        <v>1572</v>
      </c>
      <c r="D95" s="1066" t="s">
        <v>1573</v>
      </c>
      <c r="E95" s="1137">
        <v>0.2</v>
      </c>
      <c r="F95" s="1152">
        <v>30</v>
      </c>
    </row>
    <row r="96" spans="1:6" s="1103" customFormat="1" ht="48">
      <c r="A96" s="1152">
        <v>36</v>
      </c>
      <c r="B96" s="3464"/>
      <c r="C96" s="1066" t="s">
        <v>1574</v>
      </c>
      <c r="D96" s="1066" t="s">
        <v>1575</v>
      </c>
      <c r="E96" s="1137">
        <v>0.2</v>
      </c>
      <c r="F96" s="1152">
        <v>30</v>
      </c>
    </row>
    <row r="97" spans="1:6" s="1103" customFormat="1" ht="36">
      <c r="A97" s="1152">
        <v>37</v>
      </c>
      <c r="B97" s="3464"/>
      <c r="C97" s="1152" t="s">
        <v>1576</v>
      </c>
      <c r="D97" s="1066" t="s">
        <v>1577</v>
      </c>
      <c r="E97" s="1137">
        <v>0.2</v>
      </c>
      <c r="F97" s="1152">
        <v>30</v>
      </c>
    </row>
    <row r="98" spans="1:6" s="1103" customFormat="1" ht="36">
      <c r="A98" s="1152">
        <v>38</v>
      </c>
      <c r="B98" s="3464"/>
      <c r="C98" s="1152" t="s">
        <v>1578</v>
      </c>
      <c r="D98" s="1066" t="s">
        <v>1579</v>
      </c>
      <c r="E98" s="1137">
        <v>0.2</v>
      </c>
      <c r="F98" s="1152">
        <v>30</v>
      </c>
    </row>
    <row r="99" spans="1:6" s="1103" customFormat="1" ht="36">
      <c r="A99" s="1152">
        <v>39</v>
      </c>
      <c r="B99" s="3464" t="s">
        <v>1580</v>
      </c>
      <c r="C99" s="1152" t="s">
        <v>1581</v>
      </c>
      <c r="D99" s="1066" t="s">
        <v>1582</v>
      </c>
      <c r="E99" s="1137">
        <v>0.3</v>
      </c>
      <c r="F99" s="1152">
        <v>50</v>
      </c>
    </row>
    <row r="100" spans="1:6" s="1103" customFormat="1" ht="24">
      <c r="A100" s="1152">
        <v>40</v>
      </c>
      <c r="B100" s="3464"/>
      <c r="C100" s="1152" t="s">
        <v>1583</v>
      </c>
      <c r="D100" s="1066" t="s">
        <v>1584</v>
      </c>
      <c r="E100" s="1137">
        <v>0.2</v>
      </c>
      <c r="F100" s="1152">
        <v>30</v>
      </c>
    </row>
    <row r="101" spans="1:6" s="1103" customFormat="1" ht="36">
      <c r="A101" s="1152">
        <v>41</v>
      </c>
      <c r="B101" s="346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4" t="s">
        <v>1595</v>
      </c>
      <c r="C105" s="1152" t="s">
        <v>1596</v>
      </c>
      <c r="D105" s="1066" t="s">
        <v>1597</v>
      </c>
      <c r="E105" s="1137">
        <v>0.2</v>
      </c>
      <c r="F105" s="1152">
        <v>30</v>
      </c>
    </row>
    <row r="106" spans="1:6" s="1103" customFormat="1" ht="36">
      <c r="A106" s="1152">
        <v>46</v>
      </c>
      <c r="B106" s="3464"/>
      <c r="C106" s="1152" t="s">
        <v>1598</v>
      </c>
      <c r="D106" s="1066" t="s">
        <v>1599</v>
      </c>
      <c r="E106" s="1137">
        <v>0.2</v>
      </c>
      <c r="F106" s="1152">
        <v>30</v>
      </c>
    </row>
    <row r="107" spans="1:6" s="1103" customFormat="1" ht="36">
      <c r="A107" s="1152">
        <v>47</v>
      </c>
      <c r="B107" s="3464" t="s">
        <v>1600</v>
      </c>
      <c r="C107" s="1152" t="s">
        <v>1601</v>
      </c>
      <c r="D107" s="1066" t="s">
        <v>1602</v>
      </c>
      <c r="E107" s="1137">
        <v>0.3</v>
      </c>
      <c r="F107" s="1152">
        <v>50</v>
      </c>
    </row>
    <row r="108" spans="1:6" s="1103" customFormat="1" ht="36">
      <c r="A108" s="1152">
        <v>48</v>
      </c>
      <c r="B108" s="346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4" t="s">
        <v>1611</v>
      </c>
      <c r="C111" s="1152" t="s">
        <v>1612</v>
      </c>
      <c r="D111" s="1066" t="s">
        <v>1613</v>
      </c>
      <c r="E111" s="1137">
        <v>0.2</v>
      </c>
      <c r="F111" s="1152">
        <v>30</v>
      </c>
    </row>
    <row r="112" spans="1:6" s="1103" customFormat="1" ht="24">
      <c r="A112" s="1152">
        <v>52</v>
      </c>
      <c r="B112" s="3464"/>
      <c r="C112" s="1152" t="s">
        <v>1614</v>
      </c>
      <c r="D112" s="1066" t="s">
        <v>1615</v>
      </c>
      <c r="E112" s="1137">
        <v>0.2</v>
      </c>
      <c r="F112" s="1152">
        <v>30</v>
      </c>
    </row>
    <row r="113" spans="1:14" s="1103" customFormat="1" ht="24">
      <c r="A113" s="1152">
        <v>53</v>
      </c>
      <c r="B113" s="346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4" t="s">
        <v>1624</v>
      </c>
      <c r="C116" s="1152" t="s">
        <v>1625</v>
      </c>
      <c r="D116" s="1066" t="s">
        <v>1626</v>
      </c>
      <c r="E116" s="1137">
        <v>0.2</v>
      </c>
      <c r="F116" s="1152">
        <v>30</v>
      </c>
    </row>
    <row r="117" spans="1:14" ht="36">
      <c r="A117" s="1152">
        <v>57</v>
      </c>
      <c r="B117" s="346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3" t="s">
        <v>1633</v>
      </c>
      <c r="B121" s="3463"/>
      <c r="C121" s="3463"/>
      <c r="D121" s="3463"/>
      <c r="E121" s="3463"/>
      <c r="F121" s="3463"/>
      <c r="G121" s="3463"/>
      <c r="H121" s="3463"/>
      <c r="I121" s="3463"/>
      <c r="J121" s="346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1039</v>
      </c>
      <c r="B1" s="3468"/>
      <c r="C1" s="3468"/>
      <c r="D1" s="3468"/>
      <c r="E1" s="3468"/>
      <c r="F1" s="346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9" t="s">
        <v>1052</v>
      </c>
      <c r="B2" s="3469"/>
      <c r="C2" s="3469"/>
      <c r="D2" s="3469"/>
      <c r="E2" s="3469"/>
      <c r="F2" s="346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2" t="s">
        <v>2078</v>
      </c>
      <c r="B1" s="3472"/>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M42" sqref="M4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3214</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05" t="s">
        <v>521</v>
      </c>
      <c r="D4" s="3406"/>
      <c r="E4" s="3441" t="s">
        <v>522</v>
      </c>
      <c r="F4" s="3442"/>
      <c r="G4" s="3405" t="s">
        <v>523</v>
      </c>
      <c r="H4" s="3406"/>
      <c r="I4" s="3405" t="s">
        <v>524</v>
      </c>
      <c r="J4" s="3406"/>
      <c r="K4" s="513" t="s">
        <v>525</v>
      </c>
      <c r="L4" s="2129"/>
      <c r="M4" s="2130"/>
      <c r="N4" s="2130"/>
      <c r="O4" s="2130"/>
      <c r="P4" s="347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81" t="s">
        <v>3229</v>
      </c>
      <c r="F5" s="3444"/>
      <c r="G5" s="3423" t="s">
        <v>3230</v>
      </c>
      <c r="H5" s="3422"/>
      <c r="I5" s="3423" t="s">
        <v>3247</v>
      </c>
      <c r="J5" s="3422"/>
      <c r="K5" s="513"/>
      <c r="L5" s="2129"/>
      <c r="M5" s="2130"/>
      <c r="N5" s="2130"/>
      <c r="O5" s="2130"/>
      <c r="P5" s="3478"/>
      <c r="Q5" s="3410"/>
      <c r="R5" s="3415"/>
      <c r="S5" s="3416"/>
      <c r="T5" s="3415"/>
      <c r="U5" s="3416"/>
      <c r="V5" s="3400"/>
      <c r="W5" s="3400"/>
      <c r="X5" s="1564"/>
      <c r="Y5" s="3415"/>
      <c r="Z5" s="3416"/>
      <c r="AA5" s="3403"/>
      <c r="AB5" s="3403"/>
      <c r="AC5" s="3403"/>
    </row>
    <row r="6" spans="1:29" ht="27" customHeight="1" thickBot="1">
      <c r="A6" s="516"/>
      <c r="B6" s="517"/>
      <c r="C6" s="3438" t="s">
        <v>2926</v>
      </c>
      <c r="D6" s="3420"/>
      <c r="E6" s="3480" t="s">
        <v>3246</v>
      </c>
      <c r="F6" s="3440"/>
      <c r="G6" s="3419" t="s">
        <v>3231</v>
      </c>
      <c r="H6" s="3420"/>
      <c r="I6" s="3419" t="s">
        <v>3256</v>
      </c>
      <c r="J6" s="3420"/>
      <c r="K6" s="513" t="s">
        <v>527</v>
      </c>
      <c r="L6" s="2129"/>
      <c r="M6" s="2130"/>
      <c r="N6" s="2130"/>
      <c r="O6" s="2130"/>
      <c r="P6" s="3479"/>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33" t="s">
        <v>529</v>
      </c>
      <c r="Q7" s="3433"/>
      <c r="R7" s="1565" t="s">
        <v>8</v>
      </c>
      <c r="S7" s="1566">
        <f t="shared" ref="S7:S15" si="0">F7</f>
        <v>100</v>
      </c>
      <c r="T7" s="1565" t="s">
        <v>8</v>
      </c>
      <c r="U7" s="1566">
        <f t="shared" ref="U7:U15" si="1">H7</f>
        <v>100</v>
      </c>
      <c r="V7" s="1565" t="s">
        <v>8</v>
      </c>
      <c r="W7" s="1566">
        <f t="shared" ref="W7:W15"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33" t="s">
        <v>532</v>
      </c>
      <c r="Q8" s="3432"/>
      <c r="R8" s="1565" t="s">
        <v>8</v>
      </c>
      <c r="S8" s="1566">
        <f t="shared" si="0"/>
        <v>100</v>
      </c>
      <c r="T8" s="1565" t="s">
        <v>8</v>
      </c>
      <c r="U8" s="1566">
        <f t="shared" si="1"/>
        <v>100</v>
      </c>
      <c r="V8" s="1565" t="s">
        <v>8</v>
      </c>
      <c r="W8" s="1566">
        <f t="shared" si="2"/>
        <v>100</v>
      </c>
      <c r="X8" s="1567"/>
      <c r="Y8" s="3431" t="s">
        <v>532</v>
      </c>
      <c r="Z8" s="3432"/>
      <c r="AA8" s="1568">
        <f t="shared" ref="AA8:AA47" si="3">D8/F8</f>
        <v>1</v>
      </c>
      <c r="AB8" s="1568">
        <f t="shared" ref="AB8:AB47" si="4">D8/H8</f>
        <v>1</v>
      </c>
      <c r="AC8" s="1568">
        <f t="shared" ref="AC8:AC47" si="5">D8/J8</f>
        <v>1</v>
      </c>
    </row>
    <row r="9" spans="1:29" s="1218" customFormat="1" ht="15">
      <c r="A9" s="2934"/>
      <c r="B9" s="2941" t="s">
        <v>2755</v>
      </c>
      <c r="C9" s="3189" t="s">
        <v>3315</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399"/>
      <c r="Q11" s="1149" t="str">
        <f t="shared" si="6"/>
        <v>容积率</v>
      </c>
      <c r="R11" s="1565" t="s">
        <v>8</v>
      </c>
      <c r="S11" s="1566">
        <f t="shared" si="0"/>
        <v>100</v>
      </c>
      <c r="T11" s="1565" t="s">
        <v>8</v>
      </c>
      <c r="U11" s="1566">
        <f t="shared" si="1"/>
        <v>100</v>
      </c>
      <c r="V11" s="1565" t="s">
        <v>8</v>
      </c>
      <c r="W11" s="1566">
        <f t="shared" si="2"/>
        <v>100</v>
      </c>
      <c r="X11" s="1567"/>
      <c r="Y11" s="3345"/>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3248</v>
      </c>
      <c r="F15" s="548">
        <f>SUMIF(77:77,E16,78:78)-SUMIF(77:77,C16,78:78)+100</f>
        <v>100</v>
      </c>
      <c r="G15" s="3194" t="s">
        <v>3248</v>
      </c>
      <c r="H15" s="548">
        <f>SUMIF(77:77,G16,78:78)-SUMIF(77:77,C16,78:78)+100</f>
        <v>100</v>
      </c>
      <c r="I15" s="3194" t="s">
        <v>3257</v>
      </c>
      <c r="J15" s="548">
        <f>SUMIF(77:77,I16,78:78)-SUMIF(77:77,C16,78:78)+100</f>
        <v>100</v>
      </c>
      <c r="K15" s="897"/>
      <c r="L15" s="2138"/>
      <c r="M15" s="2130"/>
      <c r="N15" s="2130"/>
      <c r="O15" s="2130"/>
      <c r="P15" s="3434" t="s">
        <v>539</v>
      </c>
      <c r="Q15" s="1569" t="str">
        <f t="shared" si="6"/>
        <v>办公集聚程度</v>
      </c>
      <c r="R15" s="1570" t="s">
        <v>8</v>
      </c>
      <c r="S15" s="1571">
        <f t="shared" si="0"/>
        <v>100</v>
      </c>
      <c r="T15" s="1570" t="s">
        <v>8</v>
      </c>
      <c r="U15" s="1571">
        <f t="shared" si="1"/>
        <v>100</v>
      </c>
      <c r="V15" s="1570" t="s">
        <v>8</v>
      </c>
      <c r="W15" s="1571">
        <f t="shared" si="2"/>
        <v>100</v>
      </c>
      <c r="X15" s="1564"/>
      <c r="Y15" s="3434"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35"/>
      <c r="Q16" s="1569"/>
      <c r="R16" s="1570"/>
      <c r="S16" s="1571"/>
      <c r="T16" s="1570"/>
      <c r="U16" s="1571"/>
      <c r="V16" s="1570"/>
      <c r="W16" s="1571"/>
      <c r="X16" s="1564"/>
      <c r="Y16" s="3435"/>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3303</v>
      </c>
      <c r="F17" s="558">
        <f>SUMIF(79:79,E18,80:80)-SUMIF(79:79,C18,80:80)+100</f>
        <v>100</v>
      </c>
      <c r="G17" s="563" t="s">
        <v>3299</v>
      </c>
      <c r="H17" s="564">
        <f>SUMIF(79:79,G18,80:80)-SUMIF(79:79,C18,80:80)+100</f>
        <v>100</v>
      </c>
      <c r="I17" s="563" t="s">
        <v>3301</v>
      </c>
      <c r="J17" s="564">
        <f>SUMIF(79:79,I18,80:80)-SUMIF(79:79,C18,80:80)+100</f>
        <v>100</v>
      </c>
      <c r="K17" s="897"/>
      <c r="L17" s="2138"/>
      <c r="M17" s="2130"/>
      <c r="N17" s="2130"/>
      <c r="O17" s="2130"/>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35"/>
      <c r="Q18" s="1569"/>
      <c r="R18" s="1570"/>
      <c r="S18" s="1571"/>
      <c r="T18" s="1570"/>
      <c r="U18" s="1571"/>
      <c r="V18" s="1570"/>
      <c r="W18" s="1571"/>
      <c r="X18" s="1564"/>
      <c r="Y18" s="3435"/>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3249</v>
      </c>
      <c r="F19" s="564">
        <f>SUMIF(81:81,E20,82:82)-SUMIF(81:81,C20,82:82)+100</f>
        <v>102</v>
      </c>
      <c r="G19" s="571" t="s">
        <v>3249</v>
      </c>
      <c r="H19" s="558">
        <f>SUMIF(81:81,G20,82:82)-SUMIF(81:81,C20,82:82)+100</f>
        <v>102</v>
      </c>
      <c r="I19" s="571" t="s">
        <v>3258</v>
      </c>
      <c r="J19" s="558">
        <f>SUMIF(81:81,I20,82:82)-SUMIF(81:81,C20,82:82)+100</f>
        <v>100</v>
      </c>
      <c r="K19" s="897">
        <v>2</v>
      </c>
      <c r="L19" s="2138"/>
      <c r="M19" s="2130"/>
      <c r="N19" s="2130"/>
      <c r="O19" s="2130"/>
      <c r="P19" s="3435"/>
      <c r="Q19" s="1569" t="str">
        <f>B19</f>
        <v>公共配套设施</v>
      </c>
      <c r="R19" s="1570" t="s">
        <v>8</v>
      </c>
      <c r="S19" s="1571">
        <f>F19</f>
        <v>102</v>
      </c>
      <c r="T19" s="1570" t="s">
        <v>8</v>
      </c>
      <c r="U19" s="1571">
        <f>H19</f>
        <v>102</v>
      </c>
      <c r="V19" s="1570" t="s">
        <v>8</v>
      </c>
      <c r="W19" s="1571">
        <f>J19</f>
        <v>100</v>
      </c>
      <c r="X19" s="1564"/>
      <c r="Y19" s="3435"/>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35"/>
      <c r="Q20" s="1569"/>
      <c r="R20" s="1570"/>
      <c r="S20" s="1571"/>
      <c r="T20" s="1570"/>
      <c r="U20" s="1571"/>
      <c r="V20" s="1570"/>
      <c r="W20" s="1571"/>
      <c r="X20" s="1564"/>
      <c r="Y20" s="3435"/>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3236</v>
      </c>
      <c r="F21" s="564">
        <f>SUMIF(83:83,E22,84:84)-SUMIF(83:83,C22,84:84)+100</f>
        <v>100</v>
      </c>
      <c r="G21" s="569" t="s">
        <v>3236</v>
      </c>
      <c r="H21" s="564">
        <f>SUMIF(83:83,G22,84:84)-SUMIF(83:83,C22,84:84)+100</f>
        <v>100</v>
      </c>
      <c r="I21" s="569" t="s">
        <v>3236</v>
      </c>
      <c r="J21" s="564">
        <f>SUMIF(83:83,I22,84:84)-SUMIF(83:83,C22,84:84)+100</f>
        <v>100</v>
      </c>
      <c r="K21" s="897"/>
      <c r="L21" s="2138"/>
      <c r="M21" s="2130"/>
      <c r="N21" s="2130"/>
      <c r="O21" s="2130"/>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35"/>
      <c r="Q22" s="2599"/>
      <c r="R22" s="1570"/>
      <c r="S22" s="1571"/>
      <c r="T22" s="1570"/>
      <c r="U22" s="1571"/>
      <c r="V22" s="1570"/>
      <c r="W22" s="1571"/>
      <c r="X22" s="2601"/>
      <c r="Y22" s="3435"/>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3250</v>
      </c>
      <c r="F23" s="558">
        <f>SUMIF(85:85,E24,86:86)-SUMIF(85:85,C24,86:86)+100</f>
        <v>100</v>
      </c>
      <c r="G23" s="3184" t="s">
        <v>3250</v>
      </c>
      <c r="H23" s="558">
        <f>SUMIF(85:85,G24,86:86)-SUMIF(85:85,C24,86:86)+100</f>
        <v>100</v>
      </c>
      <c r="I23" s="3184" t="s">
        <v>3259</v>
      </c>
      <c r="J23" s="558">
        <f>SUMIF(85:85,I24,86:86)-SUMIF(85:85,C24,86:86)+100</f>
        <v>100</v>
      </c>
      <c r="K23" s="897"/>
      <c r="L23" s="2138"/>
      <c r="M23" s="2130"/>
      <c r="N23" s="2130"/>
      <c r="O23" s="2130"/>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35"/>
      <c r="Q24" s="1569"/>
      <c r="R24" s="1570"/>
      <c r="S24" s="1571"/>
      <c r="T24" s="1570"/>
      <c r="U24" s="1571"/>
      <c r="V24" s="1570"/>
      <c r="W24" s="1571"/>
      <c r="X24" s="1564"/>
      <c r="Y24" s="3435"/>
      <c r="Z24" s="1572"/>
      <c r="AA24" s="1573">
        <v>1</v>
      </c>
      <c r="AB24" s="1573">
        <v>1</v>
      </c>
      <c r="AC24" s="1573">
        <v>1</v>
      </c>
    </row>
    <row r="25" spans="1:29" ht="27.75">
      <c r="A25" s="514"/>
      <c r="B25" s="559" t="s">
        <v>547</v>
      </c>
      <c r="C25" s="3222" t="s">
        <v>3312</v>
      </c>
      <c r="D25" s="539">
        <v>100</v>
      </c>
      <c r="E25" s="538" t="s">
        <v>3304</v>
      </c>
      <c r="F25" s="539">
        <f>SUMIF(87:87,E26,88:88)-SUMIF(87:87,C26,88:88)+100</f>
        <v>100</v>
      </c>
      <c r="G25" s="911" t="s">
        <v>3300</v>
      </c>
      <c r="H25" s="539">
        <f>SUMIF(87:87,G26,88:88)-SUMIF(87:87,C26,88:88)+100</f>
        <v>98</v>
      </c>
      <c r="I25" s="538" t="s">
        <v>3302</v>
      </c>
      <c r="J25" s="539">
        <f>SUMIF(87:87,I26,88:88)-SUMIF(87:87,C26,88:88)+100</f>
        <v>98</v>
      </c>
      <c r="K25" s="897">
        <v>2</v>
      </c>
      <c r="L25" s="2138"/>
      <c r="M25" s="2130"/>
      <c r="N25" s="2130"/>
      <c r="O25" s="2130"/>
      <c r="P25" s="3435"/>
      <c r="Q25" s="1569" t="str">
        <f>B25</f>
        <v>毗邻道路的类型与等级</v>
      </c>
      <c r="R25" s="1570" t="s">
        <v>8</v>
      </c>
      <c r="S25" s="1571">
        <f>F25</f>
        <v>100</v>
      </c>
      <c r="T25" s="1570" t="s">
        <v>8</v>
      </c>
      <c r="U25" s="1571">
        <f>H25</f>
        <v>98</v>
      </c>
      <c r="V25" s="1570" t="s">
        <v>8</v>
      </c>
      <c r="W25" s="1571">
        <f>J25</f>
        <v>98</v>
      </c>
      <c r="X25" s="1564"/>
      <c r="Y25" s="3435"/>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35"/>
      <c r="Q26" s="1569"/>
      <c r="R26" s="1570"/>
      <c r="S26" s="1571"/>
      <c r="T26" s="1570"/>
      <c r="U26" s="1571"/>
      <c r="V26" s="1570"/>
      <c r="W26" s="1571"/>
      <c r="X26" s="1564"/>
      <c r="Y26" s="343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5"/>
      <c r="Q27" s="1569" t="str">
        <f t="shared" ref="Q27:Q47" si="11">B27</f>
        <v>楼层</v>
      </c>
      <c r="R27" s="1570" t="s">
        <v>8</v>
      </c>
      <c r="S27" s="1571">
        <f>F27</f>
        <v>100</v>
      </c>
      <c r="T27" s="1570" t="s">
        <v>8</v>
      </c>
      <c r="U27" s="1571">
        <f>H27</f>
        <v>100</v>
      </c>
      <c r="V27" s="1570" t="s">
        <v>8</v>
      </c>
      <c r="W27" s="1571">
        <f>J27</f>
        <v>100</v>
      </c>
      <c r="X27" s="1564"/>
      <c r="Y27" s="3435"/>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35"/>
      <c r="Q28" s="1149" t="str">
        <f t="shared" si="11"/>
        <v>朝向</v>
      </c>
      <c r="R28" s="1565" t="s">
        <v>8</v>
      </c>
      <c r="S28" s="1566">
        <f>F28</f>
        <v>100</v>
      </c>
      <c r="T28" s="1565" t="s">
        <v>8</v>
      </c>
      <c r="U28" s="1566">
        <f>H28</f>
        <v>100</v>
      </c>
      <c r="V28" s="1565" t="s">
        <v>8</v>
      </c>
      <c r="W28" s="1566">
        <f>J28</f>
        <v>100</v>
      </c>
      <c r="X28" s="1567"/>
      <c r="Y28" s="3435"/>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35"/>
      <c r="Q29" s="1569">
        <f t="shared" si="11"/>
        <v>111</v>
      </c>
      <c r="R29" s="1570" t="s">
        <v>8</v>
      </c>
      <c r="S29" s="1571">
        <f t="shared" ref="S29:S47" si="12">F29</f>
        <v>100</v>
      </c>
      <c r="T29" s="1570" t="s">
        <v>8</v>
      </c>
      <c r="U29" s="1571">
        <f t="shared" ref="U29:U47" si="13">H29</f>
        <v>100</v>
      </c>
      <c r="V29" s="1570" t="s">
        <v>8</v>
      </c>
      <c r="W29" s="1571">
        <f t="shared" ref="W29:W47" si="14">J29</f>
        <v>100</v>
      </c>
      <c r="X29" s="1564"/>
      <c r="Y29" s="3435"/>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35"/>
      <c r="Q32" s="1569">
        <f t="shared" si="11"/>
        <v>111</v>
      </c>
      <c r="R32" s="1570" t="s">
        <v>8</v>
      </c>
      <c r="S32" s="1571">
        <f t="shared" si="12"/>
        <v>100</v>
      </c>
      <c r="T32" s="1570" t="s">
        <v>8</v>
      </c>
      <c r="U32" s="1571">
        <f t="shared" si="13"/>
        <v>100</v>
      </c>
      <c r="V32" s="1570" t="s">
        <v>8</v>
      </c>
      <c r="W32" s="1571">
        <f t="shared" si="14"/>
        <v>100</v>
      </c>
      <c r="X32" s="1564"/>
      <c r="Y32" s="3435"/>
      <c r="Z32" s="1572">
        <f t="shared" si="15"/>
        <v>111</v>
      </c>
      <c r="AA32" s="1573">
        <f t="shared" si="3"/>
        <v>1</v>
      </c>
      <c r="AB32" s="1573">
        <f t="shared" si="4"/>
        <v>1</v>
      </c>
      <c r="AC32" s="1573">
        <f t="shared" si="5"/>
        <v>1</v>
      </c>
    </row>
    <row r="33" spans="1:29" ht="15">
      <c r="A33" s="2927" t="s">
        <v>2754</v>
      </c>
      <c r="B33" s="172" t="s">
        <v>779</v>
      </c>
      <c r="C33" s="915" t="s">
        <v>3292</v>
      </c>
      <c r="D33" s="596">
        <v>100</v>
      </c>
      <c r="E33" s="915" t="s">
        <v>3292</v>
      </c>
      <c r="F33" s="574">
        <f>SUMIF(101:101,E33,102:102)-SUMIF(101:101,C33,102:102)+100</f>
        <v>100</v>
      </c>
      <c r="G33" s="915" t="s">
        <v>3292</v>
      </c>
      <c r="H33" s="539">
        <f>SUMIF(101:101,G33,102:102)-SUMIF(101:101,C33,102:102)+100</f>
        <v>100</v>
      </c>
      <c r="I33" s="915" t="s">
        <v>3292</v>
      </c>
      <c r="J33" s="596">
        <f>SUMIF(101:101,I33,102:102)-SUMIF(101:101,C33,102:102)+100</f>
        <v>100</v>
      </c>
      <c r="K33" s="583"/>
      <c r="L33" s="2138"/>
      <c r="M33" s="2130"/>
      <c r="N33" s="2130"/>
      <c r="O33" s="2130"/>
      <c r="P33" s="3436" t="s">
        <v>549</v>
      </c>
      <c r="Q33" s="1569" t="str">
        <f t="shared" si="11"/>
        <v>建筑类型</v>
      </c>
      <c r="R33" s="1570" t="s">
        <v>8</v>
      </c>
      <c r="S33" s="1571">
        <f t="shared" si="12"/>
        <v>100</v>
      </c>
      <c r="T33" s="1570" t="s">
        <v>8</v>
      </c>
      <c r="U33" s="1571">
        <f t="shared" si="13"/>
        <v>100</v>
      </c>
      <c r="V33" s="1570" t="s">
        <v>8</v>
      </c>
      <c r="W33" s="1571">
        <f t="shared" si="14"/>
        <v>100</v>
      </c>
      <c r="X33" s="1564"/>
      <c r="Y33" s="3437"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37"/>
      <c r="Q34" s="1602" t="str">
        <f t="shared" si="11"/>
        <v>项目建筑规模</v>
      </c>
      <c r="R34" s="1574" t="s">
        <v>8</v>
      </c>
      <c r="S34" s="1575">
        <f t="shared" si="12"/>
        <v>102</v>
      </c>
      <c r="T34" s="1574" t="s">
        <v>8</v>
      </c>
      <c r="U34" s="1575">
        <f t="shared" si="13"/>
        <v>102</v>
      </c>
      <c r="V34" s="1574" t="s">
        <v>8</v>
      </c>
      <c r="W34" s="1575">
        <f t="shared" si="14"/>
        <v>101</v>
      </c>
      <c r="X34" s="1576"/>
      <c r="Y34" s="3437"/>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3228</v>
      </c>
      <c r="D35" s="539">
        <v>100</v>
      </c>
      <c r="E35" s="573" t="s">
        <v>3228</v>
      </c>
      <c r="F35" s="574">
        <f>SUMIF(106:106,E35,107:107)-SUMIF(106:106,C35,107:107)+100</f>
        <v>100</v>
      </c>
      <c r="G35" s="573" t="s">
        <v>3228</v>
      </c>
      <c r="H35" s="539">
        <f>SUMIF(106:106,G35,107:107)-SUMIF(106:106,C35,107:107)+100</f>
        <v>100</v>
      </c>
      <c r="I35" s="573" t="s">
        <v>3228</v>
      </c>
      <c r="J35" s="539">
        <f>SUMIF(106:106,I35,107:107)-SUMIF(106:106,C35,107:107)+100</f>
        <v>100</v>
      </c>
      <c r="K35" s="583"/>
      <c r="L35" s="2138"/>
      <c r="M35" s="2130"/>
      <c r="N35" s="2130"/>
      <c r="O35" s="2130"/>
      <c r="P35" s="3437"/>
      <c r="Q35" s="1569" t="str">
        <f t="shared" si="11"/>
        <v>建筑结构</v>
      </c>
      <c r="R35" s="1570" t="s">
        <v>8</v>
      </c>
      <c r="S35" s="1571">
        <f t="shared" si="12"/>
        <v>100</v>
      </c>
      <c r="T35" s="1570" t="s">
        <v>8</v>
      </c>
      <c r="U35" s="1571">
        <f t="shared" si="13"/>
        <v>100</v>
      </c>
      <c r="V35" s="1570" t="s">
        <v>8</v>
      </c>
      <c r="W35" s="1571">
        <f t="shared" si="14"/>
        <v>100</v>
      </c>
      <c r="X35" s="1564"/>
      <c r="Y35" s="3437"/>
      <c r="Z35" s="1572" t="str">
        <f t="shared" si="15"/>
        <v>建筑结构</v>
      </c>
      <c r="AA35" s="1573">
        <f t="shared" si="3"/>
        <v>1</v>
      </c>
      <c r="AB35" s="1573">
        <f t="shared" si="4"/>
        <v>1</v>
      </c>
      <c r="AC35" s="1573">
        <f t="shared" si="5"/>
        <v>1</v>
      </c>
    </row>
    <row r="36" spans="1:29" ht="15">
      <c r="A36" s="593"/>
      <c r="B36" s="526" t="s">
        <v>762</v>
      </c>
      <c r="C36" s="573" t="s">
        <v>3251</v>
      </c>
      <c r="D36" s="539">
        <v>100</v>
      </c>
      <c r="E36" s="573" t="s">
        <v>3251</v>
      </c>
      <c r="F36" s="574">
        <f>SUMIF(108:108,E36,109:109)-SUMIF(108:108,C36,109:109)+100</f>
        <v>100</v>
      </c>
      <c r="G36" s="573" t="s">
        <v>3251</v>
      </c>
      <c r="H36" s="539">
        <f>SUMIF(108:108,G36,109:109)-SUMIF(108:108,C36,109:109)+100</f>
        <v>100</v>
      </c>
      <c r="I36" s="573" t="s">
        <v>3251</v>
      </c>
      <c r="J36" s="539">
        <f>SUMIF(108:108,I36,109:109)-SUMIF(108:108,C36,109:109)+100</f>
        <v>100</v>
      </c>
      <c r="K36" s="583"/>
      <c r="L36" s="2138"/>
      <c r="M36" s="2130"/>
      <c r="N36" s="2130"/>
      <c r="O36" s="2130"/>
      <c r="P36" s="3437"/>
      <c r="Q36" s="1569" t="str">
        <f t="shared" si="11"/>
        <v>公共部分装修</v>
      </c>
      <c r="R36" s="1570" t="s">
        <v>8</v>
      </c>
      <c r="S36" s="1571">
        <f t="shared" si="12"/>
        <v>100</v>
      </c>
      <c r="T36" s="1570" t="s">
        <v>8</v>
      </c>
      <c r="U36" s="1571">
        <f t="shared" si="13"/>
        <v>100</v>
      </c>
      <c r="V36" s="1570" t="s">
        <v>8</v>
      </c>
      <c r="W36" s="1571">
        <f t="shared" si="14"/>
        <v>100</v>
      </c>
      <c r="X36" s="1564"/>
      <c r="Y36" s="3437"/>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37"/>
      <c r="Q37" s="1569" t="str">
        <f t="shared" si="11"/>
        <v>成新度</v>
      </c>
      <c r="R37" s="1570" t="s">
        <v>8</v>
      </c>
      <c r="S37" s="1571">
        <f t="shared" si="12"/>
        <v>100</v>
      </c>
      <c r="T37" s="1570" t="s">
        <v>8</v>
      </c>
      <c r="U37" s="1571">
        <f t="shared" si="13"/>
        <v>100</v>
      </c>
      <c r="V37" s="1570" t="s">
        <v>8</v>
      </c>
      <c r="W37" s="1571">
        <f t="shared" si="14"/>
        <v>100</v>
      </c>
      <c r="X37" s="1564"/>
      <c r="Y37" s="3437"/>
      <c r="Z37" s="1572" t="str">
        <f t="shared" si="15"/>
        <v>成新度</v>
      </c>
      <c r="AA37" s="1573">
        <f t="shared" si="3"/>
        <v>1</v>
      </c>
      <c r="AB37" s="1573">
        <f t="shared" si="4"/>
        <v>1</v>
      </c>
      <c r="AC37" s="1573">
        <f t="shared" si="5"/>
        <v>1</v>
      </c>
    </row>
    <row r="38" spans="1:29" s="1218" customFormat="1" ht="15">
      <c r="A38" s="599"/>
      <c r="B38" s="526" t="s">
        <v>780</v>
      </c>
      <c r="C38" s="573" t="s">
        <v>3308</v>
      </c>
      <c r="D38" s="254">
        <v>100</v>
      </c>
      <c r="E38" s="573" t="s">
        <v>3308</v>
      </c>
      <c r="F38" s="574">
        <f>SUMIF(113:113,E38,114:114)-SUMIF(113:113,C38,114:114)+100</f>
        <v>100</v>
      </c>
      <c r="G38" s="573" t="s">
        <v>3308</v>
      </c>
      <c r="H38" s="539">
        <f>SUMIF(113:113,G38,114:114)-SUMIF(113:113,C38,114:114)+100</f>
        <v>100</v>
      </c>
      <c r="I38" s="573" t="s">
        <v>3308</v>
      </c>
      <c r="J38" s="539">
        <f>SUMIF(113:113,I38,114:114)-SUMIF(113:113,C38,114:114)+100</f>
        <v>100</v>
      </c>
      <c r="K38" s="583"/>
      <c r="L38" s="2131"/>
      <c r="M38" s="2132"/>
      <c r="N38" s="2132"/>
      <c r="O38" s="2132"/>
      <c r="P38" s="3437"/>
      <c r="Q38" s="1149" t="str">
        <f t="shared" si="11"/>
        <v>写字楼等级</v>
      </c>
      <c r="R38" s="1565" t="s">
        <v>8</v>
      </c>
      <c r="S38" s="1566">
        <f t="shared" si="12"/>
        <v>100</v>
      </c>
      <c r="T38" s="1565" t="s">
        <v>8</v>
      </c>
      <c r="U38" s="1566">
        <f t="shared" si="13"/>
        <v>100</v>
      </c>
      <c r="V38" s="1565" t="s">
        <v>8</v>
      </c>
      <c r="W38" s="1566">
        <f t="shared" si="14"/>
        <v>100</v>
      </c>
      <c r="X38" s="1567"/>
      <c r="Y38" s="3437"/>
      <c r="Z38" s="1148" t="str">
        <f t="shared" si="15"/>
        <v>写字楼等级</v>
      </c>
      <c r="AA38" s="1568">
        <f t="shared" si="3"/>
        <v>1</v>
      </c>
      <c r="AB38" s="1568">
        <f t="shared" si="4"/>
        <v>1</v>
      </c>
      <c r="AC38" s="1568">
        <f t="shared" si="5"/>
        <v>1</v>
      </c>
    </row>
    <row r="39" spans="1:29" ht="15">
      <c r="A39" s="593"/>
      <c r="B39" s="526" t="s">
        <v>781</v>
      </c>
      <c r="C39" s="573" t="s">
        <v>3305</v>
      </c>
      <c r="D39" s="539">
        <v>100</v>
      </c>
      <c r="E39" s="573" t="s">
        <v>3305</v>
      </c>
      <c r="F39" s="574">
        <f>SUMIF(115:115,E39,116:116)-SUMIF(115:115,C39,116:116)+100</f>
        <v>100</v>
      </c>
      <c r="G39" s="573" t="s">
        <v>3305</v>
      </c>
      <c r="H39" s="539">
        <f>SUMIF(115:115,G39,116:116)-SUMIF(115:115,C39,116:116)+100</f>
        <v>100</v>
      </c>
      <c r="I39" s="573" t="s">
        <v>3305</v>
      </c>
      <c r="J39" s="539">
        <f>SUMIF(115:115,I39,116:116)-SUMIF(115:115,C39,116:116)+100</f>
        <v>100</v>
      </c>
      <c r="K39" s="583"/>
      <c r="L39" s="2138"/>
      <c r="M39" s="2130"/>
      <c r="N39" s="2130"/>
      <c r="O39" s="2130"/>
      <c r="P39" s="3437" t="s">
        <v>549</v>
      </c>
      <c r="Q39" s="1569" t="str">
        <f t="shared" si="11"/>
        <v>物业管理</v>
      </c>
      <c r="R39" s="1570" t="s">
        <v>8</v>
      </c>
      <c r="S39" s="1571">
        <f t="shared" si="12"/>
        <v>100</v>
      </c>
      <c r="T39" s="1570" t="s">
        <v>8</v>
      </c>
      <c r="U39" s="1571">
        <f t="shared" si="13"/>
        <v>100</v>
      </c>
      <c r="V39" s="1570" t="s">
        <v>8</v>
      </c>
      <c r="W39" s="1571">
        <f t="shared" si="14"/>
        <v>100</v>
      </c>
      <c r="X39" s="1564"/>
      <c r="Y39" s="3437"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3288</v>
      </c>
      <c r="F40" s="574">
        <f>SUMIF(117:117,E40,118:118)-SUMIF(117:117,C40,118:118)+100</f>
        <v>96</v>
      </c>
      <c r="G40" s="573" t="s">
        <v>3288</v>
      </c>
      <c r="H40" s="539">
        <f>SUMIF(117:117,G40,118:118)-SUMIF(117:117,C40,118:118)+100</f>
        <v>96</v>
      </c>
      <c r="I40" s="573" t="s">
        <v>3288</v>
      </c>
      <c r="J40" s="539">
        <f>SUMIF(117:117,I40,118:118)-SUMIF(117:117,C40,118:118)+100</f>
        <v>96</v>
      </c>
      <c r="K40" s="583">
        <v>2</v>
      </c>
      <c r="L40" s="2138"/>
      <c r="M40" s="2130"/>
      <c r="N40" s="2130"/>
      <c r="O40" s="2130"/>
      <c r="P40" s="3437"/>
      <c r="Q40" s="1569" t="str">
        <f t="shared" si="11"/>
        <v>市政基础设施</v>
      </c>
      <c r="R40" s="1570" t="s">
        <v>8</v>
      </c>
      <c r="S40" s="1571">
        <f t="shared" si="12"/>
        <v>96</v>
      </c>
      <c r="T40" s="1570" t="s">
        <v>8</v>
      </c>
      <c r="U40" s="1571">
        <f t="shared" si="13"/>
        <v>96</v>
      </c>
      <c r="V40" s="1570" t="s">
        <v>8</v>
      </c>
      <c r="W40" s="1571">
        <f t="shared" si="14"/>
        <v>96</v>
      </c>
      <c r="X40" s="1564"/>
      <c r="Y40" s="3437"/>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7"/>
      <c r="Q41" s="1569" t="str">
        <f t="shared" si="11"/>
        <v>层高</v>
      </c>
      <c r="R41" s="1570" t="s">
        <v>8</v>
      </c>
      <c r="S41" s="1571">
        <f t="shared" si="12"/>
        <v>100</v>
      </c>
      <c r="T41" s="1570" t="s">
        <v>8</v>
      </c>
      <c r="U41" s="1571">
        <f t="shared" si="13"/>
        <v>100</v>
      </c>
      <c r="V41" s="1570" t="s">
        <v>8</v>
      </c>
      <c r="W41" s="1571">
        <f t="shared" si="14"/>
        <v>100</v>
      </c>
      <c r="X41" s="1564"/>
      <c r="Y41" s="3437"/>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7"/>
      <c r="Q42" s="1602" t="str">
        <f t="shared" si="11"/>
        <v>单套建筑面积</v>
      </c>
      <c r="R42" s="1574" t="s">
        <v>8</v>
      </c>
      <c r="S42" s="1575">
        <f t="shared" si="12"/>
        <v>100</v>
      </c>
      <c r="T42" s="1574" t="s">
        <v>8</v>
      </c>
      <c r="U42" s="1575">
        <f t="shared" si="13"/>
        <v>100</v>
      </c>
      <c r="V42" s="1574" t="s">
        <v>8</v>
      </c>
      <c r="W42" s="1575">
        <f t="shared" si="14"/>
        <v>100</v>
      </c>
      <c r="X42" s="1576"/>
      <c r="Y42" s="3437"/>
      <c r="Z42" s="1577" t="str">
        <f t="shared" si="15"/>
        <v>单套建筑面积</v>
      </c>
      <c r="AA42" s="1573">
        <f t="shared" si="3"/>
        <v>1</v>
      </c>
      <c r="AB42" s="1573">
        <f t="shared" si="4"/>
        <v>1</v>
      </c>
      <c r="AC42" s="1573">
        <f t="shared" si="5"/>
        <v>1</v>
      </c>
    </row>
    <row r="43" spans="1:29" ht="15">
      <c r="A43" s="593"/>
      <c r="B43" s="526" t="s">
        <v>769</v>
      </c>
      <c r="C43" s="573" t="s">
        <v>3294</v>
      </c>
      <c r="D43" s="539">
        <v>100</v>
      </c>
      <c r="E43" s="573" t="s">
        <v>3294</v>
      </c>
      <c r="F43" s="574">
        <f>SUMIF(123:123,E43,124:124)-SUMIF(123:123,C43,124:124)+100</f>
        <v>100</v>
      </c>
      <c r="G43" s="573" t="s">
        <v>3294</v>
      </c>
      <c r="H43" s="539">
        <f>SUMIF(123:123,G43,124:124)-SUMIF(123:123,C43,124:124)+100</f>
        <v>100</v>
      </c>
      <c r="I43" s="573" t="s">
        <v>3294</v>
      </c>
      <c r="J43" s="539">
        <f>SUMIF(123:123,I43,124:124)-SUMIF(123:123,C43,124:124)+100</f>
        <v>100</v>
      </c>
      <c r="K43" s="583"/>
      <c r="L43" s="2138"/>
      <c r="M43" s="2130"/>
      <c r="N43" s="2130"/>
      <c r="O43" s="2130"/>
      <c r="P43" s="3437"/>
      <c r="Q43" s="1569" t="str">
        <f t="shared" si="11"/>
        <v>内部装修</v>
      </c>
      <c r="R43" s="1570" t="s">
        <v>8</v>
      </c>
      <c r="S43" s="1571">
        <f t="shared" si="12"/>
        <v>100</v>
      </c>
      <c r="T43" s="1570" t="s">
        <v>8</v>
      </c>
      <c r="U43" s="1571">
        <f t="shared" si="13"/>
        <v>100</v>
      </c>
      <c r="V43" s="1570" t="s">
        <v>8</v>
      </c>
      <c r="W43" s="1571">
        <f t="shared" si="14"/>
        <v>100</v>
      </c>
      <c r="X43" s="1564"/>
      <c r="Y43" s="3437"/>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37"/>
      <c r="Q44" s="1569" t="str">
        <f t="shared" si="11"/>
        <v>内部装修维护情况</v>
      </c>
      <c r="R44" s="1570" t="s">
        <v>8</v>
      </c>
      <c r="S44" s="1571">
        <f t="shared" si="12"/>
        <v>100</v>
      </c>
      <c r="T44" s="1570" t="s">
        <v>8</v>
      </c>
      <c r="U44" s="1571">
        <f t="shared" si="13"/>
        <v>100</v>
      </c>
      <c r="V44" s="1570" t="s">
        <v>8</v>
      </c>
      <c r="W44" s="1571">
        <f t="shared" si="14"/>
        <v>100</v>
      </c>
      <c r="X44" s="1564"/>
      <c r="Y44" s="3437"/>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7"/>
      <c r="Q45" s="1149">
        <f t="shared" si="11"/>
        <v>111</v>
      </c>
      <c r="R45" s="1565" t="s">
        <v>8</v>
      </c>
      <c r="S45" s="1566">
        <f t="shared" si="12"/>
        <v>100</v>
      </c>
      <c r="T45" s="1565" t="s">
        <v>8</v>
      </c>
      <c r="U45" s="1566">
        <f t="shared" si="13"/>
        <v>100</v>
      </c>
      <c r="V45" s="1565" t="s">
        <v>8</v>
      </c>
      <c r="W45" s="1566">
        <f t="shared" si="14"/>
        <v>100</v>
      </c>
      <c r="X45" s="1567"/>
      <c r="Y45" s="3437"/>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7"/>
      <c r="Q46" s="1569">
        <f t="shared" si="11"/>
        <v>111</v>
      </c>
      <c r="R46" s="1570" t="s">
        <v>8</v>
      </c>
      <c r="S46" s="1571">
        <f t="shared" si="12"/>
        <v>100</v>
      </c>
      <c r="T46" s="1570" t="s">
        <v>8</v>
      </c>
      <c r="U46" s="1571">
        <f t="shared" si="13"/>
        <v>100</v>
      </c>
      <c r="V46" s="1570" t="s">
        <v>8</v>
      </c>
      <c r="W46" s="1571">
        <f t="shared" si="14"/>
        <v>100</v>
      </c>
      <c r="X46" s="1564"/>
      <c r="Y46" s="3437"/>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6"/>
      <c r="Q47" s="1569">
        <f t="shared" si="11"/>
        <v>111</v>
      </c>
      <c r="R47" s="1570" t="s">
        <v>8</v>
      </c>
      <c r="S47" s="1571">
        <f t="shared" si="12"/>
        <v>100</v>
      </c>
      <c r="T47" s="1570" t="s">
        <v>8</v>
      </c>
      <c r="U47" s="1571">
        <f t="shared" si="13"/>
        <v>100</v>
      </c>
      <c r="V47" s="1570" t="s">
        <v>8</v>
      </c>
      <c r="W47" s="1571">
        <f t="shared" si="14"/>
        <v>100</v>
      </c>
      <c r="X47" s="1564"/>
      <c r="Y47" s="3476"/>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397" t="str">
        <f>A48</f>
        <v>成交单价（元/平方米）</v>
      </c>
      <c r="Q48" s="3399"/>
      <c r="R48" s="3473">
        <f>E48</f>
        <v>45080</v>
      </c>
      <c r="S48" s="3473"/>
      <c r="T48" s="3473">
        <f>G48</f>
        <v>40117</v>
      </c>
      <c r="U48" s="3473"/>
      <c r="V48" s="3473">
        <f>I48</f>
        <v>39200</v>
      </c>
      <c r="W48" s="3473"/>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397" t="str">
        <f>A49</f>
        <v>比较价格（元/平方米）</v>
      </c>
      <c r="Q49" s="3399"/>
      <c r="R49" s="3473">
        <f>IF(F1="售价",ROUND(PRODUCT(R48,AA7:AA47),0),ROUND(PRODUCT(R48,AA7:AA47),1))</f>
        <v>45135</v>
      </c>
      <c r="S49" s="3473"/>
      <c r="T49" s="3473">
        <f>IF(F1="售价",ROUND(PRODUCT(T48,AB7:AB47),0),ROUND(PRODUCT(T48,AB7:AB47),1))</f>
        <v>40986</v>
      </c>
      <c r="U49" s="3473"/>
      <c r="V49" s="3473">
        <f>IF(F1="售价",ROUND(PRODUCT(V48,AC7:AC47),0),ROUND(PRODUCT(V48,AC7:AC47),1))</f>
        <v>41254</v>
      </c>
      <c r="W49" s="3473"/>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4" t="str">
        <f>A50</f>
        <v>估价对象XX用房的比较价格（楼面单价，元/平方米）</v>
      </c>
      <c r="Q50" s="3397"/>
      <c r="R50" s="3475">
        <f>IF(F1="售价",ROUND(AVERAGE(R49:V49),0),ROUND(AVERAGE(R49:V49),1))</f>
        <v>42458</v>
      </c>
      <c r="S50" s="3475"/>
      <c r="T50" s="3475"/>
      <c r="U50" s="3475"/>
      <c r="V50" s="3475"/>
      <c r="W50" s="347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3295</v>
      </c>
      <c r="D87" s="3182" t="s">
        <v>3296</v>
      </c>
      <c r="E87" s="3182" t="s">
        <v>3297</v>
      </c>
      <c r="F87" s="3182" t="s">
        <v>3298</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3293</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3283</v>
      </c>
      <c r="D106" s="3182" t="s">
        <v>3284</v>
      </c>
      <c r="E106" s="3185" t="s">
        <v>3285</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3252</v>
      </c>
      <c r="D108" s="3182" t="s">
        <v>3253</v>
      </c>
      <c r="E108" s="3182" t="s">
        <v>3254</v>
      </c>
      <c r="F108" s="3185" t="s">
        <v>3255</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3309</v>
      </c>
      <c r="D113" s="3182" t="s">
        <v>3310</v>
      </c>
      <c r="E113" s="3182" t="s">
        <v>3311</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3306</v>
      </c>
      <c r="D115" s="687" t="s">
        <v>3307</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3286</v>
      </c>
      <c r="D117" s="3182" t="s">
        <v>3287</v>
      </c>
      <c r="E117" s="3182" t="s">
        <v>3289</v>
      </c>
      <c r="F117" s="3182" t="s">
        <v>3290</v>
      </c>
      <c r="G117" s="3182" t="s">
        <v>3291</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3252</v>
      </c>
      <c r="D123" s="3182" t="s">
        <v>3253</v>
      </c>
      <c r="E123" s="3182" t="s">
        <v>3254</v>
      </c>
      <c r="F123" s="3185" t="s">
        <v>3255</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3214</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05" t="s">
        <v>798</v>
      </c>
      <c r="F4" s="3406"/>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23" t="s">
        <v>3215</v>
      </c>
      <c r="F5" s="3422"/>
      <c r="G5" s="3423" t="s">
        <v>3218</v>
      </c>
      <c r="H5" s="3422"/>
      <c r="I5" s="3423" t="s">
        <v>3217</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24" t="s">
        <v>3232</v>
      </c>
      <c r="F6" s="3425"/>
      <c r="G6" s="3419" t="s">
        <v>3238</v>
      </c>
      <c r="H6" s="3420"/>
      <c r="I6" s="3419" t="s">
        <v>3241</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99</v>
      </c>
      <c r="X7" s="1567"/>
      <c r="Y7" s="3431" t="s">
        <v>529</v>
      </c>
      <c r="Z7" s="3432"/>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6" si="3">D8/F8</f>
        <v>1</v>
      </c>
      <c r="AB8" s="1568">
        <f t="shared" ref="AB8:AB36" si="4">D8/H8</f>
        <v>1</v>
      </c>
      <c r="AC8" s="1568">
        <f t="shared" ref="AC8:AC36" si="5">D8/J8</f>
        <v>1</v>
      </c>
    </row>
    <row r="9" spans="1:29" s="1218" customFormat="1" ht="15">
      <c r="A9" s="2934"/>
      <c r="B9" s="2941" t="s">
        <v>2755</v>
      </c>
      <c r="C9" s="3189" t="s">
        <v>3219</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SUMIF(55:55,E10,56:56)-SUMIF(55:55,C10,56:56)+100</f>
        <v>100</v>
      </c>
      <c r="G10" s="860" t="s">
        <v>3220</v>
      </c>
      <c r="H10" s="254">
        <f>SUMIF(55:55,G10,56:56)-SUMIF(55:55,C10,56:56)+100</f>
        <v>100</v>
      </c>
      <c r="I10" s="860" t="s">
        <v>3220</v>
      </c>
      <c r="J10" s="254">
        <f>SUMIF(55:55,I10,56:56)-SUMIF(55:55,C10,56:56)+100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3234</v>
      </c>
      <c r="F14" s="550">
        <f>SUMIF(63:63,E15,64:64)-SUMIF(63:63,C15,64:64)+100</f>
        <v>100</v>
      </c>
      <c r="G14" s="549" t="s">
        <v>3245</v>
      </c>
      <c r="H14" s="548">
        <f>SUMIF(63:63,G15,64:64)-SUMIF(63:63,C15,64:64)+100</f>
        <v>100</v>
      </c>
      <c r="I14" s="549" t="s">
        <v>3242</v>
      </c>
      <c r="J14" s="548">
        <f>SUMIF(63:63,I15,64:64)-SUMIF(63:63,C15,64:64)+100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3235</v>
      </c>
      <c r="F16" s="570">
        <f>SUMIF(65:65,E17,66:66)-SUMIF(65:65,C17,66:66)+100</f>
        <v>102</v>
      </c>
      <c r="G16" s="571" t="s">
        <v>3239</v>
      </c>
      <c r="H16" s="564">
        <f>SUMIF(65:65,G17,66:66)-SUMIF(65:65,C17,66:66)+100</f>
        <v>102</v>
      </c>
      <c r="I16" s="571" t="s">
        <v>3243</v>
      </c>
      <c r="J16" s="564">
        <f>SUMIF(65:65,I17,66:66)-SUMIF(65:65,C17,66:66)+100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3236</v>
      </c>
      <c r="F18" s="570">
        <f>SUMIF(67:67,E19,68:68)-SUMIF(67:67,C19,68:68)+100</f>
        <v>100</v>
      </c>
      <c r="G18" s="571" t="s">
        <v>3236</v>
      </c>
      <c r="H18" s="564">
        <f>SUMIF(67:67,G19,68:68)-SUMIF(67:67,C19,68:68)+100</f>
        <v>100</v>
      </c>
      <c r="I18" s="569" t="s">
        <v>3236</v>
      </c>
      <c r="J18" s="564">
        <f>SUMIF(67:67,I19,68:68)-SUMIF(67:67,C19,68:68)+100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3237</v>
      </c>
      <c r="F20" s="562">
        <f>SUMIF(69:69,E21,70:70)-SUMIF(69:69,C21,70:70)+100</f>
        <v>100</v>
      </c>
      <c r="G20" s="3183" t="s">
        <v>3240</v>
      </c>
      <c r="H20" s="558">
        <f>SUMIF(69:69,G21,70:70)-SUMIF(69:69,C21,70:70)+100</f>
        <v>100</v>
      </c>
      <c r="I20" s="3183" t="s">
        <v>3244</v>
      </c>
      <c r="J20" s="558">
        <f>SUMIF(69:69,I21,70:70)-SUMIF(69:69,C21,70:70)+100</f>
        <v>100</v>
      </c>
      <c r="K20" s="897"/>
      <c r="L20" s="2138"/>
      <c r="M20" s="2130"/>
      <c r="N20" s="2130"/>
      <c r="O20" s="2137"/>
      <c r="P20" s="3435"/>
      <c r="Q20" s="1569" t="str">
        <f>B20</f>
        <v>自然及人文环境</v>
      </c>
      <c r="R20" s="1570" t="s">
        <v>8</v>
      </c>
      <c r="S20" s="1571">
        <f>F20</f>
        <v>100</v>
      </c>
      <c r="T20" s="1570" t="s">
        <v>8</v>
      </c>
      <c r="U20" s="1571">
        <f>H20</f>
        <v>100</v>
      </c>
      <c r="V20" s="1570" t="s">
        <v>8</v>
      </c>
      <c r="W20" s="1571">
        <f>J20</f>
        <v>100</v>
      </c>
      <c r="X20" s="1564"/>
      <c r="Y20" s="3435"/>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5"/>
      <c r="Q22" s="1569" t="str">
        <f>B22</f>
        <v>楼层</v>
      </c>
      <c r="R22" s="1570" t="s">
        <v>8</v>
      </c>
      <c r="S22" s="1571">
        <f>F22</f>
        <v>100</v>
      </c>
      <c r="T22" s="1570" t="s">
        <v>8</v>
      </c>
      <c r="U22" s="1571">
        <f>H22</f>
        <v>100</v>
      </c>
      <c r="V22" s="1570" t="s">
        <v>8</v>
      </c>
      <c r="W22" s="1571">
        <f>J22</f>
        <v>100</v>
      </c>
      <c r="X22" s="1564"/>
      <c r="Y22" s="3435"/>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5"/>
      <c r="Q24" s="1569">
        <f t="shared" ref="Q24:Q36"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3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7"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37"/>
      <c r="Q27" s="1602" t="str">
        <f t="shared" si="11"/>
        <v>项目停车位配比</v>
      </c>
      <c r="R27" s="1574" t="s">
        <v>8</v>
      </c>
      <c r="S27" s="1575">
        <f t="shared" si="12"/>
        <v>100</v>
      </c>
      <c r="T27" s="1574" t="s">
        <v>8</v>
      </c>
      <c r="U27" s="1575">
        <f t="shared" si="13"/>
        <v>100</v>
      </c>
      <c r="V27" s="1574" t="s">
        <v>8</v>
      </c>
      <c r="W27" s="1575">
        <f t="shared" si="14"/>
        <v>100</v>
      </c>
      <c r="X27" s="1576"/>
      <c r="Y27" s="343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37"/>
      <c r="Q28" s="1569" t="str">
        <f t="shared" si="11"/>
        <v>公共部分装修</v>
      </c>
      <c r="R28" s="1570" t="s">
        <v>8</v>
      </c>
      <c r="S28" s="1571">
        <f t="shared" si="12"/>
        <v>100</v>
      </c>
      <c r="T28" s="1570" t="s">
        <v>8</v>
      </c>
      <c r="U28" s="1571">
        <f t="shared" si="13"/>
        <v>100</v>
      </c>
      <c r="V28" s="1570" t="s">
        <v>8</v>
      </c>
      <c r="W28" s="1571">
        <f t="shared" si="14"/>
        <v>100</v>
      </c>
      <c r="X28" s="1564"/>
      <c r="Y28" s="3437"/>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37"/>
      <c r="Q29" s="1569" t="str">
        <f t="shared" si="11"/>
        <v>成新率</v>
      </c>
      <c r="R29" s="1570" t="s">
        <v>8</v>
      </c>
      <c r="S29" s="1571">
        <f t="shared" si="12"/>
        <v>100</v>
      </c>
      <c r="T29" s="1570" t="s">
        <v>8</v>
      </c>
      <c r="U29" s="1571">
        <f t="shared" si="13"/>
        <v>100</v>
      </c>
      <c r="V29" s="1570" t="s">
        <v>8</v>
      </c>
      <c r="W29" s="1571">
        <f t="shared" si="14"/>
        <v>100</v>
      </c>
      <c r="X29" s="1564"/>
      <c r="Y29" s="3437"/>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37"/>
      <c r="Q30" s="1569" t="str">
        <f t="shared" si="11"/>
        <v>物业等级</v>
      </c>
      <c r="R30" s="1570" t="s">
        <v>8</v>
      </c>
      <c r="S30" s="1571">
        <f t="shared" si="12"/>
        <v>100</v>
      </c>
      <c r="T30" s="1570" t="s">
        <v>8</v>
      </c>
      <c r="U30" s="1571">
        <f t="shared" si="13"/>
        <v>100</v>
      </c>
      <c r="V30" s="1570" t="s">
        <v>8</v>
      </c>
      <c r="W30" s="1571">
        <f t="shared" si="14"/>
        <v>100</v>
      </c>
      <c r="X30" s="1564"/>
      <c r="Y30" s="3437"/>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37"/>
      <c r="Q31" s="1149" t="str">
        <f t="shared" si="11"/>
        <v>停车位面积</v>
      </c>
      <c r="R31" s="1565" t="s">
        <v>8</v>
      </c>
      <c r="S31" s="1566">
        <f t="shared" si="12"/>
        <v>98</v>
      </c>
      <c r="T31" s="1565" t="s">
        <v>8</v>
      </c>
      <c r="U31" s="1566">
        <f t="shared" si="13"/>
        <v>98</v>
      </c>
      <c r="V31" s="1565" t="s">
        <v>8</v>
      </c>
      <c r="W31" s="1566">
        <f t="shared" si="14"/>
        <v>98</v>
      </c>
      <c r="X31" s="1567"/>
      <c r="Y31" s="3437"/>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37" t="s">
        <v>549</v>
      </c>
      <c r="Q32" s="1569" t="str">
        <f t="shared" si="11"/>
        <v>车位类型</v>
      </c>
      <c r="R32" s="1570" t="s">
        <v>8</v>
      </c>
      <c r="S32" s="1571">
        <f t="shared" si="12"/>
        <v>100</v>
      </c>
      <c r="T32" s="1570" t="s">
        <v>8</v>
      </c>
      <c r="U32" s="1571">
        <f t="shared" si="13"/>
        <v>100</v>
      </c>
      <c r="V32" s="1570" t="s">
        <v>8</v>
      </c>
      <c r="W32" s="1571">
        <f t="shared" si="14"/>
        <v>100</v>
      </c>
      <c r="X32" s="1564"/>
      <c r="Y32" s="343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7"/>
      <c r="Q33" s="1569" t="str">
        <f t="shared" si="11"/>
        <v>是否直接入户</v>
      </c>
      <c r="R33" s="1570" t="s">
        <v>8</v>
      </c>
      <c r="S33" s="1571">
        <f t="shared" si="12"/>
        <v>100</v>
      </c>
      <c r="T33" s="1570" t="s">
        <v>8</v>
      </c>
      <c r="U33" s="1571">
        <f t="shared" si="13"/>
        <v>100</v>
      </c>
      <c r="V33" s="1570" t="s">
        <v>8</v>
      </c>
      <c r="W33" s="1571">
        <f t="shared" si="14"/>
        <v>100</v>
      </c>
      <c r="X33" s="1564"/>
      <c r="Y33" s="3437"/>
      <c r="Z33" s="1572" t="str">
        <f t="shared" si="15"/>
        <v>是否直接入户</v>
      </c>
      <c r="AA33" s="1573">
        <f t="shared" si="3"/>
        <v>1</v>
      </c>
      <c r="AB33" s="1573">
        <f t="shared" si="4"/>
        <v>1</v>
      </c>
      <c r="AC33" s="1573">
        <f t="shared" si="5"/>
        <v>1</v>
      </c>
    </row>
    <row r="34" spans="1:29" ht="15.75" thickBot="1">
      <c r="A34" s="930"/>
      <c r="B34" s="924" t="s">
        <v>3221</v>
      </c>
      <c r="C34" s="3190" t="s">
        <v>3222</v>
      </c>
      <c r="D34" s="539">
        <v>100</v>
      </c>
      <c r="E34" s="3190" t="s">
        <v>3223</v>
      </c>
      <c r="F34" s="574">
        <f>SUMIF(97:97,E34,98:98)-SUMIF(97:97,C34,98:98)+100</f>
        <v>95</v>
      </c>
      <c r="G34" s="3190" t="s">
        <v>3223</v>
      </c>
      <c r="H34" s="539">
        <f>SUMIF(97:97,G34,98:98)-SUMIF(97:97,C34,98:98)+100</f>
        <v>95</v>
      </c>
      <c r="I34" s="3190" t="s">
        <v>3223</v>
      </c>
      <c r="J34" s="539">
        <f>SUMIF(97:97,I34,98:98)-SUMIF(97:97,C34,98:98)+100</f>
        <v>95</v>
      </c>
      <c r="K34" s="580"/>
      <c r="L34" s="2138"/>
      <c r="M34" s="2130"/>
      <c r="N34" s="2130"/>
      <c r="O34" s="2137"/>
      <c r="P34" s="3437"/>
      <c r="Q34" s="1569" t="str">
        <f t="shared" si="11"/>
        <v xml:space="preserve">配套 </v>
      </c>
      <c r="R34" s="1570" t="s">
        <v>8</v>
      </c>
      <c r="S34" s="1571">
        <f t="shared" si="12"/>
        <v>95</v>
      </c>
      <c r="T34" s="1570" t="s">
        <v>8</v>
      </c>
      <c r="U34" s="1571">
        <f t="shared" si="13"/>
        <v>95</v>
      </c>
      <c r="V34" s="1570" t="s">
        <v>8</v>
      </c>
      <c r="W34" s="1571">
        <f t="shared" si="14"/>
        <v>95</v>
      </c>
      <c r="X34" s="1564"/>
      <c r="Y34" s="3437"/>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7"/>
      <c r="Q35" s="1602">
        <f t="shared" si="11"/>
        <v>111</v>
      </c>
      <c r="R35" s="1574" t="s">
        <v>8</v>
      </c>
      <c r="S35" s="1575">
        <f t="shared" si="12"/>
        <v>100</v>
      </c>
      <c r="T35" s="1574" t="s">
        <v>8</v>
      </c>
      <c r="U35" s="1575">
        <f t="shared" si="13"/>
        <v>100</v>
      </c>
      <c r="V35" s="1574" t="s">
        <v>8</v>
      </c>
      <c r="W35" s="1575">
        <f t="shared" si="14"/>
        <v>100</v>
      </c>
      <c r="X35" s="1576"/>
      <c r="Y35" s="3437"/>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7"/>
      <c r="Q36" s="1569">
        <f t="shared" si="11"/>
        <v>111</v>
      </c>
      <c r="R36" s="1570" t="s">
        <v>8</v>
      </c>
      <c r="S36" s="1571">
        <f t="shared" si="12"/>
        <v>100</v>
      </c>
      <c r="T36" s="1570" t="s">
        <v>8</v>
      </c>
      <c r="U36" s="1571">
        <f t="shared" si="13"/>
        <v>100</v>
      </c>
      <c r="V36" s="1570" t="s">
        <v>8</v>
      </c>
      <c r="W36" s="1571">
        <f t="shared" si="14"/>
        <v>100</v>
      </c>
      <c r="X36" s="1564"/>
      <c r="Y36" s="3437"/>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399" t="str">
        <f>A37</f>
        <v>成交单价</v>
      </c>
      <c r="Q37" s="3399"/>
      <c r="R37" s="3473">
        <f>E37</f>
        <v>12018</v>
      </c>
      <c r="S37" s="3473"/>
      <c r="T37" s="3473">
        <f>G37</f>
        <v>11195</v>
      </c>
      <c r="U37" s="3473"/>
      <c r="V37" s="3473">
        <f>I37</f>
        <v>11423</v>
      </c>
      <c r="W37" s="3473"/>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399" t="str">
        <f>A38</f>
        <v>比较价格（元/平方米）</v>
      </c>
      <c r="Q38" s="3399"/>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396" t="str">
        <f>A39</f>
        <v>估价对象XX用房的比较价格（楼面单价，元/平方米）</v>
      </c>
      <c r="Q39" s="3397"/>
      <c r="R39" s="3475">
        <f>IF(F1="售价",ROUND(AVERAGE(R38:V38),0),ROUND(AVERAGE(R38:V38),1))</f>
        <v>12199</v>
      </c>
      <c r="S39" s="3475"/>
      <c r="T39" s="3475"/>
      <c r="U39" s="3475"/>
      <c r="V39" s="3475"/>
      <c r="W39" s="347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3224</v>
      </c>
      <c r="D97" s="3191" t="s">
        <v>3223</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3" priority="14" stopIfTrue="1" operator="containsText" text="超过">
      <formula>NOT(ISERROR(SEARCH("超过",F42)))</formula>
    </cfRule>
  </conditionalFormatting>
  <conditionalFormatting sqref="J44">
    <cfRule type="containsText" dxfId="92" priority="13" stopIfTrue="1" operator="containsText" text="超过">
      <formula>NOT(ISERROR(SEARCH("超过",J44)))</formula>
    </cfRule>
  </conditionalFormatting>
  <conditionalFormatting sqref="H44">
    <cfRule type="containsText" dxfId="91" priority="12" stopIfTrue="1" operator="containsText" text="超过">
      <formula>NOT(ISERROR(SEARCH("超过",H44)))</formula>
    </cfRule>
  </conditionalFormatting>
  <conditionalFormatting sqref="F44">
    <cfRule type="containsText" dxfId="90" priority="11" stopIfTrue="1" operator="containsText" text="超过">
      <formula>NOT(ISERROR(SEARCH("超过",F44)))</formula>
    </cfRule>
  </conditionalFormatting>
  <conditionalFormatting sqref="F43 H43 J43">
    <cfRule type="containsText" dxfId="89" priority="10" stopIfTrue="1" operator="containsText" text="超过">
      <formula>NOT(ISERROR(SEARCH("超过",F43)))</formula>
    </cfRule>
  </conditionalFormatting>
  <conditionalFormatting sqref="E42">
    <cfRule type="expression" dxfId="88" priority="9" stopIfTrue="1">
      <formula>$F$42="超过30%"</formula>
    </cfRule>
  </conditionalFormatting>
  <conditionalFormatting sqref="G44">
    <cfRule type="expression" dxfId="87" priority="8" stopIfTrue="1">
      <formula>$H$54+$H$44="超过30%"</formula>
    </cfRule>
  </conditionalFormatting>
  <conditionalFormatting sqref="E43">
    <cfRule type="expression" dxfId="86" priority="7" stopIfTrue="1">
      <formula>$F$43="超过20%"</formula>
    </cfRule>
  </conditionalFormatting>
  <conditionalFormatting sqref="E44">
    <cfRule type="expression" dxfId="85" priority="6" stopIfTrue="1">
      <formula>$F$44="超过30%"</formula>
    </cfRule>
  </conditionalFormatting>
  <conditionalFormatting sqref="G42">
    <cfRule type="expression" dxfId="84" priority="5" stopIfTrue="1">
      <formula>$H$52+$H$42="超过30%"</formula>
    </cfRule>
  </conditionalFormatting>
  <conditionalFormatting sqref="G43">
    <cfRule type="expression" dxfId="83" priority="4" stopIfTrue="1">
      <formula>$H$43="超过20%"</formula>
    </cfRule>
  </conditionalFormatting>
  <conditionalFormatting sqref="I42">
    <cfRule type="expression" dxfId="82" priority="3" stopIfTrue="1">
      <formula>$J$52+$J$42="超过30%"</formula>
    </cfRule>
  </conditionalFormatting>
  <conditionalFormatting sqref="I43">
    <cfRule type="expression" dxfId="81" priority="2" stopIfTrue="1">
      <formula>$J$53+$J$43="超过20%"</formula>
    </cfRule>
  </conditionalFormatting>
  <conditionalFormatting sqref="I44">
    <cfRule type="expression" dxfId="8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2077</v>
      </c>
      <c r="C2" s="1349"/>
      <c r="D2" s="2051"/>
      <c r="E2" s="2052"/>
      <c r="F2" s="2052"/>
      <c r="G2" s="1587"/>
      <c r="H2" s="1361"/>
      <c r="I2" s="2053"/>
      <c r="J2" s="2053"/>
      <c r="K2" s="2054"/>
      <c r="L2" s="2053"/>
      <c r="M2" s="2053"/>
    </row>
    <row r="3" spans="1:25" ht="18" customHeight="1">
      <c r="A3" s="1642" t="s">
        <v>1686</v>
      </c>
      <c r="B3" s="1388">
        <f ca="1">ROUND(B2*10000/'数据-汇总表'!E3,0)</f>
        <v>316</v>
      </c>
      <c r="C3" s="1349"/>
      <c r="D3" s="2051"/>
      <c r="E3" s="2052"/>
      <c r="F3" s="2052"/>
      <c r="G3" s="1587"/>
      <c r="H3" s="775" t="s">
        <v>694</v>
      </c>
      <c r="I3" s="2053"/>
      <c r="J3" s="2053"/>
      <c r="K3" s="2054"/>
      <c r="L3" s="2053"/>
      <c r="M3" s="2053"/>
    </row>
    <row r="4" spans="1:25" ht="18" customHeight="1">
      <c r="A4" s="1643" t="s">
        <v>695</v>
      </c>
      <c r="B4" s="1350">
        <f ca="1">ROUND(B2*10000/'数据-汇总表'!D3,0)</f>
        <v>1558</v>
      </c>
      <c r="C4" s="427"/>
      <c r="D4" s="2051"/>
      <c r="E4" s="2052"/>
      <c r="F4" s="2052"/>
      <c r="G4" s="1587"/>
      <c r="H4" s="775"/>
      <c r="I4" s="2053"/>
      <c r="J4" s="2053"/>
      <c r="K4" s="2054"/>
      <c r="L4" s="2053"/>
      <c r="M4" s="2053"/>
    </row>
    <row r="5" spans="1:25" ht="18" customHeight="1" thickBot="1">
      <c r="A5" s="1644"/>
      <c r="B5" s="429">
        <f ca="1">ROUND(B2/('数据-汇总表'!D3/666.67),0)</f>
        <v>104</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83" t="s">
        <v>2463</v>
      </c>
      <c r="C8" s="1822">
        <f ca="1">ROUND(F8*F10*F9*(1-F11)/10000,0)</f>
        <v>184</v>
      </c>
      <c r="D8" s="1819" t="s">
        <v>2534</v>
      </c>
      <c r="E8" s="61" t="s">
        <v>636</v>
      </c>
      <c r="F8" s="784">
        <f ca="1">INDIRECT("'数据-取费表'!u"&amp;$G$1)</f>
        <v>3.2</v>
      </c>
      <c r="G8" s="1589"/>
      <c r="H8" s="2524" t="s">
        <v>1824</v>
      </c>
      <c r="I8" s="3483" t="s">
        <v>2463</v>
      </c>
      <c r="J8" s="782">
        <f ca="1">ROUND(M8*M10*M9*(1-M11)/10000,0)</f>
        <v>0</v>
      </c>
      <c r="K8" s="340" t="s">
        <v>2534</v>
      </c>
      <c r="L8" s="783" t="s">
        <v>1738</v>
      </c>
      <c r="M8" s="784">
        <f ca="1">INDIRECT("'数据-取费表'!z"&amp;$G$1)</f>
        <v>0</v>
      </c>
    </row>
    <row r="9" spans="1:25" ht="18" customHeight="1">
      <c r="A9" s="2520"/>
      <c r="B9" s="3484"/>
      <c r="C9" s="1823"/>
      <c r="D9" s="1820"/>
      <c r="E9" s="61" t="s">
        <v>637</v>
      </c>
      <c r="F9" s="784">
        <f ca="1">IF(INDIRECT("'数据-取费表'!ah"&amp;$G$1)="",INDIRECT("'数据-取费表'!k"&amp;$G$1),INDIRECT("'数据-取费表'!ah"&amp;$G$1))</f>
        <v>1755</v>
      </c>
      <c r="G9" s="1589"/>
      <c r="H9" s="2509"/>
      <c r="I9" s="3484"/>
      <c r="J9" s="787"/>
      <c r="K9" s="788"/>
      <c r="L9" s="783" t="s">
        <v>1739</v>
      </c>
      <c r="M9" s="784">
        <f ca="1">F9</f>
        <v>1755</v>
      </c>
    </row>
    <row r="10" spans="1:25" ht="18" customHeight="1">
      <c r="A10" s="2513"/>
      <c r="B10" s="3485"/>
      <c r="C10" s="1823"/>
      <c r="D10" s="1820"/>
      <c r="E10" s="61" t="s">
        <v>638</v>
      </c>
      <c r="F10" s="784">
        <f ca="1">INDIRECT("'数据-取费表'!ai"&amp;$G$1)</f>
        <v>365</v>
      </c>
      <c r="G10" s="1589"/>
      <c r="H10" s="2509"/>
      <c r="I10" s="3485"/>
      <c r="J10" s="787"/>
      <c r="K10" s="788"/>
      <c r="L10" s="783" t="s">
        <v>1740</v>
      </c>
      <c r="M10" s="784">
        <f ca="1">INDIRECT("'数据-取费表'!ai"&amp;$G$1)</f>
        <v>365</v>
      </c>
    </row>
    <row r="11" spans="1:25" ht="18" customHeight="1">
      <c r="A11" s="785"/>
      <c r="B11" s="3486"/>
      <c r="C11" s="1823"/>
      <c r="D11" s="1820"/>
      <c r="E11" s="61" t="s">
        <v>639</v>
      </c>
      <c r="F11" s="793">
        <f ca="1">INDIRECT("'数据-取费表'!w"&amp;$G$1)</f>
        <v>0.1</v>
      </c>
      <c r="G11" s="1589"/>
      <c r="H11" s="2525"/>
      <c r="I11" s="3485"/>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667</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473</v>
      </c>
      <c r="D16" s="1975" t="s">
        <v>645</v>
      </c>
      <c r="E16" s="1976"/>
      <c r="F16" s="804"/>
      <c r="G16" s="1589"/>
      <c r="H16" s="802" t="s">
        <v>2068</v>
      </c>
      <c r="I16" s="2227" t="s">
        <v>2824</v>
      </c>
      <c r="J16" s="53">
        <f ca="1">C31</f>
        <v>667</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532</v>
      </c>
      <c r="D21" s="260" t="s">
        <v>662</v>
      </c>
      <c r="E21" s="1978"/>
      <c r="F21" s="56"/>
      <c r="G21" s="1589"/>
      <c r="H21" s="1827" t="s">
        <v>1849</v>
      </c>
      <c r="I21" s="783" t="s">
        <v>663</v>
      </c>
      <c r="J21" s="53">
        <f ca="1">IF(K21="按租金收入计税",ROUND(J7*M21,1),ROUND(C31*F35*0.7,1))</f>
        <v>5.6</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0.09</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667</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15.5</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5.6</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2"/>
      <c r="J36" s="2075"/>
      <c r="K36" s="2076"/>
      <c r="L36" s="2075"/>
      <c r="M36" s="2075"/>
    </row>
    <row r="37" spans="1:18" ht="18" customHeight="1">
      <c r="A37" s="814"/>
      <c r="B37" s="792"/>
      <c r="C37" s="69"/>
      <c r="D37" s="815"/>
      <c r="E37" s="783" t="s">
        <v>673</v>
      </c>
      <c r="F37" s="784">
        <f ca="1">INDIRECT("'数据-取费表'!r"&amp;$G$1)</f>
        <v>387.84999999999997</v>
      </c>
      <c r="G37" s="2058"/>
      <c r="H37" s="2061"/>
      <c r="I37" s="3482"/>
      <c r="J37" s="2073"/>
      <c r="K37" s="2074"/>
      <c r="L37" s="2073"/>
      <c r="M37" s="2073"/>
    </row>
    <row r="38" spans="1:18" ht="18" customHeight="1">
      <c r="A38" s="802" t="s">
        <v>1877</v>
      </c>
      <c r="B38" s="783" t="s">
        <v>675</v>
      </c>
      <c r="C38" s="53">
        <f ca="1">ROUND(C31*F38,1)</f>
        <v>10</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57</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99</v>
      </c>
      <c r="D44" s="462" t="s">
        <v>713</v>
      </c>
      <c r="E44" s="463"/>
      <c r="F44" s="464"/>
      <c r="G44" s="2058"/>
      <c r="H44" s="2058"/>
      <c r="I44" s="2058"/>
      <c r="J44" s="2058"/>
      <c r="K44" s="2079"/>
      <c r="L44" s="2058"/>
      <c r="M44" s="2058"/>
    </row>
    <row r="45" spans="1:18" ht="18" customHeight="1">
      <c r="A45" s="802" t="s">
        <v>1879</v>
      </c>
      <c r="B45" s="1354" t="s">
        <v>714</v>
      </c>
      <c r="C45" s="3056">
        <f ca="1">ROUND(-PV(F45,F46,C44,0),0)</f>
        <v>2077</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667</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7"/>
      <c r="L54" s="3488"/>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99</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667</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5" t="s">
        <v>2576</v>
      </c>
      <c r="C1" s="3495"/>
      <c r="D1" s="3495"/>
      <c r="E1" s="3495"/>
      <c r="F1" s="3495"/>
      <c r="G1" s="3494" t="s">
        <v>2577</v>
      </c>
      <c r="H1" s="3494"/>
      <c r="I1" s="3494"/>
      <c r="J1" s="3494"/>
      <c r="K1" s="3494"/>
      <c r="L1" s="3494"/>
      <c r="N1" s="3494" t="s">
        <v>2578</v>
      </c>
      <c r="O1" s="3494"/>
      <c r="P1" s="3494"/>
      <c r="Q1" s="3494"/>
      <c r="R1" s="2674"/>
      <c r="S1" s="3494" t="s">
        <v>2579</v>
      </c>
      <c r="T1" s="3494"/>
      <c r="U1" s="3494"/>
      <c r="V1" s="3494"/>
      <c r="X1" s="3493" t="s">
        <v>2639</v>
      </c>
      <c r="Y1" s="3494"/>
      <c r="Z1" s="3494"/>
      <c r="AA1" s="3494"/>
      <c r="AB1" s="3494"/>
      <c r="AD1" s="3493" t="s">
        <v>2643</v>
      </c>
      <c r="AE1" s="3494"/>
      <c r="AF1" s="3494"/>
      <c r="AG1" s="3494"/>
      <c r="AH1" s="3494"/>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0"/>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0"/>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1"/>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9">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0"/>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0"/>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1"/>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9">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0"/>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0"/>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1"/>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96">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7"/>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7"/>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8"/>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9">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0"/>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0"/>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1"/>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9">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0">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0">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1">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9">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0">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0">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1">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9">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0">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0">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1">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9">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0">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0">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1">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9">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0">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0">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1">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9">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0">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0">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1">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9">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0">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0">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1">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9">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0">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0">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1">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9">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0">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0">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1">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9">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0">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0">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1">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I35" sqref="I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3227</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1896</v>
      </c>
      <c r="C2" s="2053"/>
      <c r="D2" s="2051"/>
      <c r="E2" s="2052"/>
      <c r="F2" s="2052"/>
      <c r="G2" s="1587"/>
      <c r="H2" s="2053"/>
      <c r="I2" s="2053"/>
      <c r="J2" s="2053"/>
      <c r="K2" s="2054"/>
      <c r="L2" s="2053"/>
      <c r="M2" s="2053"/>
    </row>
    <row r="3" spans="1:33" ht="18" customHeight="1" thickBot="1">
      <c r="A3" s="832" t="s">
        <v>1727</v>
      </c>
      <c r="B3" s="833">
        <f ca="1">IF(ISERROR(B2*10000/F43),0,ROUND(B2*10000/F43,0))</f>
        <v>10803</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184</v>
      </c>
      <c r="D6" s="2517" t="s">
        <v>2462</v>
      </c>
      <c r="E6" s="783" t="s">
        <v>1738</v>
      </c>
      <c r="F6" s="784">
        <f ca="1">INDIRECT("'数据-取费表'!u"&amp;$G$1)</f>
        <v>3.2</v>
      </c>
      <c r="G6" s="1589"/>
      <c r="H6" s="2524" t="s">
        <v>2468</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1755</v>
      </c>
      <c r="G7" s="1589"/>
      <c r="H7" s="2509"/>
      <c r="I7" s="3484"/>
      <c r="J7" s="787"/>
      <c r="K7" s="788"/>
      <c r="L7" s="783" t="s">
        <v>1739</v>
      </c>
      <c r="M7" s="784">
        <f ca="1">F7</f>
        <v>1755</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3278</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667</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473</v>
      </c>
      <c r="D14" s="1975" t="s">
        <v>1745</v>
      </c>
      <c r="E14" s="1976"/>
      <c r="F14" s="804"/>
      <c r="G14" s="1589"/>
      <c r="H14" s="1646" t="s">
        <v>1830</v>
      </c>
      <c r="I14" s="2227" t="s">
        <v>2825</v>
      </c>
      <c r="J14" s="53">
        <f ca="1">C29</f>
        <v>667</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66</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56</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532</v>
      </c>
      <c r="D19" s="260" t="s">
        <v>1757</v>
      </c>
      <c r="E19" s="1978"/>
      <c r="F19" s="56"/>
      <c r="G19" s="1589"/>
      <c r="H19" s="1645" t="s">
        <v>1885</v>
      </c>
      <c r="I19" s="783" t="s">
        <v>1758</v>
      </c>
      <c r="J19" s="53">
        <f ca="1">IF(K19="按租金收入计税",ROUND(J5*M19,1),ROUND(C29*F33*0.7,1))</f>
        <v>56</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-66</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667</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3279</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57</v>
      </c>
      <c r="K35" s="2074"/>
      <c r="L35" s="2073"/>
      <c r="M35" s="2073"/>
    </row>
    <row r="36" spans="1:18" ht="18" customHeight="1">
      <c r="A36" s="1646" t="s">
        <v>1889</v>
      </c>
      <c r="B36" s="783" t="s">
        <v>1802</v>
      </c>
      <c r="C36" s="53">
        <f ca="1">ROUND(C29*F36,1)</f>
        <v>10</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0.41</v>
      </c>
      <c r="K39" s="2079"/>
      <c r="L39" s="2073"/>
      <c r="M39" s="2073"/>
    </row>
    <row r="40" spans="1:18" ht="18" customHeight="1">
      <c r="A40" s="780" t="s">
        <v>1895</v>
      </c>
      <c r="B40" s="2228" t="s">
        <v>2300</v>
      </c>
      <c r="C40" s="782">
        <f ca="1">ROUND(C39*(1-((1+F42)/(1+F40))^F41)/(F40-F42),0)</f>
        <v>1896</v>
      </c>
      <c r="D40" s="813" t="s">
        <v>1807</v>
      </c>
      <c r="E40" s="783" t="s">
        <v>2419</v>
      </c>
      <c r="F40" s="793">
        <f ca="1">INDIRECT("'数据-取费表'!I"&amp;$G$1)</f>
        <v>0.09</v>
      </c>
      <c r="G40" s="2058"/>
      <c r="H40" s="2058"/>
      <c r="I40" s="836" t="s">
        <v>1819</v>
      </c>
      <c r="J40" s="844">
        <f ca="1">1-J39</f>
        <v>0.59000000000000008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0.35199999999999998</v>
      </c>
      <c r="K42" s="2078"/>
      <c r="L42" s="1984"/>
      <c r="M42" s="1984"/>
    </row>
    <row r="43" spans="1:18" ht="18" customHeight="1" thickBot="1">
      <c r="A43" s="822" t="s">
        <v>1787</v>
      </c>
      <c r="B43" s="823" t="s">
        <v>1810</v>
      </c>
      <c r="C43" s="824">
        <f ca="1">ROUND(C40*10000/F43,0)</f>
        <v>10803</v>
      </c>
      <c r="D43" s="825" t="s">
        <v>1811</v>
      </c>
      <c r="E43" s="826" t="s">
        <v>1812</v>
      </c>
      <c r="F43" s="827">
        <f ca="1">INDIRECT("'数据-取费表'!k"&amp;$G$1)</f>
        <v>1755</v>
      </c>
      <c r="G43" s="2058"/>
      <c r="H43" s="1984"/>
      <c r="I43" s="846" t="s">
        <v>1822</v>
      </c>
      <c r="J43" s="847">
        <f ca="1">1-J42</f>
        <v>0.64800000000000002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-2016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1896</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667</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1746</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9" t="s">
        <v>2962</v>
      </c>
      <c r="L53" s="3500"/>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1896</v>
      </c>
      <c r="R54" s="2423" t="s">
        <v>2392</v>
      </c>
    </row>
    <row r="55" spans="1:18" s="2055" customFormat="1" ht="18" customHeight="1" thickTop="1" thickBot="1">
      <c r="A55" s="796">
        <v>2</v>
      </c>
      <c r="B55" s="797" t="s">
        <v>643</v>
      </c>
      <c r="C55" s="798">
        <f ca="1">C13</f>
        <v>667</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667</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1896</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10</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1896</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1896</v>
      </c>
      <c r="R66" s="2419" t="s">
        <v>2380</v>
      </c>
    </row>
    <row r="67" spans="1:18" s="2055" customFormat="1" ht="20.25" thickBot="1">
      <c r="A67" s="780" t="s">
        <v>1780</v>
      </c>
      <c r="B67" s="2228" t="s">
        <v>2300</v>
      </c>
      <c r="C67" s="782">
        <f ca="1">ROUND(C66*(1-((1+F69)/(1+F67))^F68)/(F67-F69),0)</f>
        <v>-120</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1746</v>
      </c>
      <c r="R68" s="2426" t="s">
        <v>2416</v>
      </c>
    </row>
    <row r="69" spans="1:18" ht="20.25" thickBot="1">
      <c r="A69" s="789"/>
      <c r="B69" s="790"/>
      <c r="C69" s="791"/>
      <c r="D69" s="815"/>
      <c r="E69" s="783" t="s">
        <v>709</v>
      </c>
      <c r="F69" s="2367"/>
      <c r="O69" s="2421" t="s">
        <v>2384</v>
      </c>
      <c r="P69" s="2427" t="s">
        <v>2398</v>
      </c>
      <c r="Q69" s="2420">
        <f ca="1">ROUND(Q70-Q71*Q72,0)</f>
        <v>82</v>
      </c>
      <c r="R69" s="2423"/>
    </row>
    <row r="70" spans="1:18" ht="15.75" thickBot="1">
      <c r="A70" s="822" t="s">
        <v>1787</v>
      </c>
      <c r="B70" s="823" t="s">
        <v>1810</v>
      </c>
      <c r="C70" s="824">
        <f ca="1">ROUND(C67*10000/F70,0)</f>
        <v>-684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667</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1896</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2471</v>
      </c>
      <c r="B1" s="3502"/>
      <c r="C1" s="3503"/>
      <c r="D1" s="3504">
        <f>SUM(I10,I15,I20,I21,I23)</f>
        <v>0</v>
      </c>
      <c r="E1" s="3504"/>
      <c r="F1" s="3504"/>
      <c r="G1" s="3504"/>
      <c r="H1" s="3504"/>
      <c r="I1" s="3505"/>
    </row>
    <row r="2" spans="1:9">
      <c r="A2" s="3506" t="s">
        <v>2472</v>
      </c>
      <c r="B2" s="3507" t="s">
        <v>2473</v>
      </c>
      <c r="C2" s="3507"/>
      <c r="D2" s="2527" t="s">
        <v>2474</v>
      </c>
      <c r="E2" s="2527" t="s">
        <v>2475</v>
      </c>
      <c r="F2" s="2527" t="s">
        <v>2476</v>
      </c>
      <c r="G2" s="2527" t="s">
        <v>2477</v>
      </c>
      <c r="H2" s="2527" t="s">
        <v>2478</v>
      </c>
      <c r="I2" s="2528" t="s">
        <v>2479</v>
      </c>
    </row>
    <row r="3" spans="1:9">
      <c r="A3" s="3506"/>
      <c r="B3" s="3507" t="s">
        <v>2480</v>
      </c>
      <c r="C3" s="3507"/>
      <c r="D3" s="2529"/>
      <c r="E3" s="2527"/>
      <c r="F3" s="2530"/>
      <c r="G3" s="2530"/>
      <c r="H3" s="2531"/>
      <c r="I3" s="2532">
        <f>ROUND(D3*E3*F3*G3*H3/10000,0)</f>
        <v>0</v>
      </c>
    </row>
    <row r="4" spans="1:9">
      <c r="A4" s="3506"/>
      <c r="B4" s="3507" t="s">
        <v>2481</v>
      </c>
      <c r="C4" s="3507"/>
      <c r="D4" s="2529"/>
      <c r="E4" s="2527"/>
      <c r="F4" s="2530"/>
      <c r="G4" s="2530"/>
      <c r="H4" s="2531"/>
      <c r="I4" s="2532">
        <f t="shared" ref="I4:I9" si="0">ROUND(D4*E4*F4*G4*H4/10000,0)</f>
        <v>0</v>
      </c>
    </row>
    <row r="5" spans="1:9">
      <c r="A5" s="3506"/>
      <c r="B5" s="3507" t="s">
        <v>2482</v>
      </c>
      <c r="C5" s="3507"/>
      <c r="D5" s="2529"/>
      <c r="E5" s="2527"/>
      <c r="F5" s="2530"/>
      <c r="G5" s="2530"/>
      <c r="H5" s="2531"/>
      <c r="I5" s="2532">
        <f t="shared" si="0"/>
        <v>0</v>
      </c>
    </row>
    <row r="6" spans="1:9">
      <c r="A6" s="3506"/>
      <c r="B6" s="3507" t="s">
        <v>2483</v>
      </c>
      <c r="C6" s="3507"/>
      <c r="D6" s="2529"/>
      <c r="E6" s="2527"/>
      <c r="F6" s="2530"/>
      <c r="G6" s="2530"/>
      <c r="H6" s="2531"/>
      <c r="I6" s="2532">
        <f t="shared" si="0"/>
        <v>0</v>
      </c>
    </row>
    <row r="7" spans="1:9">
      <c r="A7" s="3506"/>
      <c r="B7" s="3507" t="s">
        <v>2484</v>
      </c>
      <c r="C7" s="3507"/>
      <c r="D7" s="2529"/>
      <c r="E7" s="2527"/>
      <c r="F7" s="2530"/>
      <c r="G7" s="2530"/>
      <c r="H7" s="2531"/>
      <c r="I7" s="2532">
        <f t="shared" si="0"/>
        <v>0</v>
      </c>
    </row>
    <row r="8" spans="1:9">
      <c r="A8" s="3506"/>
      <c r="B8" s="3507" t="s">
        <v>2485</v>
      </c>
      <c r="C8" s="3507"/>
      <c r="D8" s="2529"/>
      <c r="E8" s="2527"/>
      <c r="F8" s="2530"/>
      <c r="G8" s="2530"/>
      <c r="H8" s="2531"/>
      <c r="I8" s="2532">
        <f t="shared" si="0"/>
        <v>0</v>
      </c>
    </row>
    <row r="9" spans="1:9">
      <c r="A9" s="3506"/>
      <c r="B9" s="3507" t="s">
        <v>2486</v>
      </c>
      <c r="C9" s="3507"/>
      <c r="D9" s="2529"/>
      <c r="E9" s="2527"/>
      <c r="F9" s="2530"/>
      <c r="G9" s="2530"/>
      <c r="H9" s="2531"/>
      <c r="I9" s="2532">
        <f t="shared" si="0"/>
        <v>0</v>
      </c>
    </row>
    <row r="10" spans="1:9">
      <c r="A10" s="3506"/>
      <c r="B10" s="3508" t="s">
        <v>2487</v>
      </c>
      <c r="C10" s="3508"/>
      <c r="D10" s="2533">
        <v>527</v>
      </c>
      <c r="E10" s="2533" t="e">
        <f>ROUND(D1*10000/D10/H9,0)</f>
        <v>#DIV/0!</v>
      </c>
      <c r="F10" s="2534"/>
      <c r="G10" s="2534"/>
      <c r="H10" s="2535"/>
      <c r="I10" s="2536">
        <f>SUM(I3:I9)</f>
        <v>0</v>
      </c>
    </row>
    <row r="11" spans="1:9" ht="14.25">
      <c r="A11" s="3506" t="s">
        <v>2488</v>
      </c>
      <c r="B11" s="3507" t="s">
        <v>2489</v>
      </c>
      <c r="C11" s="3507"/>
      <c r="D11" s="2529" t="s">
        <v>2490</v>
      </c>
      <c r="E11" s="2529" t="s">
        <v>2491</v>
      </c>
      <c r="F11" s="2530" t="s">
        <v>2492</v>
      </c>
      <c r="G11" s="2530" t="s">
        <v>2493</v>
      </c>
      <c r="H11" s="2537" t="s">
        <v>2494</v>
      </c>
      <c r="I11" s="2528" t="s">
        <v>2495</v>
      </c>
    </row>
    <row r="12" spans="1:9">
      <c r="A12" s="3506"/>
      <c r="B12" s="3507" t="s">
        <v>2496</v>
      </c>
      <c r="C12" s="3507"/>
      <c r="D12" s="2529"/>
      <c r="E12" s="2529"/>
      <c r="F12" s="2530"/>
      <c r="G12" s="2531"/>
      <c r="H12" s="2538"/>
      <c r="I12" s="2528">
        <f>ROUND(D12*E12*F12*G12/10000,0)</f>
        <v>0</v>
      </c>
    </row>
    <row r="13" spans="1:9">
      <c r="A13" s="3506"/>
      <c r="B13" s="3507" t="s">
        <v>2497</v>
      </c>
      <c r="C13" s="3507"/>
      <c r="D13" s="2529"/>
      <c r="E13" s="2529"/>
      <c r="F13" s="2530"/>
      <c r="G13" s="2531"/>
      <c r="H13" s="2538"/>
      <c r="I13" s="2528">
        <f>ROUND(D13*E13*F13*G13/10000,0)</f>
        <v>0</v>
      </c>
    </row>
    <row r="14" spans="1:9">
      <c r="A14" s="3506"/>
      <c r="B14" s="3507" t="s">
        <v>2498</v>
      </c>
      <c r="C14" s="3507"/>
      <c r="D14" s="2529"/>
      <c r="E14" s="2529"/>
      <c r="F14" s="2530"/>
      <c r="G14" s="2531"/>
      <c r="H14" s="2538"/>
      <c r="I14" s="2528">
        <f>ROUND(D14*E14*F14*G14/10000,0)</f>
        <v>0</v>
      </c>
    </row>
    <row r="15" spans="1:9">
      <c r="A15" s="3506"/>
      <c r="B15" s="3508" t="s">
        <v>2487</v>
      </c>
      <c r="C15" s="3508"/>
      <c r="D15" s="2533"/>
      <c r="E15" s="2533">
        <f>SUM(E12:E14)</f>
        <v>0</v>
      </c>
      <c r="F15" s="2534"/>
      <c r="G15" s="2531"/>
      <c r="H15" s="2538"/>
      <c r="I15" s="2539">
        <f>SUM(I12:I14)</f>
        <v>0</v>
      </c>
    </row>
    <row r="16" spans="1:9" ht="24">
      <c r="A16" s="3506" t="s">
        <v>2499</v>
      </c>
      <c r="B16" s="3507" t="s">
        <v>2500</v>
      </c>
      <c r="C16" s="3507"/>
      <c r="D16" s="2529" t="s">
        <v>2501</v>
      </c>
      <c r="E16" s="2540" t="s">
        <v>2502</v>
      </c>
      <c r="F16" s="2530" t="s">
        <v>2503</v>
      </c>
      <c r="G16" s="2531" t="s">
        <v>2493</v>
      </c>
      <c r="H16" s="2537" t="s">
        <v>2494</v>
      </c>
      <c r="I16" s="2528" t="s">
        <v>2495</v>
      </c>
    </row>
    <row r="17" spans="1:9" ht="14.25">
      <c r="A17" s="3506"/>
      <c r="B17" s="3507" t="s">
        <v>2504</v>
      </c>
      <c r="C17" s="3507"/>
      <c r="D17" s="2529"/>
      <c r="E17" s="2529"/>
      <c r="F17" s="2530"/>
      <c r="G17" s="2531"/>
      <c r="H17" s="2541"/>
      <c r="I17" s="2542">
        <f>ROUND(D17*E17*F17*G17/10000,0)</f>
        <v>0</v>
      </c>
    </row>
    <row r="18" spans="1:9" ht="14.25">
      <c r="A18" s="3506"/>
      <c r="B18" s="3507" t="s">
        <v>2505</v>
      </c>
      <c r="C18" s="3507"/>
      <c r="D18" s="2529"/>
      <c r="E18" s="2529"/>
      <c r="F18" s="2530"/>
      <c r="G18" s="2531"/>
      <c r="H18" s="2541"/>
      <c r="I18" s="2542">
        <f>ROUND(D18*E18*F18*G18/10000,0)</f>
        <v>0</v>
      </c>
    </row>
    <row r="19" spans="1:9" ht="14.25">
      <c r="A19" s="3506"/>
      <c r="B19" s="3507" t="s">
        <v>2506</v>
      </c>
      <c r="C19" s="3507"/>
      <c r="D19" s="2529"/>
      <c r="E19" s="2529"/>
      <c r="F19" s="2530"/>
      <c r="G19" s="2531"/>
      <c r="H19" s="2541"/>
      <c r="I19" s="2542">
        <f>ROUND(D19*E19*F19*G19/10000,0)</f>
        <v>0</v>
      </c>
    </row>
    <row r="20" spans="1:9">
      <c r="A20" s="3506"/>
      <c r="B20" s="3508" t="s">
        <v>2487</v>
      </c>
      <c r="C20" s="3508"/>
      <c r="D20" s="2533">
        <f>SUM(D17:D19)</f>
        <v>0</v>
      </c>
      <c r="E20" s="2533"/>
      <c r="F20" s="2534"/>
      <c r="G20" s="2531"/>
      <c r="H20" s="2538"/>
      <c r="I20" s="2539">
        <f>SUM(I17:I19)</f>
        <v>0</v>
      </c>
    </row>
    <row r="21" spans="1:9">
      <c r="A21" s="3506" t="s">
        <v>2507</v>
      </c>
      <c r="B21" s="3510"/>
      <c r="C21" s="3510"/>
      <c r="D21" s="3510"/>
      <c r="E21" s="3510"/>
      <c r="F21" s="3510"/>
      <c r="G21" s="3510"/>
      <c r="H21" s="2543">
        <v>0.1</v>
      </c>
      <c r="I21" s="2536">
        <f>ROUND(I10*H21,0)</f>
        <v>0</v>
      </c>
    </row>
    <row r="22" spans="1:9" ht="14.25">
      <c r="A22" s="3511" t="s">
        <v>2508</v>
      </c>
      <c r="B22" s="3512"/>
      <c r="C22" s="3513"/>
      <c r="D22" s="2544" t="s">
        <v>2509</v>
      </c>
      <c r="E22" s="2544" t="s">
        <v>2510</v>
      </c>
      <c r="F22" s="2545" t="s">
        <v>2511</v>
      </c>
      <c r="G22" s="2545" t="s">
        <v>2512</v>
      </c>
      <c r="H22" s="2537" t="s">
        <v>2513</v>
      </c>
      <c r="I22" s="2528" t="s">
        <v>2514</v>
      </c>
    </row>
    <row r="23" spans="1:9" ht="14.25" thickBot="1">
      <c r="A23" s="3514"/>
      <c r="B23" s="3515"/>
      <c r="C23" s="3516"/>
      <c r="D23" s="2546"/>
      <c r="E23" s="2546"/>
      <c r="F23" s="2546"/>
      <c r="G23" s="2547"/>
      <c r="H23" s="2548"/>
      <c r="I23" s="2549">
        <f>ROUND(E23*D23*F23*(1-G23)/10000,0)</f>
        <v>0</v>
      </c>
    </row>
    <row r="26" spans="1:9">
      <c r="A26" s="2550" t="s">
        <v>2515</v>
      </c>
      <c r="B26" s="2550"/>
      <c r="C26" s="2550"/>
      <c r="D26" s="2550"/>
      <c r="E26" s="3517">
        <f>C27-C30-C31-C32</f>
        <v>0</v>
      </c>
      <c r="F26" s="3517"/>
      <c r="G26" s="3517"/>
      <c r="H26" s="3062" t="s">
        <v>2842</v>
      </c>
    </row>
    <row r="27" spans="1:9">
      <c r="A27" s="2551">
        <v>1</v>
      </c>
      <c r="B27" s="2552" t="s">
        <v>2516</v>
      </c>
      <c r="C27" s="2552"/>
      <c r="D27" s="2552"/>
      <c r="E27" s="3518"/>
      <c r="F27" s="3518"/>
      <c r="G27" s="3518"/>
    </row>
    <row r="28" spans="1:9">
      <c r="A28" s="2553" t="s">
        <v>2517</v>
      </c>
      <c r="B28" s="2552" t="s">
        <v>2518</v>
      </c>
      <c r="C28" s="2552"/>
      <c r="D28" s="2552"/>
      <c r="E28" s="3518"/>
      <c r="F28" s="3518"/>
      <c r="G28" s="3518"/>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9"/>
      <c r="F32" s="3509"/>
      <c r="G32" s="3509"/>
    </row>
    <row r="33" spans="1:7" hidden="1">
      <c r="A33" s="3519" t="s">
        <v>2526</v>
      </c>
      <c r="B33" s="3520"/>
      <c r="C33" s="3520"/>
      <c r="D33" s="3521"/>
      <c r="E33" s="3517"/>
      <c r="F33" s="3517"/>
      <c r="G33" s="3517"/>
    </row>
    <row r="34" spans="1:7" hidden="1">
      <c r="A34" s="2555">
        <v>1</v>
      </c>
      <c r="B34" s="2552" t="s">
        <v>2527</v>
      </c>
      <c r="C34" s="2552"/>
      <c r="D34" s="2552"/>
      <c r="E34" s="3518"/>
      <c r="F34" s="3518"/>
      <c r="G34" s="3518"/>
    </row>
    <row r="35" spans="1:7" hidden="1">
      <c r="A35" s="2555">
        <v>2</v>
      </c>
      <c r="B35" s="2552" t="s">
        <v>2528</v>
      </c>
      <c r="C35" s="2552"/>
      <c r="D35" s="2552"/>
      <c r="E35" s="3518"/>
      <c r="F35" s="3518"/>
      <c r="G35" s="3518"/>
    </row>
    <row r="36" spans="1:7" hidden="1">
      <c r="A36" s="2555">
        <v>3</v>
      </c>
      <c r="B36" s="2552" t="s">
        <v>2529</v>
      </c>
      <c r="C36" s="2552"/>
      <c r="D36" s="2552"/>
      <c r="E36" s="3518"/>
      <c r="F36" s="3518"/>
      <c r="G36" s="3518"/>
    </row>
    <row r="37" spans="1:7" hidden="1">
      <c r="A37" s="2555">
        <v>4</v>
      </c>
      <c r="B37" s="2552" t="s">
        <v>2530</v>
      </c>
      <c r="C37" s="2552"/>
      <c r="D37" s="2552"/>
      <c r="E37" s="3518"/>
      <c r="F37" s="3518"/>
      <c r="G37" s="3518"/>
    </row>
    <row r="38" spans="1:7" hidden="1">
      <c r="A38" s="3519" t="s">
        <v>2531</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224</v>
      </c>
      <c r="C2" s="2104"/>
      <c r="D2" s="2104"/>
      <c r="E2" s="2104"/>
      <c r="F2" s="2104"/>
      <c r="G2" s="2104"/>
    </row>
    <row r="3" spans="1:25" s="2055" customFormat="1" ht="18" customHeight="1">
      <c r="A3" s="1376" t="s">
        <v>1685</v>
      </c>
      <c r="B3" s="424">
        <f ca="1">ROUND(B2*10000/'数据-汇总表'!E3,0)</f>
        <v>34</v>
      </c>
      <c r="C3" s="2104"/>
      <c r="D3" s="2104"/>
      <c r="E3" s="2104"/>
      <c r="F3" s="2104"/>
      <c r="G3" s="2104"/>
    </row>
    <row r="4" spans="1:25" s="2055" customFormat="1" ht="18" customHeight="1">
      <c r="A4" s="425" t="s">
        <v>467</v>
      </c>
      <c r="B4" s="426">
        <f ca="1">ROUND(B2*10000/'数据-汇总表'!D3,0)</f>
        <v>168</v>
      </c>
      <c r="C4" s="2057"/>
      <c r="D4" s="2104"/>
      <c r="E4" s="2104"/>
      <c r="F4" s="2104"/>
      <c r="G4" s="2104"/>
    </row>
    <row r="5" spans="1:25" s="2055" customFormat="1" ht="18" customHeight="1" thickBot="1">
      <c r="A5" s="428"/>
      <c r="B5" s="429">
        <f ca="1">ROUND(B2/('数据-汇总表'!D3/666.67),0)</f>
        <v>11</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65661</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1313</v>
      </c>
      <c r="D13" s="757">
        <f>'数据-汇总表'!E6</f>
        <v>65661</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31</v>
      </c>
      <c r="D18" s="761"/>
      <c r="E18" s="762"/>
      <c r="F18" s="760">
        <f>'数据-取费表'!Q16</f>
        <v>0.14000000000000001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251.02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251.02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224</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224</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05" t="s">
        <v>521</v>
      </c>
      <c r="D4" s="3406"/>
      <c r="E4" s="3441" t="s">
        <v>522</v>
      </c>
      <c r="F4" s="3442"/>
      <c r="G4" s="3405" t="s">
        <v>523</v>
      </c>
      <c r="H4" s="3406"/>
      <c r="I4" s="3405" t="s">
        <v>524</v>
      </c>
      <c r="J4" s="3406"/>
      <c r="K4" s="852"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43" t="s">
        <v>2923</v>
      </c>
      <c r="F5" s="3444"/>
      <c r="G5" s="3421" t="s">
        <v>2924</v>
      </c>
      <c r="H5" s="3422"/>
      <c r="I5" s="3421" t="s">
        <v>2925</v>
      </c>
      <c r="J5" s="3422"/>
      <c r="K5" s="85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85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31" t="s">
        <v>529</v>
      </c>
      <c r="Q7" s="3433"/>
      <c r="R7" s="1565" t="s">
        <v>13</v>
      </c>
      <c r="S7" s="1566">
        <f t="shared" ref="S7:S15" si="0">F7</f>
        <v>0</v>
      </c>
      <c r="T7" s="1565" t="s">
        <v>13</v>
      </c>
      <c r="U7" s="1566">
        <f t="shared" ref="U7:U15" si="1">H7</f>
        <v>0</v>
      </c>
      <c r="V7" s="1565" t="s">
        <v>13</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31" t="s">
        <v>532</v>
      </c>
      <c r="Q8" s="3432"/>
      <c r="R8" s="1565" t="s">
        <v>13</v>
      </c>
      <c r="S8" s="1566">
        <f t="shared" si="0"/>
        <v>0</v>
      </c>
      <c r="T8" s="1565" t="s">
        <v>13</v>
      </c>
      <c r="U8" s="1566">
        <f t="shared" si="1"/>
        <v>0</v>
      </c>
      <c r="V8" s="1565" t="s">
        <v>13</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99"/>
      <c r="Q11" s="1149" t="str">
        <f t="shared" si="6"/>
        <v>容积率</v>
      </c>
      <c r="R11" s="1565" t="s">
        <v>11</v>
      </c>
      <c r="S11" s="1566" t="e">
        <f t="shared" si="0"/>
        <v>#N/A</v>
      </c>
      <c r="T11" s="1565" t="s">
        <v>11</v>
      </c>
      <c r="U11" s="1566" t="e">
        <f t="shared" si="1"/>
        <v>#N/A</v>
      </c>
      <c r="V11" s="1565" t="s">
        <v>11</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9"/>
      <c r="Q12" s="1149">
        <f t="shared" si="6"/>
        <v>111</v>
      </c>
      <c r="R12" s="1565" t="s">
        <v>11</v>
      </c>
      <c r="S12" s="1566">
        <f t="shared" si="0"/>
        <v>100</v>
      </c>
      <c r="T12" s="1565" t="s">
        <v>11</v>
      </c>
      <c r="U12" s="1566">
        <f t="shared" si="1"/>
        <v>100</v>
      </c>
      <c r="V12" s="1565" t="s">
        <v>11</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9"/>
      <c r="Q13" s="1149">
        <f t="shared" si="6"/>
        <v>111</v>
      </c>
      <c r="R13" s="1565" t="s">
        <v>11</v>
      </c>
      <c r="S13" s="1566">
        <f t="shared" si="0"/>
        <v>100</v>
      </c>
      <c r="T13" s="1565" t="s">
        <v>11</v>
      </c>
      <c r="U13" s="1566">
        <f t="shared" si="1"/>
        <v>100</v>
      </c>
      <c r="V13" s="1565" t="s">
        <v>11</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9"/>
      <c r="Q14" s="1149">
        <f t="shared" si="6"/>
        <v>111</v>
      </c>
      <c r="R14" s="1565" t="s">
        <v>11</v>
      </c>
      <c r="S14" s="1566">
        <f t="shared" si="0"/>
        <v>100</v>
      </c>
      <c r="T14" s="1565" t="s">
        <v>11</v>
      </c>
      <c r="U14" s="1566">
        <f t="shared" si="1"/>
        <v>100</v>
      </c>
      <c r="V14" s="1565" t="s">
        <v>11</v>
      </c>
      <c r="W14" s="1566">
        <f t="shared" si="2"/>
        <v>100</v>
      </c>
      <c r="X14" s="1567"/>
      <c r="Y14" s="3345"/>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34" t="s">
        <v>539</v>
      </c>
      <c r="Q15" s="1569" t="str">
        <f t="shared" si="6"/>
        <v>居住社区成熟度</v>
      </c>
      <c r="R15" s="1570" t="s">
        <v>11</v>
      </c>
      <c r="S15" s="1571">
        <f t="shared" si="0"/>
        <v>100</v>
      </c>
      <c r="T15" s="1570" t="s">
        <v>11</v>
      </c>
      <c r="U15" s="1571">
        <f t="shared" si="1"/>
        <v>100</v>
      </c>
      <c r="V15" s="1570" t="s">
        <v>11</v>
      </c>
      <c r="W15" s="1571">
        <f t="shared" si="2"/>
        <v>100</v>
      </c>
      <c r="X15" s="1564"/>
      <c r="Y15" s="3434"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35"/>
      <c r="Q17" s="1569" t="str">
        <f>B17</f>
        <v>交通便捷度</v>
      </c>
      <c r="R17" s="1570" t="s">
        <v>11</v>
      </c>
      <c r="S17" s="1571">
        <f>F17</f>
        <v>100</v>
      </c>
      <c r="T17" s="1570" t="s">
        <v>11</v>
      </c>
      <c r="U17" s="1571">
        <f>H17</f>
        <v>100</v>
      </c>
      <c r="V17" s="1570" t="s">
        <v>11</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35"/>
      <c r="Q19" s="1569" t="str">
        <f>B19</f>
        <v>公共配套设施</v>
      </c>
      <c r="R19" s="1570" t="s">
        <v>11</v>
      </c>
      <c r="S19" s="1571">
        <f>F19</f>
        <v>100</v>
      </c>
      <c r="T19" s="1570" t="s">
        <v>11</v>
      </c>
      <c r="U19" s="1571">
        <f>H19</f>
        <v>100</v>
      </c>
      <c r="V19" s="1570" t="s">
        <v>11</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35"/>
      <c r="Q21" s="2599" t="str">
        <f>B21</f>
        <v>基础设施水平</v>
      </c>
      <c r="R21" s="1570" t="s">
        <v>11</v>
      </c>
      <c r="S21" s="1571">
        <f>F21</f>
        <v>100</v>
      </c>
      <c r="T21" s="1570" t="s">
        <v>11</v>
      </c>
      <c r="U21" s="1571">
        <f>H21</f>
        <v>100</v>
      </c>
      <c r="V21" s="1570" t="s">
        <v>11</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35"/>
      <c r="Q23" s="1569" t="str">
        <f>B23</f>
        <v>自然及人文环境</v>
      </c>
      <c r="R23" s="1570" t="s">
        <v>11</v>
      </c>
      <c r="S23" s="1571">
        <f>F23</f>
        <v>100</v>
      </c>
      <c r="T23" s="1570" t="s">
        <v>11</v>
      </c>
      <c r="U23" s="1571">
        <f>H23</f>
        <v>100</v>
      </c>
      <c r="V23" s="1570" t="s">
        <v>11</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5"/>
      <c r="Q25" s="1569" t="str">
        <f t="shared" ref="Q25:Q46" si="11">B25</f>
        <v>楼层-1</v>
      </c>
      <c r="R25" s="1570" t="s">
        <v>11</v>
      </c>
      <c r="S25" s="1571">
        <f>F25</f>
        <v>100</v>
      </c>
      <c r="T25" s="1570" t="s">
        <v>11</v>
      </c>
      <c r="U25" s="1571">
        <f>H25</f>
        <v>100</v>
      </c>
      <c r="V25" s="1570" t="s">
        <v>11</v>
      </c>
      <c r="W25" s="1571">
        <f>J25</f>
        <v>100</v>
      </c>
      <c r="X25" s="1564"/>
      <c r="Y25" s="3435"/>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5"/>
      <c r="Q26" s="1569" t="str">
        <f t="shared" si="11"/>
        <v>朝向</v>
      </c>
      <c r="R26" s="1570" t="s">
        <v>11</v>
      </c>
      <c r="S26" s="1571">
        <f>F26</f>
        <v>100</v>
      </c>
      <c r="T26" s="1570" t="s">
        <v>11</v>
      </c>
      <c r="U26" s="1571">
        <f>H26</f>
        <v>100</v>
      </c>
      <c r="V26" s="1570" t="s">
        <v>11</v>
      </c>
      <c r="W26" s="1571">
        <f>J26</f>
        <v>100</v>
      </c>
      <c r="X26" s="1564"/>
      <c r="Y26" s="3435"/>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5"/>
      <c r="Q27" s="1149" t="str">
        <f t="shared" si="11"/>
        <v>道路级别</v>
      </c>
      <c r="R27" s="1565" t="s">
        <v>11</v>
      </c>
      <c r="S27" s="1566">
        <f>F27</f>
        <v>100</v>
      </c>
      <c r="T27" s="1565" t="s">
        <v>11</v>
      </c>
      <c r="U27" s="1566">
        <f>H27</f>
        <v>100</v>
      </c>
      <c r="V27" s="1565" t="s">
        <v>11</v>
      </c>
      <c r="W27" s="1566">
        <f>J27</f>
        <v>100</v>
      </c>
      <c r="X27" s="1567"/>
      <c r="Y27" s="3435"/>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5"/>
      <c r="Q29" s="1569">
        <f t="shared" si="11"/>
        <v>111</v>
      </c>
      <c r="R29" s="1570" t="s">
        <v>11</v>
      </c>
      <c r="S29" s="1571">
        <f t="shared" si="12"/>
        <v>100</v>
      </c>
      <c r="T29" s="1570" t="s">
        <v>11</v>
      </c>
      <c r="U29" s="1571">
        <f t="shared" si="13"/>
        <v>100</v>
      </c>
      <c r="V29" s="1570" t="s">
        <v>11</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5"/>
      <c r="Q30" s="1569">
        <f t="shared" si="11"/>
        <v>111</v>
      </c>
      <c r="R30" s="1570" t="s">
        <v>11</v>
      </c>
      <c r="S30" s="1571">
        <f t="shared" si="12"/>
        <v>100</v>
      </c>
      <c r="T30" s="1570" t="s">
        <v>11</v>
      </c>
      <c r="U30" s="1571">
        <f t="shared" si="13"/>
        <v>100</v>
      </c>
      <c r="V30" s="1570" t="s">
        <v>11</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5"/>
      <c r="Q31" s="1569">
        <f t="shared" si="11"/>
        <v>111</v>
      </c>
      <c r="R31" s="1570" t="s">
        <v>11</v>
      </c>
      <c r="S31" s="1571">
        <f t="shared" si="12"/>
        <v>100</v>
      </c>
      <c r="T31" s="1570" t="s">
        <v>11</v>
      </c>
      <c r="U31" s="1571">
        <f t="shared" si="13"/>
        <v>100</v>
      </c>
      <c r="V31" s="1570" t="s">
        <v>11</v>
      </c>
      <c r="W31" s="1571">
        <f t="shared" si="14"/>
        <v>100</v>
      </c>
      <c r="X31" s="1564"/>
      <c r="Y31" s="3435"/>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36" t="s">
        <v>549</v>
      </c>
      <c r="Q32" s="1569" t="str">
        <f t="shared" si="11"/>
        <v>建筑类型</v>
      </c>
      <c r="R32" s="1570" t="s">
        <v>11</v>
      </c>
      <c r="S32" s="1571">
        <f t="shared" si="12"/>
        <v>100</v>
      </c>
      <c r="T32" s="1570" t="s">
        <v>11</v>
      </c>
      <c r="U32" s="1571">
        <f t="shared" si="13"/>
        <v>100</v>
      </c>
      <c r="V32" s="1570" t="s">
        <v>11</v>
      </c>
      <c r="W32" s="1571">
        <f t="shared" si="14"/>
        <v>100</v>
      </c>
      <c r="X32" s="1564"/>
      <c r="Y32" s="3437"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37"/>
      <c r="Q33" s="1602" t="str">
        <f t="shared" si="11"/>
        <v>项目建筑规模</v>
      </c>
      <c r="R33" s="1574" t="s">
        <v>11</v>
      </c>
      <c r="S33" s="1575" t="e">
        <f t="shared" si="12"/>
        <v>#N/A</v>
      </c>
      <c r="T33" s="1574" t="s">
        <v>11</v>
      </c>
      <c r="U33" s="1575" t="e">
        <f t="shared" si="13"/>
        <v>#N/A</v>
      </c>
      <c r="V33" s="1574" t="s">
        <v>11</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37"/>
      <c r="Q34" s="1569" t="str">
        <f t="shared" si="11"/>
        <v>建筑结构</v>
      </c>
      <c r="R34" s="1570" t="s">
        <v>11</v>
      </c>
      <c r="S34" s="1571">
        <f t="shared" si="12"/>
        <v>100</v>
      </c>
      <c r="T34" s="1570" t="s">
        <v>11</v>
      </c>
      <c r="U34" s="1571">
        <f t="shared" si="13"/>
        <v>100</v>
      </c>
      <c r="V34" s="1570" t="s">
        <v>11</v>
      </c>
      <c r="W34" s="1571">
        <f t="shared" si="14"/>
        <v>100</v>
      </c>
      <c r="X34" s="1564"/>
      <c r="Y34" s="3437"/>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37"/>
      <c r="Q35" s="1569" t="str">
        <f t="shared" si="11"/>
        <v>建筑品质</v>
      </c>
      <c r="R35" s="1570" t="s">
        <v>11</v>
      </c>
      <c r="S35" s="1571">
        <f t="shared" si="12"/>
        <v>100</v>
      </c>
      <c r="T35" s="1570" t="s">
        <v>11</v>
      </c>
      <c r="U35" s="1571">
        <f t="shared" si="13"/>
        <v>100</v>
      </c>
      <c r="V35" s="1570" t="s">
        <v>11</v>
      </c>
      <c r="W35" s="1571">
        <f t="shared" si="14"/>
        <v>100</v>
      </c>
      <c r="X35" s="1564"/>
      <c r="Y35" s="3437"/>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37"/>
      <c r="Q36" s="1569" t="str">
        <f t="shared" si="11"/>
        <v>公共部分装修</v>
      </c>
      <c r="R36" s="1570" t="s">
        <v>11</v>
      </c>
      <c r="S36" s="1571">
        <f t="shared" si="12"/>
        <v>100</v>
      </c>
      <c r="T36" s="1570" t="s">
        <v>11</v>
      </c>
      <c r="U36" s="1571">
        <f t="shared" si="13"/>
        <v>100</v>
      </c>
      <c r="V36" s="1570" t="s">
        <v>11</v>
      </c>
      <c r="W36" s="1571">
        <f t="shared" si="14"/>
        <v>100</v>
      </c>
      <c r="X36" s="1564"/>
      <c r="Y36" s="3437"/>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37"/>
      <c r="Q37" s="1149" t="str">
        <f t="shared" si="11"/>
        <v>成新度</v>
      </c>
      <c r="R37" s="1565" t="s">
        <v>11</v>
      </c>
      <c r="S37" s="1566" t="e">
        <f t="shared" si="12"/>
        <v>#N/A</v>
      </c>
      <c r="T37" s="1565" t="s">
        <v>11</v>
      </c>
      <c r="U37" s="1566" t="e">
        <f t="shared" si="13"/>
        <v>#N/A</v>
      </c>
      <c r="V37" s="1565" t="s">
        <v>11</v>
      </c>
      <c r="W37" s="1566" t="e">
        <f t="shared" si="14"/>
        <v>#N/A</v>
      </c>
      <c r="X37" s="1567"/>
      <c r="Y37" s="3437"/>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7" t="s">
        <v>549</v>
      </c>
      <c r="Q38" s="1569" t="str">
        <f t="shared" si="11"/>
        <v>物业管理</v>
      </c>
      <c r="R38" s="1570" t="s">
        <v>11</v>
      </c>
      <c r="S38" s="1571">
        <f t="shared" si="12"/>
        <v>100</v>
      </c>
      <c r="T38" s="1570" t="s">
        <v>11</v>
      </c>
      <c r="U38" s="1571">
        <f t="shared" si="13"/>
        <v>100</v>
      </c>
      <c r="V38" s="1570" t="s">
        <v>11</v>
      </c>
      <c r="W38" s="1571">
        <f t="shared" si="14"/>
        <v>100</v>
      </c>
      <c r="X38" s="1564"/>
      <c r="Y38" s="3437"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37"/>
      <c r="Q39" s="1569" t="str">
        <f t="shared" si="11"/>
        <v>市政基础设施</v>
      </c>
      <c r="R39" s="1570" t="s">
        <v>11</v>
      </c>
      <c r="S39" s="1571">
        <f t="shared" si="12"/>
        <v>100</v>
      </c>
      <c r="T39" s="1570" t="s">
        <v>11</v>
      </c>
      <c r="U39" s="1571">
        <f t="shared" si="13"/>
        <v>100</v>
      </c>
      <c r="V39" s="1570" t="s">
        <v>11</v>
      </c>
      <c r="W39" s="1571">
        <f t="shared" si="14"/>
        <v>100</v>
      </c>
      <c r="X39" s="1564"/>
      <c r="Y39" s="3437"/>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7"/>
      <c r="Q40" s="1569" t="str">
        <f t="shared" si="11"/>
        <v>房型</v>
      </c>
      <c r="R40" s="1570" t="s">
        <v>11</v>
      </c>
      <c r="S40" s="1571">
        <f t="shared" si="12"/>
        <v>100</v>
      </c>
      <c r="T40" s="1570" t="s">
        <v>11</v>
      </c>
      <c r="U40" s="1571">
        <f t="shared" si="13"/>
        <v>100</v>
      </c>
      <c r="V40" s="1570" t="s">
        <v>11</v>
      </c>
      <c r="W40" s="1571">
        <f t="shared" si="14"/>
        <v>100</v>
      </c>
      <c r="X40" s="1564"/>
      <c r="Y40" s="3437"/>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7"/>
      <c r="Q41" s="1602" t="str">
        <f t="shared" si="11"/>
        <v>单套/主力户型建筑面积</v>
      </c>
      <c r="R41" s="1574" t="s">
        <v>11</v>
      </c>
      <c r="S41" s="1575">
        <f t="shared" si="12"/>
        <v>100</v>
      </c>
      <c r="T41" s="1574" t="s">
        <v>11</v>
      </c>
      <c r="U41" s="1575">
        <f t="shared" si="13"/>
        <v>100</v>
      </c>
      <c r="V41" s="1574" t="s">
        <v>11</v>
      </c>
      <c r="W41" s="1575">
        <f t="shared" si="14"/>
        <v>100</v>
      </c>
      <c r="X41" s="1576"/>
      <c r="Y41" s="3437"/>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37"/>
      <c r="Q42" s="1569" t="str">
        <f t="shared" si="11"/>
        <v>内部装修</v>
      </c>
      <c r="R42" s="1570" t="s">
        <v>11</v>
      </c>
      <c r="S42" s="1571">
        <f t="shared" si="12"/>
        <v>100</v>
      </c>
      <c r="T42" s="1570" t="s">
        <v>11</v>
      </c>
      <c r="U42" s="1571">
        <f t="shared" si="13"/>
        <v>100</v>
      </c>
      <c r="V42" s="1570" t="s">
        <v>11</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7"/>
      <c r="Q43" s="1569" t="str">
        <f t="shared" si="11"/>
        <v>内部装修维护情况</v>
      </c>
      <c r="R43" s="1570" t="s">
        <v>11</v>
      </c>
      <c r="S43" s="1571">
        <f t="shared" si="12"/>
        <v>100</v>
      </c>
      <c r="T43" s="1570" t="s">
        <v>11</v>
      </c>
      <c r="U43" s="1571">
        <f t="shared" si="13"/>
        <v>100</v>
      </c>
      <c r="V43" s="1570" t="s">
        <v>11</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37"/>
      <c r="Q44" s="1149">
        <f t="shared" si="11"/>
        <v>111</v>
      </c>
      <c r="R44" s="1565" t="s">
        <v>11</v>
      </c>
      <c r="S44" s="1566">
        <f t="shared" si="12"/>
        <v>100</v>
      </c>
      <c r="T44" s="1565" t="s">
        <v>11</v>
      </c>
      <c r="U44" s="1566">
        <f t="shared" si="13"/>
        <v>100</v>
      </c>
      <c r="V44" s="1565" t="s">
        <v>11</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7"/>
      <c r="Q45" s="1569">
        <f t="shared" si="11"/>
        <v>111</v>
      </c>
      <c r="R45" s="1570" t="s">
        <v>11</v>
      </c>
      <c r="S45" s="1571">
        <f t="shared" si="12"/>
        <v>100</v>
      </c>
      <c r="T45" s="1570" t="s">
        <v>11</v>
      </c>
      <c r="U45" s="1571">
        <f t="shared" si="13"/>
        <v>100</v>
      </c>
      <c r="V45" s="1570" t="s">
        <v>11</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6"/>
      <c r="Q46" s="1569">
        <f t="shared" si="11"/>
        <v>111</v>
      </c>
      <c r="R46" s="1570" t="s">
        <v>10</v>
      </c>
      <c r="S46" s="1571">
        <f t="shared" si="12"/>
        <v>100</v>
      </c>
      <c r="T46" s="1570" t="s">
        <v>10</v>
      </c>
      <c r="U46" s="1571">
        <f t="shared" si="13"/>
        <v>100</v>
      </c>
      <c r="V46" s="1570" t="s">
        <v>10</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0"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0"/>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0"/>
      <c r="AC6" s="3404"/>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34" t="s">
        <v>539</v>
      </c>
      <c r="Q15" s="1569" t="str">
        <f t="shared" si="6"/>
        <v>商业繁华度</v>
      </c>
      <c r="R15" s="1570" t="s">
        <v>8</v>
      </c>
      <c r="S15" s="1571">
        <f t="shared" si="0"/>
        <v>100</v>
      </c>
      <c r="T15" s="1570" t="s">
        <v>8</v>
      </c>
      <c r="U15" s="1571">
        <f t="shared" si="1"/>
        <v>100</v>
      </c>
      <c r="V15" s="1570" t="s">
        <v>8</v>
      </c>
      <c r="W15" s="1571">
        <f t="shared" si="2"/>
        <v>100</v>
      </c>
      <c r="X15" s="1564"/>
      <c r="Y15" s="343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35"/>
      <c r="Q23" s="1569" t="str">
        <f>B23</f>
        <v>自然及人文环境</v>
      </c>
      <c r="R23" s="1570" t="s">
        <v>8</v>
      </c>
      <c r="S23" s="1571">
        <f>F23</f>
        <v>100</v>
      </c>
      <c r="T23" s="1570" t="s">
        <v>8</v>
      </c>
      <c r="U23" s="1571">
        <f>H23</f>
        <v>100</v>
      </c>
      <c r="V23" s="1570" t="s">
        <v>8</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5"/>
      <c r="Q25" s="1569" t="str">
        <f t="shared" ref="Q25:Q46" si="11">B25</f>
        <v>临街状况</v>
      </c>
      <c r="R25" s="1570" t="s">
        <v>8</v>
      </c>
      <c r="S25" s="1571">
        <f>F25</f>
        <v>100</v>
      </c>
      <c r="T25" s="1570" t="s">
        <v>8</v>
      </c>
      <c r="U25" s="1571">
        <f>H25</f>
        <v>100</v>
      </c>
      <c r="V25" s="1570" t="s">
        <v>8</v>
      </c>
      <c r="W25" s="1571">
        <f>J25</f>
        <v>100</v>
      </c>
      <c r="X25" s="1564"/>
      <c r="Y25" s="343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5"/>
      <c r="Q26" s="1569" t="str">
        <f t="shared" si="11"/>
        <v>平面位置/可视性</v>
      </c>
      <c r="R26" s="1570" t="s">
        <v>8</v>
      </c>
      <c r="S26" s="1571">
        <f>F26</f>
        <v>100</v>
      </c>
      <c r="T26" s="1570" t="s">
        <v>8</v>
      </c>
      <c r="U26" s="1571">
        <f>H26</f>
        <v>100</v>
      </c>
      <c r="V26" s="1570" t="s">
        <v>8</v>
      </c>
      <c r="W26" s="1571">
        <f>J26</f>
        <v>100</v>
      </c>
      <c r="X26" s="1564"/>
      <c r="Y26" s="3435"/>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35"/>
      <c r="Q27" s="1149" t="str">
        <f t="shared" si="11"/>
        <v>人流量</v>
      </c>
      <c r="R27" s="1565" t="s">
        <v>8</v>
      </c>
      <c r="S27" s="1566">
        <f>F27</f>
        <v>100</v>
      </c>
      <c r="T27" s="1565" t="s">
        <v>8</v>
      </c>
      <c r="U27" s="1566">
        <f>H27</f>
        <v>100</v>
      </c>
      <c r="V27" s="1565" t="s">
        <v>8</v>
      </c>
      <c r="W27" s="1566">
        <f>J27</f>
        <v>100</v>
      </c>
      <c r="X27" s="1567"/>
      <c r="Y27" s="3435"/>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5"/>
      <c r="Q29" s="1569">
        <f t="shared" si="11"/>
        <v>111</v>
      </c>
      <c r="R29" s="1570" t="s">
        <v>8</v>
      </c>
      <c r="S29" s="1571">
        <f t="shared" si="12"/>
        <v>100</v>
      </c>
      <c r="T29" s="1570" t="s">
        <v>8</v>
      </c>
      <c r="U29" s="1571">
        <f t="shared" si="13"/>
        <v>100</v>
      </c>
      <c r="V29" s="1570" t="s">
        <v>8</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6" t="s">
        <v>549</v>
      </c>
      <c r="Q32" s="1569" t="str">
        <f t="shared" si="11"/>
        <v>商业类型</v>
      </c>
      <c r="R32" s="1570" t="s">
        <v>8</v>
      </c>
      <c r="S32" s="1571">
        <f t="shared" si="12"/>
        <v>100</v>
      </c>
      <c r="T32" s="1570" t="s">
        <v>8</v>
      </c>
      <c r="U32" s="1571">
        <f t="shared" si="13"/>
        <v>100</v>
      </c>
      <c r="V32" s="1570" t="s">
        <v>8</v>
      </c>
      <c r="W32" s="1571">
        <f t="shared" si="14"/>
        <v>100</v>
      </c>
      <c r="X32" s="1564"/>
      <c r="Y32" s="3437"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7"/>
      <c r="Q33" s="1602" t="str">
        <f t="shared" si="11"/>
        <v>项目建筑规模</v>
      </c>
      <c r="R33" s="1574" t="s">
        <v>8</v>
      </c>
      <c r="S33" s="1575" t="e">
        <f t="shared" si="12"/>
        <v>#N/A</v>
      </c>
      <c r="T33" s="1574" t="s">
        <v>8</v>
      </c>
      <c r="U33" s="1575" t="e">
        <f t="shared" si="13"/>
        <v>#N/A</v>
      </c>
      <c r="V33" s="1574" t="s">
        <v>8</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37"/>
      <c r="Q34" s="1569" t="str">
        <f t="shared" si="11"/>
        <v>建筑结构</v>
      </c>
      <c r="R34" s="1570" t="s">
        <v>8</v>
      </c>
      <c r="S34" s="1571">
        <f t="shared" si="12"/>
        <v>100</v>
      </c>
      <c r="T34" s="1570" t="s">
        <v>8</v>
      </c>
      <c r="U34" s="1571">
        <f t="shared" si="13"/>
        <v>100</v>
      </c>
      <c r="V34" s="1570" t="s">
        <v>8</v>
      </c>
      <c r="W34" s="1571">
        <f t="shared" si="14"/>
        <v>100</v>
      </c>
      <c r="X34" s="1564"/>
      <c r="Y34" s="3437"/>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7"/>
      <c r="Q35" s="1569" t="str">
        <f t="shared" si="11"/>
        <v>公共部分装修</v>
      </c>
      <c r="R35" s="1570" t="s">
        <v>8</v>
      </c>
      <c r="S35" s="1571">
        <f t="shared" si="12"/>
        <v>100</v>
      </c>
      <c r="T35" s="1570" t="s">
        <v>8</v>
      </c>
      <c r="U35" s="1571">
        <f t="shared" si="13"/>
        <v>100</v>
      </c>
      <c r="V35" s="1570" t="s">
        <v>8</v>
      </c>
      <c r="W35" s="1571">
        <f t="shared" si="14"/>
        <v>100</v>
      </c>
      <c r="X35" s="1564"/>
      <c r="Y35" s="3437"/>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37"/>
      <c r="Q36" s="1569" t="str">
        <f t="shared" si="11"/>
        <v>成新度</v>
      </c>
      <c r="R36" s="1570" t="s">
        <v>8</v>
      </c>
      <c r="S36" s="1571" t="e">
        <f t="shared" si="12"/>
        <v>#N/A</v>
      </c>
      <c r="T36" s="1570" t="s">
        <v>8</v>
      </c>
      <c r="U36" s="1571" t="e">
        <f t="shared" si="13"/>
        <v>#N/A</v>
      </c>
      <c r="V36" s="1570" t="s">
        <v>8</v>
      </c>
      <c r="W36" s="1571" t="e">
        <f t="shared" si="14"/>
        <v>#N/A</v>
      </c>
      <c r="X36" s="1564"/>
      <c r="Y36" s="3437"/>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7"/>
      <c r="Q37" s="1149" t="str">
        <f t="shared" si="11"/>
        <v>市政基础设施</v>
      </c>
      <c r="R37" s="1565" t="s">
        <v>8</v>
      </c>
      <c r="S37" s="1566">
        <f t="shared" si="12"/>
        <v>100</v>
      </c>
      <c r="T37" s="1565" t="s">
        <v>8</v>
      </c>
      <c r="U37" s="1566">
        <f t="shared" si="13"/>
        <v>100</v>
      </c>
      <c r="V37" s="1565" t="s">
        <v>8</v>
      </c>
      <c r="W37" s="1566">
        <f t="shared" si="14"/>
        <v>100</v>
      </c>
      <c r="X37" s="1567"/>
      <c r="Y37" s="3437"/>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7" t="s">
        <v>765</v>
      </c>
      <c r="Q38" s="1569" t="str">
        <f t="shared" si="11"/>
        <v>业态</v>
      </c>
      <c r="R38" s="1570" t="s">
        <v>8</v>
      </c>
      <c r="S38" s="1571">
        <f t="shared" si="12"/>
        <v>100</v>
      </c>
      <c r="T38" s="1570" t="s">
        <v>8</v>
      </c>
      <c r="U38" s="1571">
        <f t="shared" si="13"/>
        <v>100</v>
      </c>
      <c r="V38" s="1570" t="s">
        <v>8</v>
      </c>
      <c r="W38" s="1571">
        <f t="shared" si="14"/>
        <v>100</v>
      </c>
      <c r="X38" s="1564"/>
      <c r="Y38" s="3437"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c r="Q39" s="1569" t="str">
        <f t="shared" si="11"/>
        <v>层高</v>
      </c>
      <c r="R39" s="1570" t="s">
        <v>8</v>
      </c>
      <c r="S39" s="1571">
        <f t="shared" si="12"/>
        <v>100</v>
      </c>
      <c r="T39" s="1570" t="s">
        <v>8</v>
      </c>
      <c r="U39" s="1571">
        <f t="shared" si="13"/>
        <v>100</v>
      </c>
      <c r="V39" s="1570" t="s">
        <v>8</v>
      </c>
      <c r="W39" s="1571">
        <f t="shared" si="14"/>
        <v>100</v>
      </c>
      <c r="X39" s="1564"/>
      <c r="Y39" s="3437"/>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37"/>
      <c r="Q40" s="1569" t="str">
        <f t="shared" si="11"/>
        <v>单套建筑面积</v>
      </c>
      <c r="R40" s="1570" t="s">
        <v>8</v>
      </c>
      <c r="S40" s="1571">
        <f t="shared" si="12"/>
        <v>100</v>
      </c>
      <c r="T40" s="1570" t="s">
        <v>8</v>
      </c>
      <c r="U40" s="1571">
        <f t="shared" si="13"/>
        <v>100</v>
      </c>
      <c r="V40" s="1570" t="s">
        <v>8</v>
      </c>
      <c r="W40" s="1571">
        <f t="shared" si="14"/>
        <v>100</v>
      </c>
      <c r="X40" s="1564"/>
      <c r="Y40" s="3437"/>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7"/>
      <c r="Q41" s="1602" t="str">
        <f t="shared" si="11"/>
        <v>进深比</v>
      </c>
      <c r="R41" s="1574" t="s">
        <v>8</v>
      </c>
      <c r="S41" s="1575">
        <f t="shared" si="12"/>
        <v>100</v>
      </c>
      <c r="T41" s="1574" t="s">
        <v>8</v>
      </c>
      <c r="U41" s="1575">
        <f t="shared" si="13"/>
        <v>100</v>
      </c>
      <c r="V41" s="1574" t="s">
        <v>8</v>
      </c>
      <c r="W41" s="1575">
        <f t="shared" si="14"/>
        <v>100</v>
      </c>
      <c r="X41" s="1576"/>
      <c r="Y41" s="3437"/>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7"/>
      <c r="Q42" s="1569" t="str">
        <f t="shared" si="11"/>
        <v>内部装修</v>
      </c>
      <c r="R42" s="1570" t="s">
        <v>8</v>
      </c>
      <c r="S42" s="1571">
        <f t="shared" si="12"/>
        <v>100</v>
      </c>
      <c r="T42" s="1570" t="s">
        <v>8</v>
      </c>
      <c r="U42" s="1571">
        <f t="shared" si="13"/>
        <v>100</v>
      </c>
      <c r="V42" s="1570" t="s">
        <v>8</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7"/>
      <c r="Q43" s="1569" t="str">
        <f t="shared" si="11"/>
        <v>内部装修维护情况</v>
      </c>
      <c r="R43" s="1570" t="s">
        <v>8</v>
      </c>
      <c r="S43" s="1571">
        <f t="shared" si="12"/>
        <v>100</v>
      </c>
      <c r="T43" s="1570" t="s">
        <v>8</v>
      </c>
      <c r="U43" s="1571">
        <f t="shared" si="13"/>
        <v>100</v>
      </c>
      <c r="V43" s="1570" t="s">
        <v>8</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7"/>
      <c r="Q44" s="1149">
        <f t="shared" si="11"/>
        <v>111</v>
      </c>
      <c r="R44" s="1565" t="s">
        <v>8</v>
      </c>
      <c r="S44" s="1566">
        <f t="shared" si="12"/>
        <v>100</v>
      </c>
      <c r="T44" s="1565" t="s">
        <v>8</v>
      </c>
      <c r="U44" s="1566">
        <f t="shared" si="13"/>
        <v>100</v>
      </c>
      <c r="V44" s="1565" t="s">
        <v>8</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7"/>
      <c r="Q45" s="1569">
        <f t="shared" si="11"/>
        <v>111</v>
      </c>
      <c r="R45" s="1570" t="s">
        <v>8</v>
      </c>
      <c r="S45" s="1571">
        <f t="shared" si="12"/>
        <v>100</v>
      </c>
      <c r="T45" s="1570" t="s">
        <v>8</v>
      </c>
      <c r="U45" s="1571">
        <f t="shared" si="13"/>
        <v>100</v>
      </c>
      <c r="V45" s="1570" t="s">
        <v>8</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6"/>
      <c r="Q46" s="1569">
        <f t="shared" si="11"/>
        <v>111</v>
      </c>
      <c r="R46" s="1570" t="s">
        <v>8</v>
      </c>
      <c r="S46" s="1571">
        <f t="shared" si="12"/>
        <v>100</v>
      </c>
      <c r="T46" s="1570" t="s">
        <v>8</v>
      </c>
      <c r="U46" s="1571">
        <f t="shared" si="13"/>
        <v>100</v>
      </c>
      <c r="V46" s="1570" t="s">
        <v>8</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3"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34" t="s">
        <v>539</v>
      </c>
      <c r="Q15" s="1569" t="str">
        <f t="shared" si="6"/>
        <v>产业集聚程度</v>
      </c>
      <c r="R15" s="1570" t="s">
        <v>8</v>
      </c>
      <c r="S15" s="1571">
        <f t="shared" si="0"/>
        <v>100</v>
      </c>
      <c r="T15" s="1570" t="s">
        <v>8</v>
      </c>
      <c r="U15" s="1571">
        <f t="shared" si="1"/>
        <v>100</v>
      </c>
      <c r="V15" s="1570" t="s">
        <v>8</v>
      </c>
      <c r="W15" s="1571">
        <f t="shared" si="2"/>
        <v>100</v>
      </c>
      <c r="X15" s="1564"/>
      <c r="Y15" s="343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5"/>
      <c r="Q25" s="1569">
        <f>B25</f>
        <v>111</v>
      </c>
      <c r="R25" s="1570" t="s">
        <v>8</v>
      </c>
      <c r="S25" s="1571">
        <f>F25</f>
        <v>100</v>
      </c>
      <c r="T25" s="1570" t="s">
        <v>8</v>
      </c>
      <c r="U25" s="1571">
        <f>H25</f>
        <v>100</v>
      </c>
      <c r="V25" s="1570" t="s">
        <v>8</v>
      </c>
      <c r="W25" s="1571">
        <f>J25</f>
        <v>100</v>
      </c>
      <c r="X25" s="1564"/>
      <c r="Y25" s="343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5"/>
      <c r="Q26" s="1569">
        <f t="shared" ref="Q26:Q40" si="11">B26</f>
        <v>111</v>
      </c>
      <c r="R26" s="1570" t="s">
        <v>8</v>
      </c>
      <c r="S26" s="1571">
        <f>F26</f>
        <v>100</v>
      </c>
      <c r="T26" s="1570" t="s">
        <v>8</v>
      </c>
      <c r="U26" s="1571">
        <f>H26</f>
        <v>100</v>
      </c>
      <c r="V26" s="1570" t="s">
        <v>8</v>
      </c>
      <c r="W26" s="1571">
        <f>J26</f>
        <v>100</v>
      </c>
      <c r="X26" s="1564"/>
      <c r="Y26" s="3435"/>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5"/>
      <c r="Q27" s="1149">
        <f t="shared" si="11"/>
        <v>111</v>
      </c>
      <c r="R27" s="1565" t="s">
        <v>8</v>
      </c>
      <c r="S27" s="1566">
        <f>F27</f>
        <v>100</v>
      </c>
      <c r="T27" s="1565" t="s">
        <v>8</v>
      </c>
      <c r="U27" s="1566">
        <f>H27</f>
        <v>100</v>
      </c>
      <c r="V27" s="1565" t="s">
        <v>8</v>
      </c>
      <c r="W27" s="1566">
        <f>J27</f>
        <v>100</v>
      </c>
      <c r="X27" s="1567"/>
      <c r="Y27" s="3435"/>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35"/>
      <c r="Q28" s="1569">
        <f t="shared" si="11"/>
        <v>111</v>
      </c>
      <c r="R28" s="1570" t="s">
        <v>8</v>
      </c>
      <c r="S28" s="1571">
        <f t="shared" ref="S28:S40" si="12">F28</f>
        <v>100</v>
      </c>
      <c r="T28" s="1570" t="s">
        <v>8</v>
      </c>
      <c r="U28" s="1571">
        <f t="shared" ref="U28:U40" si="13">H28</f>
        <v>100</v>
      </c>
      <c r="V28" s="1570" t="s">
        <v>8</v>
      </c>
      <c r="W28" s="1571">
        <f t="shared" ref="W28:W40" si="14">J28</f>
        <v>100</v>
      </c>
      <c r="X28" s="1564"/>
      <c r="Y28" s="3435"/>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36" t="s">
        <v>549</v>
      </c>
      <c r="Q29" s="1569" t="str">
        <f t="shared" si="11"/>
        <v>建筑类型</v>
      </c>
      <c r="R29" s="1570" t="s">
        <v>8</v>
      </c>
      <c r="S29" s="1571">
        <f t="shared" si="12"/>
        <v>100</v>
      </c>
      <c r="T29" s="1570" t="s">
        <v>8</v>
      </c>
      <c r="U29" s="1571">
        <f t="shared" si="13"/>
        <v>100</v>
      </c>
      <c r="V29" s="1570" t="s">
        <v>8</v>
      </c>
      <c r="W29" s="1571">
        <f t="shared" si="14"/>
        <v>100</v>
      </c>
      <c r="X29" s="1564"/>
      <c r="Y29" s="3437"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7"/>
      <c r="Q30" s="1602" t="str">
        <f t="shared" si="11"/>
        <v>项目建筑规模</v>
      </c>
      <c r="R30" s="1574" t="s">
        <v>8</v>
      </c>
      <c r="S30" s="1575" t="e">
        <f t="shared" si="12"/>
        <v>#N/A</v>
      </c>
      <c r="T30" s="1574" t="s">
        <v>8</v>
      </c>
      <c r="U30" s="1575" t="e">
        <f t="shared" si="13"/>
        <v>#N/A</v>
      </c>
      <c r="V30" s="1574" t="s">
        <v>8</v>
      </c>
      <c r="W30" s="1575" t="e">
        <f t="shared" si="14"/>
        <v>#N/A</v>
      </c>
      <c r="X30" s="1576"/>
      <c r="Y30" s="3437"/>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7"/>
      <c r="Q31" s="1569" t="str">
        <f t="shared" si="11"/>
        <v>建筑结构</v>
      </c>
      <c r="R31" s="1570" t="s">
        <v>8</v>
      </c>
      <c r="S31" s="1571">
        <f t="shared" si="12"/>
        <v>100</v>
      </c>
      <c r="T31" s="1570" t="s">
        <v>8</v>
      </c>
      <c r="U31" s="1571">
        <f t="shared" si="13"/>
        <v>100</v>
      </c>
      <c r="V31" s="1570" t="s">
        <v>8</v>
      </c>
      <c r="W31" s="1571">
        <f t="shared" si="14"/>
        <v>100</v>
      </c>
      <c r="X31" s="1564"/>
      <c r="Y31" s="3437"/>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7"/>
      <c r="Q32" s="1569" t="str">
        <f t="shared" si="11"/>
        <v>公共部分装修</v>
      </c>
      <c r="R32" s="1570" t="s">
        <v>8</v>
      </c>
      <c r="S32" s="1571">
        <f t="shared" si="12"/>
        <v>100</v>
      </c>
      <c r="T32" s="1570" t="s">
        <v>8</v>
      </c>
      <c r="U32" s="1571">
        <f t="shared" si="13"/>
        <v>100</v>
      </c>
      <c r="V32" s="1570" t="s">
        <v>8</v>
      </c>
      <c r="W32" s="1571">
        <f t="shared" si="14"/>
        <v>100</v>
      </c>
      <c r="X32" s="1564"/>
      <c r="Y32" s="3437"/>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37"/>
      <c r="Q33" s="1569" t="str">
        <f t="shared" si="11"/>
        <v>成新度</v>
      </c>
      <c r="R33" s="1570" t="s">
        <v>8</v>
      </c>
      <c r="S33" s="1571" t="e">
        <f t="shared" si="12"/>
        <v>#N/A</v>
      </c>
      <c r="T33" s="1570" t="s">
        <v>8</v>
      </c>
      <c r="U33" s="1571" t="e">
        <f t="shared" si="13"/>
        <v>#N/A</v>
      </c>
      <c r="V33" s="1570" t="s">
        <v>8</v>
      </c>
      <c r="W33" s="1571" t="e">
        <f t="shared" si="14"/>
        <v>#N/A</v>
      </c>
      <c r="X33" s="1564"/>
      <c r="Y33" s="3437"/>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7"/>
      <c r="Q34" s="1149" t="str">
        <f t="shared" si="11"/>
        <v>物业管理</v>
      </c>
      <c r="R34" s="1565" t="s">
        <v>8</v>
      </c>
      <c r="S34" s="1566">
        <f t="shared" si="12"/>
        <v>100</v>
      </c>
      <c r="T34" s="1565" t="s">
        <v>8</v>
      </c>
      <c r="U34" s="1566">
        <f t="shared" si="13"/>
        <v>100</v>
      </c>
      <c r="V34" s="1565" t="s">
        <v>8</v>
      </c>
      <c r="W34" s="1566">
        <f t="shared" si="14"/>
        <v>100</v>
      </c>
      <c r="X34" s="1567"/>
      <c r="Y34" s="3437"/>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7" t="s">
        <v>549</v>
      </c>
      <c r="Q35" s="1569" t="str">
        <f t="shared" si="11"/>
        <v>市政基础设施</v>
      </c>
      <c r="R35" s="1570" t="s">
        <v>8</v>
      </c>
      <c r="S35" s="1571">
        <f t="shared" si="12"/>
        <v>100</v>
      </c>
      <c r="T35" s="1570" t="s">
        <v>8</v>
      </c>
      <c r="U35" s="1571">
        <f t="shared" si="13"/>
        <v>100</v>
      </c>
      <c r="V35" s="1570" t="s">
        <v>8</v>
      </c>
      <c r="W35" s="1571">
        <f t="shared" si="14"/>
        <v>100</v>
      </c>
      <c r="X35" s="1564"/>
      <c r="Y35" s="3437"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7"/>
      <c r="Q36" s="1569" t="str">
        <f t="shared" si="11"/>
        <v>内部装修</v>
      </c>
      <c r="R36" s="1570" t="s">
        <v>8</v>
      </c>
      <c r="S36" s="1571">
        <f t="shared" si="12"/>
        <v>100</v>
      </c>
      <c r="T36" s="1570" t="s">
        <v>8</v>
      </c>
      <c r="U36" s="1571">
        <f t="shared" si="13"/>
        <v>100</v>
      </c>
      <c r="V36" s="1570" t="s">
        <v>8</v>
      </c>
      <c r="W36" s="1571">
        <f t="shared" si="14"/>
        <v>100</v>
      </c>
      <c r="X36" s="1564"/>
      <c r="Y36" s="3437"/>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7"/>
      <c r="Q37" s="1569" t="str">
        <f t="shared" si="11"/>
        <v>内部装修状况</v>
      </c>
      <c r="R37" s="1570" t="s">
        <v>8</v>
      </c>
      <c r="S37" s="1571">
        <f t="shared" si="12"/>
        <v>100</v>
      </c>
      <c r="T37" s="1570" t="s">
        <v>8</v>
      </c>
      <c r="U37" s="1571">
        <f t="shared" si="13"/>
        <v>100</v>
      </c>
      <c r="V37" s="1570" t="s">
        <v>8</v>
      </c>
      <c r="W37" s="1571">
        <f t="shared" si="14"/>
        <v>100</v>
      </c>
      <c r="X37" s="1564"/>
      <c r="Y37" s="3437"/>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37"/>
      <c r="Q38" s="1602">
        <f t="shared" si="11"/>
        <v>111</v>
      </c>
      <c r="R38" s="1574" t="s">
        <v>8</v>
      </c>
      <c r="S38" s="1575">
        <f t="shared" si="12"/>
        <v>100</v>
      </c>
      <c r="T38" s="1574" t="s">
        <v>8</v>
      </c>
      <c r="U38" s="1575">
        <f t="shared" si="13"/>
        <v>100</v>
      </c>
      <c r="V38" s="1574" t="s">
        <v>8</v>
      </c>
      <c r="W38" s="1575">
        <f t="shared" si="14"/>
        <v>100</v>
      </c>
      <c r="X38" s="1576"/>
      <c r="Y38" s="343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37"/>
      <c r="Q39" s="1569">
        <f t="shared" si="11"/>
        <v>111</v>
      </c>
      <c r="R39" s="1570" t="s">
        <v>8</v>
      </c>
      <c r="S39" s="1571">
        <f t="shared" si="12"/>
        <v>100</v>
      </c>
      <c r="T39" s="1570" t="s">
        <v>8</v>
      </c>
      <c r="U39" s="1571">
        <f t="shared" si="13"/>
        <v>100</v>
      </c>
      <c r="V39" s="1570" t="s">
        <v>8</v>
      </c>
      <c r="W39" s="1571">
        <f t="shared" si="14"/>
        <v>100</v>
      </c>
      <c r="X39" s="1564"/>
      <c r="Y39" s="343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6"/>
      <c r="Q40" s="1569">
        <f t="shared" si="11"/>
        <v>111</v>
      </c>
      <c r="R40" s="1570" t="s">
        <v>8</v>
      </c>
      <c r="S40" s="1571">
        <f t="shared" si="12"/>
        <v>100</v>
      </c>
      <c r="T40" s="1570" t="s">
        <v>8</v>
      </c>
      <c r="U40" s="1571">
        <f t="shared" si="13"/>
        <v>100</v>
      </c>
      <c r="V40" s="1570" t="s">
        <v>8</v>
      </c>
      <c r="W40" s="1571">
        <f t="shared" si="14"/>
        <v>100</v>
      </c>
      <c r="X40" s="1564"/>
      <c r="Y40" s="3476"/>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399" t="str">
        <f>A41</f>
        <v>成交单价（元/平方米）</v>
      </c>
      <c r="Q41" s="3399"/>
      <c r="R41" s="3473">
        <f>E41</f>
        <v>0</v>
      </c>
      <c r="S41" s="3473"/>
      <c r="T41" s="3473">
        <f>G41</f>
        <v>0</v>
      </c>
      <c r="U41" s="3473"/>
      <c r="V41" s="3473">
        <f>I41</f>
        <v>0</v>
      </c>
      <c r="W41" s="3473"/>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399" t="str">
        <f>A42</f>
        <v>比较价格（元/平方米）</v>
      </c>
      <c r="Q42" s="339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396" t="str">
        <f>A43</f>
        <v>估价对象XX用房的比较价格（楼面单价，元/平方米）</v>
      </c>
      <c r="Q43" s="3397"/>
      <c r="R43" s="3475" t="e">
        <f>IF(F1="售价",ROUND(AVERAGE(R42:V42),0),ROUND(AVERAGE(R42:V42),1))</f>
        <v>#DIV/0!</v>
      </c>
      <c r="S43" s="3475"/>
      <c r="T43" s="3475"/>
      <c r="U43" s="3475"/>
      <c r="V43" s="3475"/>
      <c r="W43" s="347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41" t="s">
        <v>798</v>
      </c>
      <c r="F4" s="3442"/>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43" t="s">
        <v>3052</v>
      </c>
      <c r="F5" s="3444"/>
      <c r="G5" s="3421" t="s">
        <v>3316</v>
      </c>
      <c r="H5" s="3422"/>
      <c r="I5" s="3421" t="s">
        <v>3053</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80" t="s">
        <v>3317</v>
      </c>
      <c r="F6" s="3440"/>
      <c r="G6" s="3480" t="s">
        <v>3317</v>
      </c>
      <c r="H6" s="3440"/>
      <c r="I6" s="3419" t="s">
        <v>3318</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4" si="3">D8/F8</f>
        <v>1</v>
      </c>
      <c r="AB8" s="1568">
        <f t="shared" ref="AB8:AB34" si="4">D8/H8</f>
        <v>1</v>
      </c>
      <c r="AC8" s="1568">
        <f t="shared" ref="AC8:AC34" si="5">D8/J8</f>
        <v>1</v>
      </c>
    </row>
    <row r="9" spans="1:29" s="1218" customFormat="1" ht="15">
      <c r="A9" s="2934"/>
      <c r="B9" s="2941" t="s">
        <v>2755</v>
      </c>
      <c r="C9" s="3189" t="s">
        <v>3319</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SUMIF(53:53,E10,54:54)-SUMIF(53:53,C10,54:54)+100</f>
        <v>100</v>
      </c>
      <c r="G10" s="860" t="s">
        <v>3220</v>
      </c>
      <c r="H10" s="254">
        <f>SUMIF(53:53,G10,54:54)-SUMIF(53:53,C10,54:54)+100</f>
        <v>100</v>
      </c>
      <c r="I10" s="860" t="s">
        <v>3220</v>
      </c>
      <c r="J10" s="254">
        <f>SUMIF(53:53,I10,54:54)-SUMIF(53:53,C10,54:54)+100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3327</v>
      </c>
      <c r="F14" s="550">
        <f>SUMIF(61:61,E15,62:62)-SUMIF(61:61,C15,62:62)+100</f>
        <v>100</v>
      </c>
      <c r="G14" s="549" t="s">
        <v>3327</v>
      </c>
      <c r="H14" s="548">
        <f>SUMIF(61:61,G15,62:62)-SUMIF(61:61,C15,62:62)+100</f>
        <v>100</v>
      </c>
      <c r="I14" s="549" t="s">
        <v>3321</v>
      </c>
      <c r="J14" s="548">
        <f>SUMIF(61:61,I15,62:62)-SUMIF(61:61,C15,62:62)+100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3328</v>
      </c>
      <c r="F16" s="570">
        <f>SUMIF(63:63,E17,64:64)-SUMIF(63:63,C17,64:64)+100</f>
        <v>102</v>
      </c>
      <c r="G16" s="569" t="s">
        <v>3328</v>
      </c>
      <c r="H16" s="564">
        <f>SUMIF(63:63,G17,64:64)-SUMIF(63:63,C17,64:64)+100</f>
        <v>102</v>
      </c>
      <c r="I16" s="569" t="s">
        <v>3326</v>
      </c>
      <c r="J16" s="564">
        <f>SUMIF(63:63,I17,64:64)-SUMIF(63:63,C17,64:64)+100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3324</v>
      </c>
      <c r="F18" s="562">
        <f>SUMIF(65:65,E19,66:66)-SUMIF(65:65,C19,66:66)+100</f>
        <v>100</v>
      </c>
      <c r="G18" s="563" t="s">
        <v>3324</v>
      </c>
      <c r="H18" s="564">
        <f>SUMIF(65:65,G19,66:66)-SUMIF(65:65,C19,66:66)+100</f>
        <v>100</v>
      </c>
      <c r="I18" s="569" t="s">
        <v>3324</v>
      </c>
      <c r="J18" s="564">
        <f>SUMIF(65:65,I19,66:66)-SUMIF(65:65,C19,66:66)+100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3329</v>
      </c>
      <c r="F20" s="570">
        <f>SUMIF(67:67,E21,68:68)-SUMIF(67:67,C21,68:68)+100</f>
        <v>100</v>
      </c>
      <c r="G20" s="3183" t="s">
        <v>3329</v>
      </c>
      <c r="H20" s="558">
        <f>SUMIF(67:67,G21,68:68)-SUMIF(67:67,C21,68:68)+100</f>
        <v>100</v>
      </c>
      <c r="I20" s="3183" t="s">
        <v>3330</v>
      </c>
      <c r="J20" s="558">
        <f>SUMIF(67:67,I21,68:68)-SUMIF(67:67,C21,68:68)+100</f>
        <v>102</v>
      </c>
      <c r="K20" s="897">
        <v>2</v>
      </c>
      <c r="L20" s="2138"/>
      <c r="M20" s="2130"/>
      <c r="N20" s="2130"/>
      <c r="O20" s="2137"/>
      <c r="P20" s="3435"/>
      <c r="Q20" s="1569" t="str">
        <f>B20</f>
        <v>自然及人文环境</v>
      </c>
      <c r="R20" s="1570" t="s">
        <v>8</v>
      </c>
      <c r="S20" s="1571">
        <f>F20</f>
        <v>100</v>
      </c>
      <c r="T20" s="1570" t="s">
        <v>8</v>
      </c>
      <c r="U20" s="1571">
        <f>H20</f>
        <v>100</v>
      </c>
      <c r="V20" s="1570" t="s">
        <v>8</v>
      </c>
      <c r="W20" s="1571">
        <f>J20</f>
        <v>102</v>
      </c>
      <c r="X20" s="1564"/>
      <c r="Y20" s="3435"/>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35"/>
      <c r="Q22" s="1569" t="str">
        <f>B22</f>
        <v>楼层</v>
      </c>
      <c r="R22" s="1570" t="s">
        <v>8</v>
      </c>
      <c r="S22" s="1571">
        <f>F22</f>
        <v>105</v>
      </c>
      <c r="T22" s="1570" t="s">
        <v>8</v>
      </c>
      <c r="U22" s="1571">
        <f>H22</f>
        <v>105</v>
      </c>
      <c r="V22" s="1570" t="s">
        <v>8</v>
      </c>
      <c r="W22" s="1571">
        <f>J22</f>
        <v>105</v>
      </c>
      <c r="X22" s="1564"/>
      <c r="Y22" s="3435"/>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5"/>
      <c r="Q24" s="1569">
        <f t="shared" ref="Q24:Q34"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3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7"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37"/>
      <c r="Q27" s="1602" t="str">
        <f t="shared" si="11"/>
        <v>成新率</v>
      </c>
      <c r="R27" s="1574" t="s">
        <v>8</v>
      </c>
      <c r="S27" s="1575">
        <f t="shared" si="12"/>
        <v>100</v>
      </c>
      <c r="T27" s="1574" t="s">
        <v>8</v>
      </c>
      <c r="U27" s="1575">
        <f t="shared" si="13"/>
        <v>100</v>
      </c>
      <c r="V27" s="1574" t="s">
        <v>8</v>
      </c>
      <c r="W27" s="1575">
        <f t="shared" si="14"/>
        <v>100</v>
      </c>
      <c r="X27" s="1576"/>
      <c r="Y27" s="3437"/>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7"/>
      <c r="Q28" s="1569" t="str">
        <f t="shared" si="11"/>
        <v>物业等级</v>
      </c>
      <c r="R28" s="1570" t="s">
        <v>8</v>
      </c>
      <c r="S28" s="1571">
        <f t="shared" si="12"/>
        <v>100</v>
      </c>
      <c r="T28" s="1570" t="s">
        <v>8</v>
      </c>
      <c r="U28" s="1571">
        <f t="shared" si="13"/>
        <v>100</v>
      </c>
      <c r="V28" s="1570" t="s">
        <v>8</v>
      </c>
      <c r="W28" s="1571">
        <f t="shared" si="14"/>
        <v>100</v>
      </c>
      <c r="X28" s="1564"/>
      <c r="Y28" s="3437"/>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37"/>
      <c r="Q29" s="1569" t="str">
        <f t="shared" si="11"/>
        <v>有无电梯</v>
      </c>
      <c r="R29" s="1570" t="s">
        <v>8</v>
      </c>
      <c r="S29" s="1571">
        <f t="shared" si="12"/>
        <v>100</v>
      </c>
      <c r="T29" s="1570" t="s">
        <v>8</v>
      </c>
      <c r="U29" s="1571">
        <f t="shared" si="13"/>
        <v>100</v>
      </c>
      <c r="V29" s="1570" t="s">
        <v>8</v>
      </c>
      <c r="W29" s="1571">
        <f t="shared" si="14"/>
        <v>100</v>
      </c>
      <c r="X29" s="1564"/>
      <c r="Y29" s="3437"/>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37"/>
      <c r="Q30" s="1569" t="str">
        <f t="shared" si="11"/>
        <v>建筑面积</v>
      </c>
      <c r="R30" s="1570" t="s">
        <v>8</v>
      </c>
      <c r="S30" s="1571">
        <f t="shared" si="12"/>
        <v>98</v>
      </c>
      <c r="T30" s="1570" t="s">
        <v>8</v>
      </c>
      <c r="U30" s="1571">
        <f t="shared" si="13"/>
        <v>98</v>
      </c>
      <c r="V30" s="1570" t="s">
        <v>8</v>
      </c>
      <c r="W30" s="1571">
        <f t="shared" si="14"/>
        <v>98</v>
      </c>
      <c r="X30" s="1564"/>
      <c r="Y30" s="3437"/>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37"/>
      <c r="Q31" s="1149" t="str">
        <f t="shared" si="11"/>
        <v>是否封闭</v>
      </c>
      <c r="R31" s="1565" t="s">
        <v>8</v>
      </c>
      <c r="S31" s="1566">
        <f t="shared" si="12"/>
        <v>100</v>
      </c>
      <c r="T31" s="1565" t="s">
        <v>8</v>
      </c>
      <c r="U31" s="1566">
        <f t="shared" si="13"/>
        <v>100</v>
      </c>
      <c r="V31" s="1565" t="s">
        <v>8</v>
      </c>
      <c r="W31" s="1566">
        <f t="shared" si="14"/>
        <v>100</v>
      </c>
      <c r="X31" s="1567"/>
      <c r="Y31" s="3437"/>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37" t="s">
        <v>549</v>
      </c>
      <c r="Q32" s="1569">
        <f t="shared" si="11"/>
        <v>111</v>
      </c>
      <c r="R32" s="1570" t="s">
        <v>8</v>
      </c>
      <c r="S32" s="1571">
        <f t="shared" si="12"/>
        <v>100</v>
      </c>
      <c r="T32" s="1570" t="s">
        <v>8</v>
      </c>
      <c r="U32" s="1571">
        <f t="shared" si="13"/>
        <v>100</v>
      </c>
      <c r="V32" s="1570" t="s">
        <v>8</v>
      </c>
      <c r="W32" s="1571">
        <f t="shared" si="14"/>
        <v>100</v>
      </c>
      <c r="X32" s="1564"/>
      <c r="Y32" s="3437"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37"/>
      <c r="Q33" s="1569">
        <f t="shared" si="11"/>
        <v>111</v>
      </c>
      <c r="R33" s="1570" t="s">
        <v>8</v>
      </c>
      <c r="S33" s="1571">
        <f t="shared" si="12"/>
        <v>100</v>
      </c>
      <c r="T33" s="1570" t="s">
        <v>8</v>
      </c>
      <c r="U33" s="1571">
        <f t="shared" si="13"/>
        <v>100</v>
      </c>
      <c r="V33" s="1570" t="s">
        <v>8</v>
      </c>
      <c r="W33" s="1571">
        <f t="shared" si="14"/>
        <v>100</v>
      </c>
      <c r="X33" s="1564"/>
      <c r="Y33" s="3437"/>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37"/>
      <c r="Q34" s="1569">
        <f t="shared" si="11"/>
        <v>111</v>
      </c>
      <c r="R34" s="1570" t="s">
        <v>8</v>
      </c>
      <c r="S34" s="1571">
        <f t="shared" si="12"/>
        <v>100</v>
      </c>
      <c r="T34" s="1570" t="s">
        <v>8</v>
      </c>
      <c r="U34" s="1571">
        <f t="shared" si="13"/>
        <v>100</v>
      </c>
      <c r="V34" s="1570" t="s">
        <v>8</v>
      </c>
      <c r="W34" s="1571">
        <f t="shared" si="14"/>
        <v>100</v>
      </c>
      <c r="X34" s="1564"/>
      <c r="Y34" s="3437"/>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399" t="str">
        <f>A35</f>
        <v>成交单价（元/平方米）</v>
      </c>
      <c r="Q35" s="3399"/>
      <c r="R35" s="3473">
        <f>E35</f>
        <v>3.5</v>
      </c>
      <c r="S35" s="3473"/>
      <c r="T35" s="3473">
        <f>G35</f>
        <v>3</v>
      </c>
      <c r="U35" s="3473"/>
      <c r="V35" s="3473">
        <f>I35</f>
        <v>3.5</v>
      </c>
      <c r="W35" s="3473"/>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399" t="str">
        <f>A36</f>
        <v>比较价格（元/平方米）</v>
      </c>
      <c r="Q36" s="3399"/>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396" t="str">
        <f>A37</f>
        <v>估价对象XX用房的比较价格（楼面单价，元/平方米）</v>
      </c>
      <c r="Q37" s="3397"/>
      <c r="R37" s="3475">
        <f>IF(F1="售价",ROUND(AVERAGE(R36:V36),0),ROUND(AVERAGE(R36:V36),1))</f>
        <v>3.2</v>
      </c>
      <c r="S37" s="3475"/>
      <c r="T37" s="3475"/>
      <c r="U37" s="3475"/>
      <c r="V37" s="3475"/>
      <c r="W37" s="347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3313</v>
      </c>
      <c r="D69" s="3182" t="s">
        <v>3314</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25" t="s">
        <v>2303</v>
      </c>
      <c r="D1" s="3526"/>
      <c r="E1" s="3526"/>
      <c r="F1" s="3526"/>
      <c r="G1" s="3526"/>
      <c r="H1" s="3526"/>
      <c r="I1" s="3526"/>
      <c r="J1" s="3526"/>
      <c r="K1" s="3526"/>
      <c r="L1" s="3526"/>
      <c r="M1" s="3526"/>
      <c r="N1" s="3526"/>
      <c r="O1" s="3526"/>
      <c r="P1" s="3526"/>
      <c r="Q1" s="3526"/>
      <c r="R1" s="3526"/>
      <c r="S1" s="3527"/>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65661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3333</v>
      </c>
      <c r="D1" s="3148" t="s">
        <v>3227</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1005</v>
      </c>
      <c r="C2" s="2053"/>
      <c r="D2" s="2051"/>
      <c r="E2" s="2052"/>
      <c r="F2" s="2052"/>
      <c r="G2" s="1587"/>
      <c r="H2" s="2053"/>
      <c r="I2" s="2053"/>
      <c r="J2" s="2053"/>
      <c r="K2" s="2054"/>
      <c r="L2" s="2053"/>
      <c r="M2" s="2053"/>
    </row>
    <row r="3" spans="1:33" ht="18" customHeight="1" thickBot="1">
      <c r="A3" s="832" t="s">
        <v>1727</v>
      </c>
      <c r="B3" s="833">
        <f ca="1">IF(ISERROR(B2*10000/F43),0,ROUND(B2*10000/F43,0))</f>
        <v>10070</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98</v>
      </c>
      <c r="D6" s="2517" t="s">
        <v>2462</v>
      </c>
      <c r="E6" s="783" t="s">
        <v>1738</v>
      </c>
      <c r="F6" s="784">
        <f ca="1">INDIRECT("'数据-取费表'!u"&amp;$G$1)</f>
        <v>3</v>
      </c>
      <c r="G6" s="1589"/>
      <c r="H6" s="2524" t="s">
        <v>1824</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998</v>
      </c>
      <c r="G7" s="1589"/>
      <c r="H7" s="2509"/>
      <c r="I7" s="3484"/>
      <c r="J7" s="787"/>
      <c r="K7" s="788"/>
      <c r="L7" s="783" t="s">
        <v>1739</v>
      </c>
      <c r="M7" s="784">
        <f ca="1">F7</f>
        <v>998</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2" t="s">
        <v>3278</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438</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299</v>
      </c>
      <c r="D14" s="3226" t="s">
        <v>1745</v>
      </c>
      <c r="E14" s="3227"/>
      <c r="F14" s="804"/>
      <c r="G14" s="1589"/>
      <c r="H14" s="1646" t="s">
        <v>1824</v>
      </c>
      <c r="I14" s="2227" t="s">
        <v>2824</v>
      </c>
      <c r="J14" s="53">
        <f ca="1">C29</f>
        <v>438</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44</v>
      </c>
      <c r="K16" s="1818" t="s">
        <v>1750</v>
      </c>
      <c r="L16" s="3228"/>
      <c r="M16" s="2511"/>
    </row>
    <row r="17" spans="1:33" s="2060" customFormat="1" ht="18" customHeight="1">
      <c r="A17" s="1645" t="s">
        <v>1887</v>
      </c>
      <c r="B17" s="783" t="s">
        <v>652</v>
      </c>
      <c r="C17" s="53">
        <f ca="1">ROUND(F17*(F43+INDIRECT("'数据-取费表'!S"&amp;$G$1))/10000,0)</f>
        <v>22</v>
      </c>
      <c r="D17" s="783" t="s">
        <v>1751</v>
      </c>
      <c r="E17" s="783" t="s">
        <v>1752</v>
      </c>
      <c r="F17" s="56">
        <f>'数据-取费表'!B35</f>
        <v>200</v>
      </c>
      <c r="G17" s="1590"/>
      <c r="H17" s="1646" t="s">
        <v>1824</v>
      </c>
      <c r="I17" s="783" t="s">
        <v>655</v>
      </c>
      <c r="J17" s="53">
        <f ca="1">ROUND(IF(项目基本情况!B11="自然人",J5*M17,J18+J19+J20),0)</f>
        <v>37</v>
      </c>
      <c r="K17" s="3226" t="s">
        <v>1753</v>
      </c>
      <c r="L17" s="3225"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5"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334</v>
      </c>
      <c r="D19" s="260" t="s">
        <v>1757</v>
      </c>
      <c r="E19" s="3230"/>
      <c r="F19" s="56"/>
      <c r="G19" s="1589"/>
      <c r="H19" s="1645" t="s">
        <v>1832</v>
      </c>
      <c r="I19" s="783" t="s">
        <v>1758</v>
      </c>
      <c r="J19" s="53">
        <f ca="1">IF(K19="按租金收入计税",ROUND(J5*M19,1),ROUND(C29*F33*0.7,1))</f>
        <v>36.799999999999997</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0"/>
      <c r="F22" s="56"/>
      <c r="G22" s="1589"/>
      <c r="H22" s="1646" t="s">
        <v>1889</v>
      </c>
      <c r="I22" s="783" t="s">
        <v>1768</v>
      </c>
      <c r="J22" s="53">
        <f ca="1">ROUND(J14*M22,0)</f>
        <v>7</v>
      </c>
      <c r="K22" s="3225"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5"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0"/>
      <c r="F25" s="56"/>
      <c r="G25" s="1589"/>
      <c r="H25" s="1826" t="s">
        <v>1776</v>
      </c>
      <c r="I25" s="3030" t="s">
        <v>2821</v>
      </c>
      <c r="J25" s="791">
        <f ca="1">J5-J16</f>
        <v>-44</v>
      </c>
      <c r="K25" s="2568" t="s">
        <v>1777</v>
      </c>
      <c r="L25" s="2569"/>
      <c r="M25" s="2570"/>
    </row>
    <row r="26" spans="1:33" ht="18" customHeight="1">
      <c r="A26" s="1645" t="s">
        <v>1831</v>
      </c>
      <c r="B26" s="783" t="s">
        <v>2438</v>
      </c>
      <c r="C26" s="53">
        <f ca="1">ROUND((C19+C20)*F26,0)</f>
        <v>51</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438</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8"/>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6" t="s">
        <v>1753</v>
      </c>
      <c r="E31" s="3225"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5"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1" t="s">
        <v>3279</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6.6</v>
      </c>
      <c r="D36" s="3225"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0.7</v>
      </c>
      <c r="D37" s="3225"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1005</v>
      </c>
      <c r="D40" s="813" t="s">
        <v>1781</v>
      </c>
      <c r="E40" s="783" t="s">
        <v>2419</v>
      </c>
      <c r="F40" s="793">
        <f ca="1">INDIRECT("'数据-取费表'!I"&amp;$G$1)</f>
        <v>0.09</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2.5000000000000001E-2</v>
      </c>
      <c r="G42" s="2058"/>
      <c r="H42" s="1984"/>
      <c r="I42" s="846" t="s">
        <v>1821</v>
      </c>
      <c r="J42" s="844">
        <f ca="1">ROUND(C13/C40,3)</f>
        <v>0.436</v>
      </c>
      <c r="K42" s="2078"/>
      <c r="L42" s="1984"/>
      <c r="M42" s="1984"/>
    </row>
    <row r="43" spans="1:18" ht="18" customHeight="1" thickBot="1">
      <c r="A43" s="822" t="s">
        <v>1787</v>
      </c>
      <c r="B43" s="823" t="s">
        <v>1810</v>
      </c>
      <c r="C43" s="824">
        <f ca="1">ROUND(C40*10000/F43,0)</f>
        <v>10070</v>
      </c>
      <c r="D43" s="825" t="s">
        <v>1811</v>
      </c>
      <c r="E43" s="826" t="s">
        <v>1812</v>
      </c>
      <c r="F43" s="827">
        <f ca="1">INDIRECT("'数据-取费表'!k"&amp;$G$1)</f>
        <v>998</v>
      </c>
      <c r="G43" s="2058"/>
      <c r="H43" s="1984"/>
      <c r="I43" s="846" t="s">
        <v>1822</v>
      </c>
      <c r="J43" s="847">
        <f ca="1">1-J42</f>
        <v>0.56400000000000006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-1079</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1005</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438</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566</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499" t="s">
        <v>2962</v>
      </c>
      <c r="L53" s="3500"/>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1005</v>
      </c>
      <c r="R54" s="2423" t="s">
        <v>2392</v>
      </c>
    </row>
    <row r="55" spans="1:18" s="2055" customFormat="1" ht="18" customHeight="1" thickTop="1" thickBot="1">
      <c r="A55" s="796">
        <v>2</v>
      </c>
      <c r="B55" s="797" t="s">
        <v>643</v>
      </c>
      <c r="C55" s="798">
        <f ca="1">C13</f>
        <v>438</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438</v>
      </c>
      <c r="D56" s="3225"/>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30"/>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1005</v>
      </c>
      <c r="R57" s="2419" t="s">
        <v>2380</v>
      </c>
    </row>
    <row r="58" spans="1:18" s="2055" customFormat="1" ht="28.5" customHeight="1" thickBot="1">
      <c r="A58" s="1646" t="s">
        <v>1824</v>
      </c>
      <c r="B58" s="783" t="s">
        <v>655</v>
      </c>
      <c r="C58" s="53">
        <f ca="1">ROUND(IF(项目基本情况!B11="自然人",C47*F58,C59+C60+C61),1)</f>
        <v>0.1</v>
      </c>
      <c r="D58" s="3226" t="s">
        <v>656</v>
      </c>
      <c r="E58" s="3225"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5"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5"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6.6</v>
      </c>
      <c r="D63" s="3225" t="s">
        <v>1803</v>
      </c>
      <c r="E63" s="783" t="s">
        <v>1747</v>
      </c>
      <c r="F63" s="816">
        <f t="shared" ca="1" si="0"/>
        <v>1.4999999999999999E-2</v>
      </c>
      <c r="I63" s="2405" t="s">
        <v>2370</v>
      </c>
      <c r="J63" s="2406">
        <v>70</v>
      </c>
      <c r="K63" s="2406">
        <v>50</v>
      </c>
      <c r="L63" s="2406">
        <v>80</v>
      </c>
      <c r="M63" s="3122">
        <v>0.02</v>
      </c>
      <c r="O63" s="2418" t="s">
        <v>2391</v>
      </c>
      <c r="P63" s="2419" t="s">
        <v>2408</v>
      </c>
      <c r="Q63" s="2420">
        <f ca="1">Q57+Q58</f>
        <v>1005</v>
      </c>
      <c r="R63" s="2423" t="s">
        <v>2392</v>
      </c>
    </row>
    <row r="64" spans="1:18" s="2055" customFormat="1" ht="16.5" thickBot="1">
      <c r="A64" s="1646" t="s">
        <v>1890</v>
      </c>
      <c r="B64" s="783" t="s">
        <v>678</v>
      </c>
      <c r="C64" s="53">
        <f ca="1">ROUND(C55*F64,1)</f>
        <v>0.7</v>
      </c>
      <c r="D64" s="3225"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3225"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-7</v>
      </c>
      <c r="D66" s="3226" t="s">
        <v>699</v>
      </c>
      <c r="E66" s="3229"/>
      <c r="F66" s="819"/>
      <c r="K66" s="2082"/>
      <c r="O66" s="2418" t="s">
        <v>2379</v>
      </c>
      <c r="P66" s="2419" t="s">
        <v>2405</v>
      </c>
      <c r="Q66" s="2420">
        <f ca="1">C40+J29</f>
        <v>1005</v>
      </c>
      <c r="R66" s="2419" t="s">
        <v>2380</v>
      </c>
    </row>
    <row r="67" spans="1:18" s="2055" customFormat="1" ht="20.25" thickBot="1">
      <c r="A67" s="780" t="s">
        <v>1780</v>
      </c>
      <c r="B67" s="2228" t="s">
        <v>2300</v>
      </c>
      <c r="C67" s="782">
        <f ca="1">ROUND(C66*(1-((1+F69)/(1+F67))^F68)/(F67-F69),0)</f>
        <v>-74</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566</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-741</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438</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1005</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3140</v>
      </c>
      <c r="B1" s="3173" t="s">
        <v>3141</v>
      </c>
      <c r="C1" s="3173" t="s">
        <v>3142</v>
      </c>
      <c r="D1" s="3173" t="s">
        <v>3143</v>
      </c>
      <c r="E1" s="3173" t="s">
        <v>3144</v>
      </c>
      <c r="F1" s="3173" t="s">
        <v>3145</v>
      </c>
      <c r="G1" s="3173" t="s">
        <v>3146</v>
      </c>
      <c r="H1" s="3173" t="s">
        <v>3147</v>
      </c>
      <c r="I1" s="3173" t="s">
        <v>3148</v>
      </c>
      <c r="J1" s="3173" t="s">
        <v>3149</v>
      </c>
    </row>
    <row r="2" spans="1:11">
      <c r="A2" s="3186" t="s">
        <v>3215</v>
      </c>
      <c r="B2" s="3173"/>
      <c r="C2" s="3173"/>
      <c r="D2" s="3173"/>
      <c r="E2" s="3173"/>
      <c r="F2" s="3173"/>
      <c r="G2" s="3173"/>
      <c r="H2" s="3173"/>
      <c r="I2" s="3173"/>
      <c r="J2" s="3173"/>
    </row>
    <row r="3" spans="1:11">
      <c r="A3" s="3173" t="s">
        <v>3150</v>
      </c>
      <c r="B3" s="3173" t="s">
        <v>3151</v>
      </c>
      <c r="C3" s="3173" t="s">
        <v>2817</v>
      </c>
      <c r="D3" s="3173" t="s">
        <v>3152</v>
      </c>
      <c r="E3" s="3173" t="s">
        <v>3153</v>
      </c>
      <c r="F3" s="3173" t="s">
        <v>3076</v>
      </c>
      <c r="G3" s="3173" t="s">
        <v>3154</v>
      </c>
      <c r="H3" s="3173" t="s">
        <v>3155</v>
      </c>
      <c r="I3" s="3173" t="s">
        <v>3156</v>
      </c>
      <c r="J3" s="3173" t="s">
        <v>3157</v>
      </c>
      <c r="K3">
        <f>J3*H3</f>
        <v>422598</v>
      </c>
    </row>
    <row r="4" spans="1:11">
      <c r="A4" s="3173" t="s">
        <v>3150</v>
      </c>
      <c r="B4" s="3173" t="s">
        <v>3151</v>
      </c>
      <c r="C4" s="3173" t="s">
        <v>2817</v>
      </c>
      <c r="D4" s="3173" t="s">
        <v>3158</v>
      </c>
      <c r="E4" s="3173" t="s">
        <v>3153</v>
      </c>
      <c r="F4" s="3173" t="s">
        <v>3076</v>
      </c>
      <c r="G4" s="3173" t="s">
        <v>3154</v>
      </c>
      <c r="H4" s="3173" t="s">
        <v>3155</v>
      </c>
      <c r="I4" s="3173" t="s">
        <v>3156</v>
      </c>
      <c r="J4" s="3173" t="s">
        <v>3157</v>
      </c>
    </row>
    <row r="5" spans="1:11" s="3188" customFormat="1">
      <c r="A5" s="3175" t="s">
        <v>3159</v>
      </c>
      <c r="B5" s="3175" t="s">
        <v>3151</v>
      </c>
      <c r="C5" s="3175" t="s">
        <v>2817</v>
      </c>
      <c r="D5" s="3175" t="s">
        <v>3160</v>
      </c>
      <c r="E5" s="3175" t="s">
        <v>3153</v>
      </c>
      <c r="F5" s="3175" t="s">
        <v>3076</v>
      </c>
      <c r="G5" s="3175" t="s">
        <v>3154</v>
      </c>
      <c r="H5" s="3175" t="s">
        <v>3155</v>
      </c>
      <c r="I5" s="3175" t="s">
        <v>3161</v>
      </c>
      <c r="J5" s="3175" t="s">
        <v>3162</v>
      </c>
    </row>
    <row r="6" spans="1:11">
      <c r="A6" s="3173" t="s">
        <v>3163</v>
      </c>
      <c r="B6" s="3173" t="s">
        <v>3151</v>
      </c>
      <c r="C6" s="3173" t="s">
        <v>2817</v>
      </c>
      <c r="D6" s="3173" t="s">
        <v>3164</v>
      </c>
      <c r="E6" s="3173" t="s">
        <v>3153</v>
      </c>
      <c r="F6" s="3173" t="s">
        <v>3076</v>
      </c>
      <c r="G6" s="3173" t="s">
        <v>3154</v>
      </c>
      <c r="H6" s="3173" t="s">
        <v>3165</v>
      </c>
      <c r="I6" s="3173" t="s">
        <v>3166</v>
      </c>
      <c r="J6" s="3173" t="s">
        <v>3167</v>
      </c>
    </row>
    <row r="7" spans="1:11">
      <c r="A7" s="3173" t="s">
        <v>3168</v>
      </c>
      <c r="B7" s="3173" t="s">
        <v>3151</v>
      </c>
      <c r="C7" s="3173" t="s">
        <v>2817</v>
      </c>
      <c r="D7" s="3173" t="s">
        <v>3169</v>
      </c>
      <c r="E7" s="3173" t="s">
        <v>3153</v>
      </c>
      <c r="F7" s="3173" t="s">
        <v>3076</v>
      </c>
      <c r="G7" s="3173" t="s">
        <v>3154</v>
      </c>
      <c r="H7" s="3173" t="s">
        <v>3165</v>
      </c>
      <c r="I7" s="3173" t="s">
        <v>3170</v>
      </c>
      <c r="J7" s="3173" t="s">
        <v>3171</v>
      </c>
    </row>
    <row r="8" spans="1:11">
      <c r="A8" s="3187" t="s">
        <v>3216</v>
      </c>
      <c r="B8" s="3173"/>
      <c r="C8" s="3173"/>
      <c r="D8" s="3173"/>
      <c r="E8" s="3173"/>
      <c r="F8" s="3173"/>
      <c r="G8" s="3173"/>
      <c r="H8" s="3173"/>
      <c r="I8" s="3173"/>
      <c r="J8" s="3173"/>
    </row>
    <row r="9" spans="1:11">
      <c r="A9" s="3173" t="s">
        <v>3172</v>
      </c>
      <c r="B9" s="3173" t="s">
        <v>3173</v>
      </c>
      <c r="C9" s="3173" t="s">
        <v>2817</v>
      </c>
      <c r="D9" s="3173" t="s">
        <v>3174</v>
      </c>
      <c r="E9" s="3173" t="s">
        <v>3175</v>
      </c>
      <c r="F9" s="3173" t="s">
        <v>3076</v>
      </c>
      <c r="G9" s="3173" t="s">
        <v>3154</v>
      </c>
      <c r="H9" s="3173" t="s">
        <v>3176</v>
      </c>
      <c r="I9" s="3173" t="s">
        <v>3177</v>
      </c>
      <c r="J9" s="3173" t="s">
        <v>3178</v>
      </c>
    </row>
    <row r="10" spans="1:11" s="3188" customFormat="1">
      <c r="A10" s="3175" t="s">
        <v>3179</v>
      </c>
      <c r="B10" s="3175" t="s">
        <v>3180</v>
      </c>
      <c r="C10" s="3175" t="s">
        <v>2817</v>
      </c>
      <c r="D10" s="3175" t="s">
        <v>3181</v>
      </c>
      <c r="E10" s="3175" t="s">
        <v>3182</v>
      </c>
      <c r="F10" s="3175" t="s">
        <v>3076</v>
      </c>
      <c r="G10" s="3175" t="s">
        <v>3154</v>
      </c>
      <c r="H10" s="3175" t="s">
        <v>3183</v>
      </c>
      <c r="I10" s="3175" t="s">
        <v>3184</v>
      </c>
      <c r="J10" s="3175" t="s">
        <v>3185</v>
      </c>
    </row>
    <row r="11" spans="1:11">
      <c r="A11" s="3186" t="s">
        <v>3225</v>
      </c>
      <c r="B11" s="3173"/>
      <c r="C11" s="3173"/>
      <c r="D11" s="3173"/>
      <c r="E11" s="3173"/>
      <c r="F11" s="3173"/>
      <c r="G11" s="3173"/>
      <c r="H11" s="3173"/>
      <c r="I11" s="3173"/>
      <c r="J11" s="3173"/>
    </row>
    <row r="12" spans="1:11">
      <c r="A12" s="3173" t="s">
        <v>3186</v>
      </c>
      <c r="B12" s="3173" t="s">
        <v>3187</v>
      </c>
      <c r="C12" s="3173" t="s">
        <v>2817</v>
      </c>
      <c r="D12" s="3173" t="s">
        <v>3188</v>
      </c>
      <c r="E12" s="3173" t="s">
        <v>3189</v>
      </c>
      <c r="F12" s="3173" t="s">
        <v>3076</v>
      </c>
      <c r="G12" s="3173" t="s">
        <v>3154</v>
      </c>
      <c r="H12" s="3173" t="s">
        <v>3190</v>
      </c>
      <c r="I12" s="3173" t="s">
        <v>3190</v>
      </c>
      <c r="J12" s="3173" t="s">
        <v>3191</v>
      </c>
    </row>
    <row r="13" spans="1:11" s="3193" customFormat="1">
      <c r="A13" s="3192" t="s">
        <v>3192</v>
      </c>
      <c r="B13" s="3192" t="s">
        <v>3187</v>
      </c>
      <c r="C13" s="3192" t="s">
        <v>2817</v>
      </c>
      <c r="D13" s="3192" t="s">
        <v>3193</v>
      </c>
      <c r="E13" s="3192" t="s">
        <v>3189</v>
      </c>
      <c r="F13" s="3192" t="s">
        <v>3076</v>
      </c>
      <c r="G13" s="3192" t="s">
        <v>3154</v>
      </c>
      <c r="H13" s="3192" t="s">
        <v>3194</v>
      </c>
      <c r="I13" s="3192" t="s">
        <v>3190</v>
      </c>
      <c r="J13" s="3192" t="s">
        <v>3195</v>
      </c>
    </row>
    <row r="14" spans="1:11">
      <c r="A14" s="3173" t="s">
        <v>3196</v>
      </c>
      <c r="B14" s="3173" t="s">
        <v>3187</v>
      </c>
      <c r="C14" s="3173" t="s">
        <v>2817</v>
      </c>
      <c r="D14" s="3173" t="s">
        <v>3197</v>
      </c>
      <c r="E14" s="3173" t="s">
        <v>3189</v>
      </c>
      <c r="F14" s="3173" t="s">
        <v>3076</v>
      </c>
      <c r="G14" s="3173" t="s">
        <v>3154</v>
      </c>
      <c r="H14" s="3173" t="s">
        <v>3198</v>
      </c>
      <c r="I14" s="3173" t="s">
        <v>3190</v>
      </c>
      <c r="J14" s="3173" t="s">
        <v>3199</v>
      </c>
    </row>
    <row r="15" spans="1:11">
      <c r="A15" s="3173" t="s">
        <v>3196</v>
      </c>
      <c r="B15" s="3173" t="s">
        <v>3187</v>
      </c>
      <c r="C15" s="3173" t="s">
        <v>2817</v>
      </c>
      <c r="D15" s="3173" t="s">
        <v>3200</v>
      </c>
      <c r="E15" s="3173" t="s">
        <v>3189</v>
      </c>
      <c r="F15" s="3173" t="s">
        <v>3076</v>
      </c>
      <c r="G15" s="3173" t="s">
        <v>3154</v>
      </c>
      <c r="H15" s="3173" t="s">
        <v>3183</v>
      </c>
      <c r="I15" s="3173" t="s">
        <v>3190</v>
      </c>
      <c r="J15" s="3173" t="s">
        <v>3201</v>
      </c>
    </row>
    <row r="16" spans="1:11">
      <c r="A16" s="3173" t="s">
        <v>3202</v>
      </c>
      <c r="B16" s="3173" t="s">
        <v>3187</v>
      </c>
      <c r="C16" s="3173" t="s">
        <v>2817</v>
      </c>
      <c r="D16" s="3173" t="s">
        <v>3203</v>
      </c>
      <c r="E16" s="3173" t="s">
        <v>3189</v>
      </c>
      <c r="F16" s="3173" t="s">
        <v>3076</v>
      </c>
      <c r="G16" s="3173" t="s">
        <v>3154</v>
      </c>
      <c r="H16" s="3173" t="s">
        <v>3204</v>
      </c>
      <c r="I16" s="3173" t="s">
        <v>3198</v>
      </c>
      <c r="J16" s="3173" t="s">
        <v>3205</v>
      </c>
    </row>
    <row r="17" spans="1:10" s="3188" customFormat="1">
      <c r="A17" s="3175" t="s">
        <v>3202</v>
      </c>
      <c r="B17" s="3175" t="s">
        <v>3187</v>
      </c>
      <c r="C17" s="3175" t="s">
        <v>2817</v>
      </c>
      <c r="D17" s="3175" t="s">
        <v>3206</v>
      </c>
      <c r="E17" s="3175" t="s">
        <v>3189</v>
      </c>
      <c r="F17" s="3175" t="s">
        <v>3076</v>
      </c>
      <c r="G17" s="3175" t="s">
        <v>3154</v>
      </c>
      <c r="H17" s="3175" t="s">
        <v>3183</v>
      </c>
      <c r="I17" s="3175" t="s">
        <v>3190</v>
      </c>
      <c r="J17" s="3175" t="s">
        <v>3207</v>
      </c>
    </row>
    <row r="18" spans="1:10">
      <c r="A18" s="3173" t="s">
        <v>3202</v>
      </c>
      <c r="B18" s="3173" t="s">
        <v>3187</v>
      </c>
      <c r="C18" s="3173" t="s">
        <v>2817</v>
      </c>
      <c r="D18" s="3173" t="s">
        <v>3208</v>
      </c>
      <c r="E18" s="3173" t="s">
        <v>3189</v>
      </c>
      <c r="F18" s="3173" t="s">
        <v>3076</v>
      </c>
      <c r="G18" s="3173" t="s">
        <v>3154</v>
      </c>
      <c r="H18" s="3173" t="s">
        <v>3198</v>
      </c>
      <c r="I18" s="3173" t="s">
        <v>3190</v>
      </c>
      <c r="J18" s="3173" t="s">
        <v>3199</v>
      </c>
    </row>
    <row r="19" spans="1:10">
      <c r="A19" s="3173" t="s">
        <v>3202</v>
      </c>
      <c r="B19" s="3173" t="s">
        <v>3187</v>
      </c>
      <c r="C19" s="3173" t="s">
        <v>2817</v>
      </c>
      <c r="D19" s="3173" t="s">
        <v>3209</v>
      </c>
      <c r="E19" s="3173" t="s">
        <v>3189</v>
      </c>
      <c r="F19" s="3173" t="s">
        <v>3076</v>
      </c>
      <c r="G19" s="3173" t="s">
        <v>3154</v>
      </c>
      <c r="H19" s="3173" t="s">
        <v>3198</v>
      </c>
      <c r="I19" s="3173" t="s">
        <v>3190</v>
      </c>
      <c r="J19" s="3173" t="s">
        <v>3199</v>
      </c>
    </row>
    <row r="20" spans="1:10">
      <c r="A20" s="3173" t="s">
        <v>3202</v>
      </c>
      <c r="B20" s="3173" t="s">
        <v>3210</v>
      </c>
      <c r="C20" s="3173" t="s">
        <v>2817</v>
      </c>
      <c r="D20" s="3173" t="s">
        <v>3211</v>
      </c>
      <c r="E20" s="3173" t="s">
        <v>3212</v>
      </c>
      <c r="F20" s="3173" t="s">
        <v>3076</v>
      </c>
      <c r="G20" s="3173" t="s">
        <v>3154</v>
      </c>
      <c r="H20" s="3173" t="s">
        <v>3194</v>
      </c>
      <c r="I20" s="3173" t="s">
        <v>3204</v>
      </c>
      <c r="J20" s="3173" t="s">
        <v>3213</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3263</v>
      </c>
      <c r="L2" s="3195" t="s">
        <v>3262</v>
      </c>
      <c r="M2" s="3195" t="s">
        <v>3268</v>
      </c>
      <c r="N2" s="3195" t="s">
        <v>3267</v>
      </c>
    </row>
    <row r="3" spans="11:14">
      <c r="K3" s="3196">
        <v>1</v>
      </c>
      <c r="L3" s="3195" t="s">
        <v>3264</v>
      </c>
      <c r="M3" s="3195" t="s">
        <v>3271</v>
      </c>
      <c r="N3" s="3195" t="s">
        <v>3272</v>
      </c>
    </row>
    <row r="4" spans="11:14">
      <c r="K4" s="3196">
        <v>2</v>
      </c>
      <c r="L4" s="3195" t="s">
        <v>3265</v>
      </c>
      <c r="M4" s="3195" t="s">
        <v>3270</v>
      </c>
      <c r="N4" s="3195" t="s">
        <v>3269</v>
      </c>
    </row>
    <row r="5" spans="11:14" ht="27" customHeight="1">
      <c r="K5" s="3532">
        <v>3</v>
      </c>
      <c r="L5" s="3529" t="s">
        <v>3266</v>
      </c>
      <c r="M5" s="3528" t="s">
        <v>3274</v>
      </c>
      <c r="N5" s="3195" t="s">
        <v>3275</v>
      </c>
    </row>
    <row r="6" spans="11:14">
      <c r="K6" s="3532"/>
      <c r="L6" s="3530"/>
      <c r="M6" s="3528"/>
      <c r="N6" s="3197" t="s">
        <v>3276</v>
      </c>
    </row>
    <row r="7" spans="11:14">
      <c r="K7" s="3532"/>
      <c r="L7" s="3531"/>
      <c r="M7" s="3528"/>
      <c r="N7" s="3197" t="s">
        <v>3277</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2037</v>
      </c>
      <c r="B1" s="3236"/>
      <c r="C1" s="3236"/>
      <c r="D1" s="3236"/>
      <c r="E1" s="3236"/>
      <c r="F1" s="3236"/>
      <c r="G1" s="3236"/>
      <c r="H1" s="3236"/>
      <c r="I1" s="3236"/>
      <c r="J1" s="3236"/>
      <c r="K1" s="3236"/>
      <c r="L1" s="3236"/>
      <c r="M1" s="3236"/>
      <c r="N1" s="3236"/>
      <c r="O1" s="3236"/>
      <c r="P1" s="3236"/>
      <c r="Q1" s="3236"/>
      <c r="R1" s="3236"/>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7" t="s">
        <v>2028</v>
      </c>
      <c r="B3" s="3237" t="s">
        <v>2730</v>
      </c>
      <c r="C3" s="3238" t="s">
        <v>2029</v>
      </c>
      <c r="D3" s="3237" t="s">
        <v>2734</v>
      </c>
      <c r="E3" s="3232" t="s">
        <v>2030</v>
      </c>
      <c r="F3" s="3232"/>
      <c r="G3" s="3232"/>
      <c r="H3" s="3232" t="s">
        <v>2031</v>
      </c>
      <c r="I3" s="3232"/>
      <c r="J3" s="3232"/>
      <c r="K3" s="3238" t="s">
        <v>2032</v>
      </c>
      <c r="L3" s="3238" t="s">
        <v>2033</v>
      </c>
      <c r="M3" s="3237" t="s">
        <v>2731</v>
      </c>
      <c r="N3" s="3239" t="str">
        <f>"（分摊）"&amp;项目基本情况!B16&amp;"国有建设用地使用权面积/㎡"</f>
        <v>（分摊）出让国有建设用地使用权面积/㎡</v>
      </c>
      <c r="O3" s="3237" t="s">
        <v>2062</v>
      </c>
      <c r="P3" s="3238" t="s">
        <v>2042</v>
      </c>
      <c r="Q3" s="3238" t="s">
        <v>2063</v>
      </c>
      <c r="R3" s="3238" t="s">
        <v>2034</v>
      </c>
    </row>
    <row r="4" spans="1:18" ht="36.75" customHeight="1">
      <c r="A4" s="3237"/>
      <c r="B4" s="3237"/>
      <c r="C4" s="3238"/>
      <c r="D4" s="3237"/>
      <c r="E4" s="2669" t="s">
        <v>2041</v>
      </c>
      <c r="F4" s="2669" t="s">
        <v>2743</v>
      </c>
      <c r="G4" s="2669" t="s">
        <v>2035</v>
      </c>
      <c r="H4" s="2669" t="s">
        <v>2036</v>
      </c>
      <c r="I4" s="2669" t="s">
        <v>2744</v>
      </c>
      <c r="J4" s="2669" t="s">
        <v>2035</v>
      </c>
      <c r="K4" s="3238"/>
      <c r="L4" s="3238"/>
      <c r="M4" s="3237"/>
      <c r="N4" s="3239"/>
      <c r="O4" s="3237"/>
      <c r="P4" s="3238"/>
      <c r="Q4" s="3238"/>
      <c r="R4" s="3238"/>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65661</v>
      </c>
      <c r="P5" s="1807">
        <f ca="1">结果表!E42</f>
        <v>111658</v>
      </c>
      <c r="Q5" s="1807">
        <f ca="1">结果表!D42</f>
        <v>22663</v>
      </c>
      <c r="R5" s="1808">
        <f ca="1">结果表!C42</f>
        <v>148806</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09">
        <f ca="1">结果表!O39</f>
        <v>148806</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09"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1" t="s">
        <v>2064</v>
      </c>
      <c r="B1" s="3241"/>
      <c r="C1" s="3241"/>
      <c r="D1" s="3241"/>
    </row>
    <row r="2" spans="1:4" ht="47.25" customHeight="1">
      <c r="A2" s="3242" t="str">
        <f>"1.权利限制："&amp;项目基本情况!L24&amp;"未设定租赁等其他他项权利。"</f>
        <v>1.权利限制：根据估价对象《不动产权证书》复印件、，截至估价期日，估价对象抵押权未见登记。未设定租赁等其他他项权利。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1"/>
      <c r="C3" s="3241"/>
      <c r="D3" s="3241"/>
    </row>
    <row r="4" spans="1:4" ht="36.75" customHeight="1">
      <c r="A4" s="3241"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1"/>
      <c r="C4" s="3241"/>
      <c r="D4" s="3241"/>
    </row>
    <row r="5" spans="1:4">
      <c r="A5" s="3240" t="s">
        <v>2065</v>
      </c>
      <c r="B5" s="3240"/>
      <c r="C5" s="3240"/>
      <c r="D5" s="3240"/>
    </row>
    <row r="6" spans="1:4">
      <c r="A6" s="3241" t="s">
        <v>2043</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0" t="s">
        <v>2067</v>
      </c>
      <c r="B12" s="3240"/>
      <c r="C12" s="3240"/>
      <c r="D12" s="3240"/>
    </row>
    <row r="13" spans="1:4">
      <c r="A13" s="3244" t="s">
        <v>2745</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1" t="s">
        <v>2698</v>
      </c>
      <c r="B23" s="3241"/>
      <c r="C23" s="3241"/>
      <c r="D23" s="3241"/>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2" t="s">
        <v>53</v>
      </c>
      <c r="B15" s="3253" t="s">
        <v>845</v>
      </c>
      <c r="C15" s="3249"/>
    </row>
    <row r="16" spans="1:7" ht="14.25">
      <c r="A16" s="3252"/>
      <c r="B16" s="3250" t="s">
        <v>54</v>
      </c>
      <c r="C16" s="1170" t="s">
        <v>53</v>
      </c>
    </row>
    <row r="17" spans="1:3" ht="14.25">
      <c r="A17" s="3252"/>
      <c r="B17" s="3250"/>
      <c r="C17" s="1170" t="s">
        <v>55</v>
      </c>
    </row>
    <row r="18" spans="1:3" ht="14.25">
      <c r="A18" s="3252"/>
      <c r="B18" s="3250"/>
      <c r="C18" s="1170" t="s">
        <v>56</v>
      </c>
    </row>
    <row r="19" spans="1:3" ht="14.25">
      <c r="A19" s="3252"/>
      <c r="B19" s="3248" t="s">
        <v>57</v>
      </c>
      <c r="C19" s="3249"/>
    </row>
    <row r="20" spans="1:3" ht="14.25">
      <c r="A20" s="1171" t="s">
        <v>58</v>
      </c>
      <c r="B20" s="1172"/>
      <c r="C20" s="1173"/>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4" t="s">
        <v>836</v>
      </c>
    </row>
    <row r="25" spans="1:3" ht="14.25">
      <c r="A25" s="3251"/>
      <c r="B25" s="3255"/>
      <c r="C25" s="1174" t="s">
        <v>837</v>
      </c>
    </row>
    <row r="26" spans="1:3" ht="14.25">
      <c r="A26" s="3251"/>
      <c r="B26" s="3255"/>
      <c r="C26" s="1174" t="s">
        <v>838</v>
      </c>
    </row>
    <row r="27" spans="1:3" ht="14.25">
      <c r="A27" s="3251"/>
      <c r="B27" s="3255"/>
      <c r="C27" s="1174" t="s">
        <v>839</v>
      </c>
    </row>
    <row r="28" spans="1:3" ht="14.25">
      <c r="A28" s="3251"/>
      <c r="B28" s="3255"/>
      <c r="C28" s="1174" t="s">
        <v>840</v>
      </c>
    </row>
    <row r="29" spans="1:3" ht="14.25">
      <c r="A29" s="3251"/>
      <c r="B29" s="3255"/>
      <c r="C29" s="1174" t="s">
        <v>841</v>
      </c>
    </row>
    <row r="30" spans="1:3" ht="14.25">
      <c r="A30" s="3251"/>
      <c r="B30" s="3255"/>
      <c r="C30" s="1174" t="s">
        <v>842</v>
      </c>
    </row>
    <row r="31" spans="1:3" ht="14.25">
      <c r="A31" s="3251"/>
      <c r="B31" s="3255"/>
      <c r="C31" s="1174" t="s">
        <v>843</v>
      </c>
    </row>
    <row r="32" spans="1:3" ht="14.25">
      <c r="A32" s="3251"/>
      <c r="B32" s="3255"/>
      <c r="C32" s="1174" t="s">
        <v>1646</v>
      </c>
    </row>
    <row r="33" spans="1:3" ht="14.25">
      <c r="A33" s="3251"/>
      <c r="B33" s="3245" t="s">
        <v>1652</v>
      </c>
      <c r="C33" s="1174" t="s">
        <v>1647</v>
      </c>
    </row>
    <row r="34" spans="1:3" ht="14.25">
      <c r="A34" s="3251"/>
      <c r="B34" s="3246"/>
      <c r="C34" s="1179" t="s">
        <v>1648</v>
      </c>
    </row>
    <row r="35" spans="1:3" ht="14.25">
      <c r="A35" s="3251"/>
      <c r="B35" s="3246"/>
      <c r="C35" s="1180" t="s">
        <v>1649</v>
      </c>
    </row>
    <row r="36" spans="1:3" ht="14.25">
      <c r="A36" s="3251"/>
      <c r="B36" s="3246"/>
      <c r="C36" s="1180" t="s">
        <v>1650</v>
      </c>
    </row>
    <row r="37" spans="1:3" ht="14.25">
      <c r="A37" s="3251"/>
      <c r="B37" s="324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43241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3133" t="s">
        <v>3336</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8"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8"/>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8"/>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8"/>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8"/>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2018-05-21T07:38:49Z</dcterms:modified>
</cp:coreProperties>
</file>