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成本法 (元)" sheetId="69" state="hidden"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案例信息"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18">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0" i="1" l="1"/>
  <c r="E104" i="33" l="1"/>
  <c r="F104" i="33"/>
  <c r="G104" i="33"/>
  <c r="D104" i="33"/>
  <c r="I10" i="80"/>
  <c r="J13" i="80"/>
  <c r="J12" i="80"/>
  <c r="I14" i="80"/>
  <c r="H14" i="80"/>
  <c r="H10" i="80"/>
  <c r="H9" i="80"/>
  <c r="H8" i="80"/>
  <c r="C33" i="33"/>
  <c r="B29" i="1"/>
  <c r="C88" i="9" l="1"/>
  <c r="M22" i="1"/>
  <c r="L22" i="1"/>
  <c r="B59" i="1" l="1"/>
  <c r="I91" i="9" l="1"/>
  <c r="G22" i="4" l="1"/>
  <c r="J52" i="67" l="1"/>
  <c r="G89" i="33"/>
  <c r="E89" i="33"/>
  <c r="F89" i="33"/>
  <c r="D89" i="33"/>
  <c r="O19" i="1"/>
  <c r="N19" i="1"/>
  <c r="N17" i="1"/>
  <c r="G23" i="4"/>
  <c r="J49" i="67" l="1"/>
  <c r="AD19" i="1"/>
  <c r="AD21" i="1" s="1"/>
  <c r="N18" i="1"/>
  <c r="N6" i="1" s="1"/>
  <c r="I7" i="79"/>
  <c r="Y6" i="1" l="1"/>
  <c r="C36" i="33"/>
  <c r="E36" i="33" s="1"/>
  <c r="G36" i="33" s="1"/>
  <c r="I36" i="33"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6" s="1"/>
  <c r="C46" i="36" s="1"/>
  <c r="D46" i="36" s="1"/>
  <c r="E46" i="36" s="1"/>
  <c r="F46" i="36" s="1"/>
  <c r="G46" i="36" s="1"/>
  <c r="H46" i="36" s="1"/>
  <c r="I46" i="36" s="1"/>
  <c r="E15" i="4"/>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A19" i="3" s="1"/>
  <c r="BB19" i="3"/>
  <c r="AX19" i="3"/>
  <c r="AW19" i="3"/>
  <c r="AV19" i="3"/>
  <c r="AC19" i="3"/>
  <c r="H19" i="3"/>
  <c r="BT18" i="3"/>
  <c r="BS18" i="3"/>
  <c r="BR18" i="3"/>
  <c r="BQ18" i="3"/>
  <c r="BP18" i="3"/>
  <c r="BO18" i="3"/>
  <c r="BN18" i="3"/>
  <c r="BL18" i="3" s="1"/>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G14" i="3" s="1"/>
  <c r="AC14"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s="1"/>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H15" i="3" s="1"/>
  <c r="G15" i="3" s="1"/>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s="1"/>
  <c r="H29" i="33"/>
  <c r="U29" i="33" s="1"/>
  <c r="F29" i="33"/>
  <c r="S29" i="33" s="1"/>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AB44" i="33" s="1"/>
  <c r="J44" i="33"/>
  <c r="AC44" i="33" s="1"/>
  <c r="F44" i="33"/>
  <c r="S44" i="33" s="1"/>
  <c r="J46" i="33"/>
  <c r="AC46" i="33" s="1"/>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AA14" i="33"/>
  <c r="J36" i="37"/>
  <c r="AC36" i="37"/>
  <c r="G105" i="37"/>
  <c r="J10" i="36"/>
  <c r="AC10" i="36" s="1"/>
  <c r="AB30" i="21"/>
  <c r="AA14" i="37"/>
  <c r="W31" i="34"/>
  <c r="AC13" i="36"/>
  <c r="W13" i="36"/>
  <c r="S11" i="36"/>
  <c r="AB46" i="34"/>
  <c r="AC30" i="34"/>
  <c r="AA14" i="34"/>
  <c r="S45" i="33"/>
  <c r="AB45" i="33"/>
  <c r="AB31" i="33"/>
  <c r="U31"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U42" i="33" s="1"/>
  <c r="J43" i="33"/>
  <c r="W43" i="33" s="1"/>
  <c r="S28" i="31"/>
  <c r="S27" i="31"/>
  <c r="S26" i="31"/>
  <c r="U14" i="40"/>
  <c r="U35" i="35"/>
  <c r="AA12" i="35"/>
  <c r="W23" i="35"/>
  <c r="W14" i="37"/>
  <c r="AB28" i="37"/>
  <c r="U33" i="37"/>
  <c r="U39" i="37"/>
  <c r="W26" i="37"/>
  <c r="U26" i="37"/>
  <c r="W47" i="34"/>
  <c r="AB13" i="34"/>
  <c r="AC36" i="34"/>
  <c r="AA13" i="33"/>
  <c r="AC31" i="33"/>
  <c r="AC45"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Z549" i="3"/>
  <c r="AZ506" i="3"/>
  <c r="AZ496" i="3"/>
  <c r="G548" i="3"/>
  <c r="G538" i="3"/>
  <c r="G520" i="3"/>
  <c r="G502" i="3"/>
  <c r="BS5" i="3"/>
  <c r="F28" i="6" s="1"/>
  <c r="BP5" i="3"/>
  <c r="BN5" i="3"/>
  <c r="AZ343" i="3"/>
  <c r="BK5" i="3"/>
  <c r="BI5" i="3"/>
  <c r="BG5" i="3"/>
  <c r="BE5" i="3"/>
  <c r="G17" i="3"/>
  <c r="BA17" i="3"/>
  <c r="BT5"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7" i="3"/>
  <c r="AZ17" i="3" s="1"/>
  <c r="BL13" i="3"/>
  <c r="J56" i="9"/>
  <c r="J57" i="9" s="1"/>
  <c r="J59" i="9" s="1"/>
  <c r="J61" i="9" s="1"/>
  <c r="A24" i="51"/>
  <c r="B18" i="72" s="1"/>
  <c r="U29" i="34"/>
  <c r="E5" i="6"/>
  <c r="E32" i="6"/>
  <c r="K1" i="12"/>
  <c r="E19" i="69"/>
  <c r="E19" i="68"/>
  <c r="E19" i="11"/>
  <c r="E1" i="73"/>
  <c r="G22" i="69"/>
  <c r="G22" i="68"/>
  <c r="G26" i="12"/>
  <c r="G22" i="11"/>
  <c r="C6" i="43"/>
  <c r="B19" i="53"/>
  <c r="B37" i="72" s="1"/>
  <c r="C7" i="39"/>
  <c r="C67" i="39" s="1"/>
  <c r="C7" i="21"/>
  <c r="C7" i="40"/>
  <c r="C63" i="40" s="1"/>
  <c r="C52" i="37"/>
  <c r="D52" i="37" s="1"/>
  <c r="A4" i="51"/>
  <c r="B6" i="72"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S30" i="33"/>
  <c r="AA30" i="33"/>
  <c r="AC14" i="33"/>
  <c r="W14" i="33"/>
  <c r="AC30" i="33"/>
  <c r="W30" i="33"/>
  <c r="S31" i="33"/>
  <c r="AA31" i="33"/>
  <c r="W13" i="33"/>
  <c r="AC13" i="33"/>
  <c r="S11"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AA19"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0" i="76"/>
  <c r="F6" i="73"/>
  <c r="J15" i="67"/>
  <c r="B11" i="76"/>
  <c r="F3" i="73"/>
  <c r="M9" i="67"/>
  <c r="B7" i="76"/>
  <c r="AO13" i="1"/>
  <c r="M22" i="67"/>
  <c r="D4" i="73"/>
  <c r="D7" i="73"/>
  <c r="E13" i="76"/>
  <c r="F26" i="67"/>
  <c r="F7" i="73"/>
  <c r="E9" i="76"/>
  <c r="E11" i="76"/>
  <c r="E12" i="76"/>
  <c r="B12" i="76"/>
  <c r="L47" i="67"/>
  <c r="E2" i="69"/>
  <c r="E2" i="68"/>
  <c r="M8" i="67"/>
  <c r="F37" i="67"/>
  <c r="B10" i="76"/>
  <c r="F4" i="73"/>
  <c r="F40" i="67"/>
  <c r="M24" i="67"/>
  <c r="F9" i="67"/>
  <c r="F20" i="31"/>
  <c r="B9" i="76"/>
  <c r="M23" i="67"/>
  <c r="B13" i="76"/>
  <c r="F8" i="67"/>
  <c r="F36" i="67"/>
  <c r="M28" i="67"/>
  <c r="B8" i="76"/>
  <c r="F38" i="67"/>
  <c r="M26" i="67"/>
  <c r="E8" i="76"/>
  <c r="E7" i="76"/>
  <c r="F16" i="67"/>
  <c r="D6" i="73"/>
  <c r="F42" i="67"/>
  <c r="F5" i="73"/>
  <c r="D5" i="73"/>
  <c r="D3" i="73"/>
  <c r="C76" i="67"/>
  <c r="F13" i="67"/>
  <c r="U44" i="33" l="1"/>
  <c r="AA44" i="33"/>
  <c r="W44" i="33"/>
  <c r="W29" i="33"/>
  <c r="AA29" i="33"/>
  <c r="BA13" i="3"/>
  <c r="AZ14" i="3"/>
  <c r="F19" i="6"/>
  <c r="L20" i="1" s="1"/>
  <c r="BA20" i="3"/>
  <c r="AZ20" i="3" s="1"/>
  <c r="BC15" i="3"/>
  <c r="K5" i="3"/>
  <c r="G18" i="3"/>
  <c r="BA18" i="3"/>
  <c r="G19" i="3"/>
  <c r="J51" i="15"/>
  <c r="F11" i="1"/>
  <c r="G11" i="1" s="1"/>
  <c r="G44" i="43"/>
  <c r="G23" i="43"/>
  <c r="A1" i="79" s="1"/>
  <c r="C7" i="33"/>
  <c r="C42" i="1"/>
  <c r="C30" i="69" s="1"/>
  <c r="M47" i="9"/>
  <c r="C7" i="35"/>
  <c r="C48" i="35" s="1"/>
  <c r="D48" i="35" s="1"/>
  <c r="E48" i="35" s="1"/>
  <c r="J51" i="67"/>
  <c r="N59" i="67" s="1"/>
  <c r="F8" i="1"/>
  <c r="G8" i="1" s="1"/>
  <c r="G1" i="68"/>
  <c r="G1" i="69"/>
  <c r="G1" i="15"/>
  <c r="B6" i="1"/>
  <c r="E6" i="1" s="1"/>
  <c r="AZ18" i="3"/>
  <c r="BL15" i="3"/>
  <c r="BL19" i="3"/>
  <c r="AZ19" i="3" s="1"/>
  <c r="AZ16" i="3"/>
  <c r="BR5" i="3"/>
  <c r="G28" i="6" s="1"/>
  <c r="AC5" i="3"/>
  <c r="H5" i="3"/>
  <c r="F6" i="1"/>
  <c r="G6" i="1" s="1"/>
  <c r="S33" i="33"/>
  <c r="H69" i="43"/>
  <c r="E115" i="33"/>
  <c r="F115" i="33" s="1"/>
  <c r="G115" i="33" s="1"/>
  <c r="H115" i="33" s="1"/>
  <c r="I115" i="33" s="1"/>
  <c r="J115" i="33" s="1"/>
  <c r="K115" i="33" s="1"/>
  <c r="L115" i="33" s="1"/>
  <c r="M115" i="33" s="1"/>
  <c r="F27" i="33"/>
  <c r="AA27" i="33" s="1"/>
  <c r="C18" i="9"/>
  <c r="D18" i="9" s="1"/>
  <c r="G5" i="3"/>
  <c r="B3" i="3" s="1"/>
  <c r="BB5" i="3"/>
  <c r="N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U15" i="33"/>
  <c r="AB17" i="33"/>
  <c r="U19" i="33"/>
  <c r="AC17" i="33"/>
  <c r="U23" i="33"/>
  <c r="W19" i="33"/>
  <c r="S15" i="33"/>
  <c r="AB42" i="33"/>
  <c r="S39" i="33"/>
  <c r="U39" i="33"/>
  <c r="S38" i="33"/>
  <c r="W38" i="33"/>
  <c r="U37" i="33"/>
  <c r="AC35" i="33"/>
  <c r="U35" i="33"/>
  <c r="U33" i="33"/>
  <c r="W33" i="33"/>
  <c r="AB27" i="33"/>
  <c r="AC26" i="33"/>
  <c r="U26" i="33"/>
  <c r="S26" i="33"/>
  <c r="AB25" i="33"/>
  <c r="AC25" i="33"/>
  <c r="AA25" i="33"/>
  <c r="C24" i="12"/>
  <c r="C40" i="69"/>
  <c r="C40" i="68"/>
  <c r="C21" i="68"/>
  <c r="C28" i="67"/>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E29" i="6"/>
  <c r="K15" i="1" s="1"/>
  <c r="F30" i="6"/>
  <c r="L19" i="6"/>
  <c r="L27" i="6"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P11" i="1"/>
  <c r="D9" i="11"/>
  <c r="C9" i="11" s="1"/>
  <c r="D19" i="12"/>
  <c r="C19" i="12" s="1"/>
  <c r="AZ13" i="3"/>
  <c r="O9" i="1"/>
  <c r="P9" i="1" s="1"/>
  <c r="O12" i="1"/>
  <c r="P12" i="1" s="1"/>
  <c r="O8" i="1"/>
  <c r="P8" i="1" s="1"/>
  <c r="H73" i="43"/>
  <c r="H90" i="43"/>
  <c r="O23" i="43"/>
  <c r="I18" i="43"/>
  <c r="E17" i="43" s="1"/>
  <c r="C17" i="43" s="1"/>
  <c r="H55" i="43"/>
  <c r="G55" i="43" s="1"/>
  <c r="H86" i="43"/>
  <c r="H87" i="43"/>
  <c r="H89" i="43"/>
  <c r="H88" i="43"/>
  <c r="H84" i="43"/>
  <c r="C69" i="39"/>
  <c r="D67" i="39"/>
  <c r="D69" i="39" s="1"/>
  <c r="T35" i="4"/>
  <c r="A19" i="51" s="1"/>
  <c r="B14" i="72" s="1"/>
  <c r="H110" i="9"/>
  <c r="H52" i="43"/>
  <c r="G52" i="43" s="1"/>
  <c r="K5" i="4"/>
  <c r="B47" i="48" s="1"/>
  <c r="Y8" i="71"/>
  <c r="Z8" i="71" s="1"/>
  <c r="X8" i="71"/>
  <c r="AB8" i="71"/>
  <c r="AA8" i="7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F51" i="67"/>
  <c r="F65" i="67"/>
  <c r="F66" i="67"/>
  <c r="Q71" i="67"/>
  <c r="C27" i="67"/>
  <c r="L59" i="67"/>
  <c r="M59" i="67"/>
  <c r="B13" i="70"/>
  <c r="F68" i="67"/>
  <c r="F64" i="67"/>
  <c r="C36" i="68"/>
  <c r="D9" i="69"/>
  <c r="D9" i="68"/>
  <c r="L48" i="67"/>
  <c r="M9" i="15"/>
  <c r="F38" i="15"/>
  <c r="F8" i="15"/>
  <c r="G1" i="73"/>
  <c r="M26" i="15"/>
  <c r="L48" i="15"/>
  <c r="M8" i="15"/>
  <c r="F42" i="15"/>
  <c r="L47" i="15"/>
  <c r="F13" i="15"/>
  <c r="M22" i="15"/>
  <c r="M24" i="15"/>
  <c r="J15" i="15"/>
  <c r="F40" i="15"/>
  <c r="F26" i="15"/>
  <c r="F9" i="15"/>
  <c r="F36" i="15"/>
  <c r="M23" i="15"/>
  <c r="C76" i="15"/>
  <c r="F37" i="15"/>
  <c r="M28" i="15"/>
  <c r="F16" i="15"/>
  <c r="G19" i="6" l="1"/>
  <c r="E19" i="6" s="1"/>
  <c r="D42" i="43"/>
  <c r="D33" i="43"/>
  <c r="BL5" i="3"/>
  <c r="S36" i="33"/>
  <c r="C31" i="12"/>
  <c r="C30" i="68"/>
  <c r="F7" i="36"/>
  <c r="C48" i="68"/>
  <c r="K6" i="1"/>
  <c r="Q16" i="1" s="1"/>
  <c r="F27" i="69" s="1"/>
  <c r="F45" i="69" s="1"/>
  <c r="G27" i="6"/>
  <c r="BC5" i="3"/>
  <c r="BA15" i="3"/>
  <c r="BA5" i="3" s="1"/>
  <c r="E253" i="3"/>
  <c r="C23" i="43"/>
  <c r="C77" i="9"/>
  <c r="C74" i="9" s="1"/>
  <c r="C48" i="69"/>
  <c r="I24" i="43"/>
  <c r="C24" i="43" s="1"/>
  <c r="D54" i="43"/>
  <c r="F68" i="15"/>
  <c r="F51" i="15"/>
  <c r="L58" i="15"/>
  <c r="Q60" i="15" s="1"/>
  <c r="M59" i="15"/>
  <c r="L59" i="15"/>
  <c r="Q61" i="15" s="1"/>
  <c r="N59" i="15"/>
  <c r="Q71" i="15"/>
  <c r="J53" i="15"/>
  <c r="L56" i="15" s="1"/>
  <c r="I54" i="15"/>
  <c r="J57" i="15"/>
  <c r="J55" i="15" s="1"/>
  <c r="J58" i="15" s="1"/>
  <c r="Q50" i="15" s="1"/>
  <c r="F66" i="15"/>
  <c r="C27" i="15"/>
  <c r="F64" i="15"/>
  <c r="F65" i="15"/>
  <c r="G30" i="6"/>
  <c r="G31" i="6" s="1"/>
  <c r="L21" i="1" s="1"/>
  <c r="L19" i="1" s="1"/>
  <c r="M19" i="1" s="1"/>
  <c r="M25" i="1" s="1"/>
  <c r="M26" i="1" s="1"/>
  <c r="E28" i="6"/>
  <c r="K14" i="1" s="1"/>
  <c r="M14" i="1" s="1"/>
  <c r="E304" i="3"/>
  <c r="E303" i="3"/>
  <c r="E523" i="3"/>
  <c r="E328" i="3"/>
  <c r="E254" i="3"/>
  <c r="E169" i="3"/>
  <c r="E390" i="3"/>
  <c r="E153" i="3"/>
  <c r="E476" i="3"/>
  <c r="E269" i="3"/>
  <c r="E433" i="3"/>
  <c r="E186" i="3"/>
  <c r="E107" i="3"/>
  <c r="E111" i="3"/>
  <c r="E280" i="3"/>
  <c r="E302" i="3"/>
  <c r="E321" i="3"/>
  <c r="E285" i="3"/>
  <c r="E319" i="3"/>
  <c r="E44" i="3"/>
  <c r="E505" i="3"/>
  <c r="E567" i="3"/>
  <c r="E511" i="3"/>
  <c r="AN6" i="3"/>
  <c r="E213" i="3"/>
  <c r="E418" i="3"/>
  <c r="E574" i="3"/>
  <c r="E331" i="3"/>
  <c r="E414" i="3"/>
  <c r="E279" i="3"/>
  <c r="E27" i="3"/>
  <c r="E515" i="3"/>
  <c r="E318" i="3"/>
  <c r="E587" i="3"/>
  <c r="E560" i="3"/>
  <c r="AA6" i="3"/>
  <c r="E353" i="3"/>
  <c r="E402" i="3"/>
  <c r="E159" i="3"/>
  <c r="E221" i="3"/>
  <c r="E17" i="3"/>
  <c r="E565" i="3"/>
  <c r="E237" i="3"/>
  <c r="E298" i="3"/>
  <c r="E338" i="3"/>
  <c r="E506" i="3"/>
  <c r="S6" i="3"/>
  <c r="E97" i="3"/>
  <c r="E359" i="3"/>
  <c r="O6" i="3"/>
  <c r="E426" i="3"/>
  <c r="E501" i="3"/>
  <c r="E53" i="3"/>
  <c r="E441" i="3"/>
  <c r="E384" i="3"/>
  <c r="E210" i="3"/>
  <c r="E162" i="3"/>
  <c r="E447" i="3"/>
  <c r="AS6" i="3"/>
  <c r="E477" i="3"/>
  <c r="E478" i="3"/>
  <c r="E585" i="3"/>
  <c r="E271" i="3"/>
  <c r="E549" i="3"/>
  <c r="E31" i="3"/>
  <c r="E351" i="3"/>
  <c r="E150" i="3"/>
  <c r="E72" i="3"/>
  <c r="E429" i="3"/>
  <c r="E457" i="3"/>
  <c r="E177" i="3"/>
  <c r="E568" i="3"/>
  <c r="E347" i="3"/>
  <c r="E124" i="3"/>
  <c r="E586" i="3"/>
  <c r="E301" i="3"/>
  <c r="E91" i="3"/>
  <c r="E503" i="3"/>
  <c r="E183" i="3"/>
  <c r="E261" i="3"/>
  <c r="E216" i="3"/>
  <c r="E380" i="3"/>
  <c r="E538" i="3"/>
  <c r="AR6" i="3"/>
  <c r="E270" i="3"/>
  <c r="E337" i="3"/>
  <c r="E555" i="3"/>
  <c r="E508" i="3"/>
  <c r="E343" i="3"/>
  <c r="E175" i="3"/>
  <c r="AM6" i="3"/>
  <c r="E291" i="3"/>
  <c r="E126" i="3"/>
  <c r="E71" i="3"/>
  <c r="E403" i="3"/>
  <c r="E367" i="3"/>
  <c r="E548" i="3"/>
  <c r="U6" i="3"/>
  <c r="E145" i="3"/>
  <c r="E196" i="3"/>
  <c r="E93" i="3"/>
  <c r="E357" i="3"/>
  <c r="E208" i="3"/>
  <c r="E54" i="3"/>
  <c r="E468" i="3"/>
  <c r="E344" i="3"/>
  <c r="E519" i="3"/>
  <c r="E434" i="3"/>
  <c r="E399" i="3"/>
  <c r="E495" i="3"/>
  <c r="E350" i="3"/>
  <c r="E134" i="3"/>
  <c r="E180" i="3"/>
  <c r="E361" i="3"/>
  <c r="E528" i="3"/>
  <c r="E185" i="3"/>
  <c r="E231" i="3"/>
  <c r="E439" i="3"/>
  <c r="E561" i="3"/>
  <c r="E533" i="3"/>
  <c r="E143" i="3"/>
  <c r="E410" i="3"/>
  <c r="E388" i="3"/>
  <c r="E305" i="3"/>
  <c r="E530" i="3"/>
  <c r="E29" i="3"/>
  <c r="E317" i="3"/>
  <c r="E272" i="3"/>
  <c r="E92" i="3"/>
  <c r="E546" i="3"/>
  <c r="E547" i="3"/>
  <c r="E432" i="3"/>
  <c r="E411" i="3"/>
  <c r="E379" i="3"/>
  <c r="E207" i="3"/>
  <c r="E397" i="3"/>
  <c r="E14" i="3"/>
  <c r="E257" i="3"/>
  <c r="E168" i="3"/>
  <c r="E475" i="3"/>
  <c r="E571" i="3"/>
  <c r="E481" i="3"/>
  <c r="E228" i="3"/>
  <c r="J57" i="67"/>
  <c r="J55" i="67" s="1"/>
  <c r="J58" i="67" s="1"/>
  <c r="Q50" i="67" s="1"/>
  <c r="L56" i="67"/>
  <c r="L58" i="67"/>
  <c r="Q73" i="67" s="1"/>
  <c r="I54" i="67"/>
  <c r="J53" i="67"/>
  <c r="F1" i="67" s="1"/>
  <c r="J7" i="36"/>
  <c r="H7" i="36"/>
  <c r="AB7" i="36" s="1"/>
  <c r="T36" i="36" s="1"/>
  <c r="G36" i="36" s="1"/>
  <c r="W27" i="33"/>
  <c r="H16" i="1"/>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C9" i="69"/>
  <c r="C9" i="68"/>
  <c r="E72" i="43"/>
  <c r="B70" i="43" s="1"/>
  <c r="E27" i="6"/>
  <c r="F31" i="6"/>
  <c r="F36" i="6" s="1"/>
  <c r="E51" i="40"/>
  <c r="D5" i="43"/>
  <c r="C7" i="43"/>
  <c r="C5" i="43" s="1"/>
  <c r="D10" i="52"/>
  <c r="D125" i="9"/>
  <c r="D11" i="52" s="1"/>
  <c r="B7" i="74"/>
  <c r="H7" i="37"/>
  <c r="AB7" i="37" s="1"/>
  <c r="T42" i="37" s="1"/>
  <c r="G42" i="37" s="1"/>
  <c r="B40" i="1"/>
  <c r="L36" i="43" s="1"/>
  <c r="H7" i="33"/>
  <c r="J7" i="33"/>
  <c r="D65" i="40"/>
  <c r="E63" i="40"/>
  <c r="F48" i="35"/>
  <c r="S7" i="36"/>
  <c r="AA7" i="36"/>
  <c r="R36" i="36" s="1"/>
  <c r="AC7" i="37"/>
  <c r="V42" i="37" s="1"/>
  <c r="I42" i="37" s="1"/>
  <c r="W7" i="37"/>
  <c r="F7" i="33"/>
  <c r="E58" i="21"/>
  <c r="AC7" i="36"/>
  <c r="V36" i="36" s="1"/>
  <c r="I36" i="36" s="1"/>
  <c r="W7" i="36"/>
  <c r="F7" i="37"/>
  <c r="D14" i="71"/>
  <c r="C13" i="71"/>
  <c r="P28" i="43"/>
  <c r="B66" i="40" s="1"/>
  <c r="P25" i="43"/>
  <c r="P29" i="43"/>
  <c r="P27" i="43"/>
  <c r="B70" i="39" s="1"/>
  <c r="M11" i="67"/>
  <c r="J10" i="67" s="1"/>
  <c r="F11" i="15"/>
  <c r="M11" i="15"/>
  <c r="J10" i="15" s="1"/>
  <c r="F11" i="67"/>
  <c r="Q61" i="67"/>
  <c r="Q74" i="67"/>
  <c r="AE11" i="1"/>
  <c r="AE9" i="1"/>
  <c r="AE7" i="1"/>
  <c r="AE8" i="1"/>
  <c r="AE12" i="1"/>
  <c r="AE10" i="1"/>
  <c r="F6" i="15"/>
  <c r="F7" i="67"/>
  <c r="F7" i="15"/>
  <c r="M29" i="15"/>
  <c r="F6" i="67"/>
  <c r="M29" i="67"/>
  <c r="F43" i="67"/>
  <c r="F43" i="15"/>
  <c r="M6" i="1" l="1"/>
  <c r="K26" i="6"/>
  <c r="M26" i="6" s="1"/>
  <c r="I26" i="6" s="1"/>
  <c r="S26" i="6" s="1"/>
  <c r="AZ15" i="3"/>
  <c r="AZ5" i="3" s="1"/>
  <c r="E3" i="6" s="1"/>
  <c r="F31" i="15"/>
  <c r="F31" i="67"/>
  <c r="M7" i="67"/>
  <c r="F50" i="67"/>
  <c r="C6" i="67"/>
  <c r="C32" i="67" s="1"/>
  <c r="F71" i="15"/>
  <c r="F50" i="15"/>
  <c r="C6" i="15"/>
  <c r="C32" i="15" s="1"/>
  <c r="M7" i="15"/>
  <c r="F71" i="67"/>
  <c r="H42" i="43"/>
  <c r="D1" i="43"/>
  <c r="E15" i="6"/>
  <c r="E14" i="6"/>
  <c r="E11" i="6"/>
  <c r="E10" i="6"/>
  <c r="E12" i="6"/>
  <c r="E13" i="6"/>
  <c r="G16" i="1"/>
  <c r="U7" i="36"/>
  <c r="Q52" i="15"/>
  <c r="Q74" i="15"/>
  <c r="F1" i="15"/>
  <c r="Q73" i="15"/>
  <c r="K16" i="1"/>
  <c r="C8" i="68" s="1"/>
  <c r="F27" i="68"/>
  <c r="F45" i="68" s="1"/>
  <c r="Q60" i="67"/>
  <c r="C29" i="69"/>
  <c r="D27" i="69" s="1"/>
  <c r="C47" i="69"/>
  <c r="D45" i="69" s="1"/>
  <c r="Q52" i="67"/>
  <c r="F27" i="11"/>
  <c r="C29" i="11" s="1"/>
  <c r="D27" i="11" s="1"/>
  <c r="AC6" i="3"/>
  <c r="F28" i="12"/>
  <c r="C29" i="12" s="1"/>
  <c r="D28" i="12" s="1"/>
  <c r="H6" i="3"/>
  <c r="J58" i="43"/>
  <c r="D58" i="43"/>
  <c r="J56" i="43"/>
  <c r="D56" i="43"/>
  <c r="J52" i="43"/>
  <c r="D52" i="43"/>
  <c r="J53" i="43"/>
  <c r="D53" i="43"/>
  <c r="J55" i="43"/>
  <c r="D55" i="43"/>
  <c r="J51" i="43"/>
  <c r="D51" i="43"/>
  <c r="J50" i="43"/>
  <c r="D50" i="43"/>
  <c r="E69" i="39"/>
  <c r="L37" i="43"/>
  <c r="P36" i="43"/>
  <c r="N36" i="43"/>
  <c r="Q36" i="43"/>
  <c r="O36" i="43"/>
  <c r="M36" i="43"/>
  <c r="AC7" i="34"/>
  <c r="V49" i="34" s="1"/>
  <c r="I49" i="34" s="1"/>
  <c r="G54" i="34" s="1"/>
  <c r="H54" i="34" s="1"/>
  <c r="U7" i="34"/>
  <c r="AA7" i="34"/>
  <c r="R49" i="34" s="1"/>
  <c r="AG11" i="1"/>
  <c r="AG9" i="1"/>
  <c r="AG10" i="1"/>
  <c r="AG8" i="1"/>
  <c r="AG12" i="1"/>
  <c r="AG7" i="1"/>
  <c r="K21" i="6"/>
  <c r="S8" i="1" s="1"/>
  <c r="E8" i="70" s="1"/>
  <c r="K25" i="6"/>
  <c r="K20" i="6"/>
  <c r="K23" i="6"/>
  <c r="K22" i="6"/>
  <c r="E31" i="6"/>
  <c r="K24" i="6"/>
  <c r="K19" i="6"/>
  <c r="S6" i="1" s="1"/>
  <c r="O14" i="1"/>
  <c r="M16" i="1"/>
  <c r="D3" i="33"/>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C53" i="67"/>
  <c r="C53" i="15"/>
  <c r="C10" i="15"/>
  <c r="F25" i="12"/>
  <c r="F22" i="69"/>
  <c r="F41" i="69" s="1"/>
  <c r="F24" i="67"/>
  <c r="C24" i="67" s="1"/>
  <c r="F22" i="11"/>
  <c r="F22" i="68"/>
  <c r="F24" i="15"/>
  <c r="C24" i="15" s="1"/>
  <c r="M6" i="15"/>
  <c r="M6" i="67"/>
  <c r="C16" i="15"/>
  <c r="AE6" i="1"/>
  <c r="C16" i="67"/>
  <c r="F41" i="67"/>
  <c r="F41" i="15"/>
  <c r="C10" i="67" l="1"/>
  <c r="C5" i="67" s="1"/>
  <c r="C38" i="67" s="1"/>
  <c r="O6" i="1"/>
  <c r="O16" i="1" s="1"/>
  <c r="AY6" i="3"/>
  <c r="BC6" i="3" s="1"/>
  <c r="E6" i="6"/>
  <c r="D3" i="34"/>
  <c r="L18" i="9"/>
  <c r="D3" i="21"/>
  <c r="D37" i="11"/>
  <c r="D19" i="11"/>
  <c r="C19" i="11" s="1"/>
  <c r="C20" i="11" s="1"/>
  <c r="C28" i="11" s="1"/>
  <c r="C27" i="11" s="1"/>
  <c r="D3" i="37"/>
  <c r="D14" i="12"/>
  <c r="D17" i="12" s="1"/>
  <c r="C17" i="12" s="1"/>
  <c r="M18" i="9"/>
  <c r="B118" i="9" s="1"/>
  <c r="C17" i="4"/>
  <c r="B4" i="52" s="1"/>
  <c r="B43" i="72" s="1"/>
  <c r="C49" i="67"/>
  <c r="C48" i="67" s="1"/>
  <c r="C66" i="67" s="1"/>
  <c r="F59" i="67"/>
  <c r="C49" i="15"/>
  <c r="C48" i="15" s="1"/>
  <c r="C66" i="15" s="1"/>
  <c r="F59" i="15"/>
  <c r="J6" i="67"/>
  <c r="J18" i="67" s="1"/>
  <c r="M17" i="67"/>
  <c r="J6" i="15"/>
  <c r="J18" i="15" s="1"/>
  <c r="M17" i="15"/>
  <c r="C5" i="15"/>
  <c r="C38" i="15" s="1"/>
  <c r="AY498" i="3"/>
  <c r="AY416" i="3"/>
  <c r="AY306" i="3"/>
  <c r="AY367" i="3"/>
  <c r="AY119" i="3"/>
  <c r="AY179" i="3"/>
  <c r="AY70" i="3"/>
  <c r="AY517" i="3"/>
  <c r="AY424" i="3"/>
  <c r="AY314" i="3"/>
  <c r="AY264" i="3"/>
  <c r="AY127" i="3"/>
  <c r="AY187" i="3"/>
  <c r="BA6" i="3"/>
  <c r="BR6" i="3"/>
  <c r="AY502" i="3"/>
  <c r="AY423" i="3"/>
  <c r="AY442" i="3"/>
  <c r="AY484" i="3"/>
  <c r="AY345" i="3"/>
  <c r="AY223" i="3"/>
  <c r="AY282" i="3"/>
  <c r="AY37" i="3"/>
  <c r="AY96" i="3"/>
  <c r="AY514" i="3"/>
  <c r="AY580" i="3"/>
  <c r="AY438" i="3"/>
  <c r="AY341" i="3"/>
  <c r="AY88" i="3"/>
  <c r="AY227" i="3"/>
  <c r="AY291" i="3"/>
  <c r="AY100" i="3"/>
  <c r="AY557" i="3"/>
  <c r="AY343" i="3"/>
  <c r="AY220" i="3"/>
  <c r="AY191" i="3"/>
  <c r="AY577" i="3"/>
  <c r="AY525" i="3"/>
  <c r="AY467" i="3"/>
  <c r="AY393" i="3"/>
  <c r="BS6" i="3"/>
  <c r="AY254" i="3"/>
  <c r="AY126" i="3"/>
  <c r="AY555" i="3"/>
  <c r="AY404" i="3"/>
  <c r="AY244" i="3"/>
  <c r="AY75" i="3"/>
  <c r="AY501" i="3"/>
  <c r="AY546" i="3"/>
  <c r="AY398" i="3"/>
  <c r="AY457" i="3"/>
  <c r="AY316" i="3"/>
  <c r="AY274" i="3"/>
  <c r="AY145" i="3"/>
  <c r="AY56" i="3"/>
  <c r="AY374" i="3"/>
  <c r="AY230" i="3"/>
  <c r="AY263" i="3"/>
  <c r="AY154" i="3"/>
  <c r="AY206" i="3"/>
  <c r="AY76" i="3"/>
  <c r="AY569" i="3"/>
  <c r="AY401" i="3"/>
  <c r="AY310" i="3"/>
  <c r="AY300" i="3"/>
  <c r="AY441" i="3"/>
  <c r="AY318" i="3"/>
  <c r="AY289" i="3"/>
  <c r="AY67" i="3"/>
  <c r="AY371" i="3"/>
  <c r="AY281" i="3"/>
  <c r="AY59" i="3"/>
  <c r="AY176" i="3"/>
  <c r="F10" i="39"/>
  <c r="S10" i="39" s="1"/>
  <c r="J10" i="40"/>
  <c r="AC10" i="40" s="1"/>
  <c r="AY87" i="3"/>
  <c r="AY34" i="3"/>
  <c r="AY95" i="3"/>
  <c r="AY152" i="3"/>
  <c r="AY111" i="3"/>
  <c r="AY382" i="3"/>
  <c r="AY303" i="3"/>
  <c r="AY196" i="3"/>
  <c r="AY204" i="3"/>
  <c r="AY363" i="3"/>
  <c r="AY470" i="3"/>
  <c r="AY180" i="3"/>
  <c r="AY228" i="3"/>
  <c r="AY358" i="3"/>
  <c r="AY433" i="3"/>
  <c r="BK6" i="3"/>
  <c r="AY541" i="3"/>
  <c r="AY45" i="3"/>
  <c r="AY28" i="3"/>
  <c r="AY201" i="3"/>
  <c r="AY118" i="3"/>
  <c r="AY294" i="3"/>
  <c r="AY231" i="3"/>
  <c r="AY381" i="3"/>
  <c r="AY554" i="3"/>
  <c r="AY104" i="3"/>
  <c r="AY177" i="3"/>
  <c r="AY290" i="3"/>
  <c r="AY210" i="3"/>
  <c r="AY332" i="3"/>
  <c r="AY488" i="3"/>
  <c r="AY446" i="3"/>
  <c r="BM6" i="3"/>
  <c r="BF6" i="3"/>
  <c r="AY510" i="3"/>
  <c r="AY163" i="3"/>
  <c r="AY334" i="3"/>
  <c r="AY526" i="3"/>
  <c r="AY447" i="3"/>
  <c r="AY574" i="3"/>
  <c r="AY85" i="3"/>
  <c r="AY157" i="3"/>
  <c r="AY271" i="3"/>
  <c r="AY211" i="3"/>
  <c r="AY186" i="3"/>
  <c r="AY243" i="3"/>
  <c r="AY325" i="3"/>
  <c r="AY403" i="3"/>
  <c r="AY527" i="3"/>
  <c r="AY532" i="3"/>
  <c r="AY82" i="3"/>
  <c r="AY292" i="3"/>
  <c r="AY489" i="3"/>
  <c r="AY379" i="3"/>
  <c r="AY436" i="3"/>
  <c r="AY540" i="3"/>
  <c r="AY198" i="3"/>
  <c r="AY141" i="3"/>
  <c r="AY255" i="3"/>
  <c r="BB6" i="3"/>
  <c r="AY181" i="3"/>
  <c r="AY258" i="3"/>
  <c r="AY449" i="3"/>
  <c r="F10" i="40"/>
  <c r="S10" i="40" s="1"/>
  <c r="H10" i="39"/>
  <c r="AA10" i="39"/>
  <c r="E16" i="6"/>
  <c r="E60" i="39"/>
  <c r="E56" i="40"/>
  <c r="E62" i="39"/>
  <c r="E58" i="40"/>
  <c r="E63" i="39"/>
  <c r="E59" i="40"/>
  <c r="H10" i="40"/>
  <c r="AB10" i="40" s="1"/>
  <c r="J10" i="39"/>
  <c r="W10" i="39" s="1"/>
  <c r="E57" i="40"/>
  <c r="E61" i="39"/>
  <c r="E64" i="39"/>
  <c r="E60" i="40"/>
  <c r="AG6" i="1"/>
  <c r="C29" i="68"/>
  <c r="D27" i="68" s="1"/>
  <c r="C47" i="68"/>
  <c r="D45" i="68" s="1"/>
  <c r="C47" i="11"/>
  <c r="D45" i="11" s="1"/>
  <c r="E6" i="3"/>
  <c r="E50" i="43"/>
  <c r="B48" i="43" s="1"/>
  <c r="C28" i="43" s="1"/>
  <c r="T10" i="43" s="1"/>
  <c r="V10" i="43" s="1"/>
  <c r="F69" i="67"/>
  <c r="B14" i="74"/>
  <c r="B1" i="74" s="1"/>
  <c r="I53" i="34"/>
  <c r="J53" i="3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0" i="11"/>
  <c r="C10" i="11" s="1"/>
  <c r="D20" i="12"/>
  <c r="C20" i="12" s="1"/>
  <c r="C18" i="12" s="1"/>
  <c r="P14" i="1"/>
  <c r="P16" i="1" s="1"/>
  <c r="C11" i="12" s="1"/>
  <c r="N16" i="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M27" i="67"/>
  <c r="C17" i="15"/>
  <c r="C14" i="67"/>
  <c r="M27" i="15"/>
  <c r="C17" i="67"/>
  <c r="AY309" i="3" l="1"/>
  <c r="AY384" i="3"/>
  <c r="AY69" i="3"/>
  <c r="AY43" i="3"/>
  <c r="AY523" i="3"/>
  <c r="AY464" i="3"/>
  <c r="BI6" i="3"/>
  <c r="AY25" i="3"/>
  <c r="AY390" i="3"/>
  <c r="AY98" i="3"/>
  <c r="AY427" i="3"/>
  <c r="AY349" i="3"/>
  <c r="AY24" i="3"/>
  <c r="AY214" i="3"/>
  <c r="AY138" i="3"/>
  <c r="AY108" i="3"/>
  <c r="AY465" i="3"/>
  <c r="AY409" i="3"/>
  <c r="AY74" i="3"/>
  <c r="AY253" i="3"/>
  <c r="AY144" i="3"/>
  <c r="AY297" i="3"/>
  <c r="AY284" i="3"/>
  <c r="AY395" i="3"/>
  <c r="AY97" i="3"/>
  <c r="AY125" i="3"/>
  <c r="BJ6" i="3"/>
  <c r="AY353" i="3"/>
  <c r="AY585" i="3"/>
  <c r="AY444" i="3"/>
  <c r="AY36" i="3"/>
  <c r="AY150" i="3"/>
  <c r="AY559" i="3"/>
  <c r="AY497" i="3"/>
  <c r="AY193" i="3"/>
  <c r="AY121" i="3"/>
  <c r="AY552" i="3"/>
  <c r="AY169" i="3"/>
  <c r="AY328" i="3"/>
  <c r="AY499" i="3"/>
  <c r="AY78" i="3"/>
  <c r="AY376" i="3"/>
  <c r="AY587" i="3"/>
  <c r="AY256" i="3"/>
  <c r="J5" i="15"/>
  <c r="J24" i="15" s="1"/>
  <c r="AY51" i="3"/>
  <c r="AY83" i="3"/>
  <c r="AY155" i="3"/>
  <c r="AY188" i="3"/>
  <c r="AY168" i="3"/>
  <c r="AY366" i="3"/>
  <c r="AY160" i="3"/>
  <c r="AY261" i="3"/>
  <c r="AY473" i="3"/>
  <c r="AY106" i="3"/>
  <c r="AY217" i="3"/>
  <c r="AY463" i="3"/>
  <c r="AY549" i="3"/>
  <c r="AY553" i="3"/>
  <c r="AY60" i="3"/>
  <c r="AY185" i="3"/>
  <c r="AY133" i="3"/>
  <c r="AY247" i="3"/>
  <c r="AY392" i="3"/>
  <c r="BH6" i="3"/>
  <c r="AY202" i="3"/>
  <c r="AY295" i="3"/>
  <c r="AY377" i="3"/>
  <c r="AY491" i="3"/>
  <c r="AY430" i="3"/>
  <c r="BQ6" i="3"/>
  <c r="AY495" i="3"/>
  <c r="AY171" i="3"/>
  <c r="AY486" i="3"/>
  <c r="AY355" i="3"/>
  <c r="AY562" i="3"/>
  <c r="AY68" i="3"/>
  <c r="AY117" i="3"/>
  <c r="AY389" i="3"/>
  <c r="AY40" i="3"/>
  <c r="AY356" i="3"/>
  <c r="AY422" i="3"/>
  <c r="AY518" i="3"/>
  <c r="AY112" i="3"/>
  <c r="AY31" i="3"/>
  <c r="AY412" i="3"/>
  <c r="AY326" i="3"/>
  <c r="AY539" i="3"/>
  <c r="AY20" i="3"/>
  <c r="AY286" i="3"/>
  <c r="AY368" i="3"/>
  <c r="AY161" i="3"/>
  <c r="AY324" i="3"/>
  <c r="AY419" i="3"/>
  <c r="AY520" i="3"/>
  <c r="AY582" i="3"/>
  <c r="AY80" i="3"/>
  <c r="AY158" i="3"/>
  <c r="AY251" i="3"/>
  <c r="AY369" i="3"/>
  <c r="AY344" i="3"/>
  <c r="AY468" i="3"/>
  <c r="AY410" i="3"/>
  <c r="AY506" i="3"/>
  <c r="AY565" i="3"/>
  <c r="AY531" i="3"/>
  <c r="AY63" i="3"/>
  <c r="AY156" i="3"/>
  <c r="AY280" i="3"/>
  <c r="AY378" i="3"/>
  <c r="AY469" i="3"/>
  <c r="AY405" i="3"/>
  <c r="BL6" i="3"/>
  <c r="AY38" i="3"/>
  <c r="AY159" i="3"/>
  <c r="AY241" i="3"/>
  <c r="AY354" i="3"/>
  <c r="AY459" i="3"/>
  <c r="BD6" i="3"/>
  <c r="AY32" i="3"/>
  <c r="AY298" i="3"/>
  <c r="AY352" i="3"/>
  <c r="AY492" i="3"/>
  <c r="AY66" i="3"/>
  <c r="AY124" i="3"/>
  <c r="AY131" i="3"/>
  <c r="AY268" i="3"/>
  <c r="AY335" i="3"/>
  <c r="AY139" i="3"/>
  <c r="AY252" i="3"/>
  <c r="AY460" i="3"/>
  <c r="AY26" i="3"/>
  <c r="AY372" i="3"/>
  <c r="AY452" i="3"/>
  <c r="AY544" i="3"/>
  <c r="AY207" i="3"/>
  <c r="AY42" i="3"/>
  <c r="AY58" i="3"/>
  <c r="AY225" i="3"/>
  <c r="AY50" i="3"/>
  <c r="AY123" i="3"/>
  <c r="AY319" i="3"/>
  <c r="AY529" i="3"/>
  <c r="AY260" i="3"/>
  <c r="AY342" i="3"/>
  <c r="AY513" i="3"/>
  <c r="BE6" i="3"/>
  <c r="AY61" i="3"/>
  <c r="AY190" i="3"/>
  <c r="AY149" i="3"/>
  <c r="AY278" i="3"/>
  <c r="AY219" i="3"/>
  <c r="AY360" i="3"/>
  <c r="AY41" i="3"/>
  <c r="AY114" i="3"/>
  <c r="AY388" i="3"/>
  <c r="AY348" i="3"/>
  <c r="AY462" i="3"/>
  <c r="AY581" i="3"/>
  <c r="AY571" i="3"/>
  <c r="AY18" i="3"/>
  <c r="AY387" i="3"/>
  <c r="AY269" i="3"/>
  <c r="AY535" i="3"/>
  <c r="AY53" i="3"/>
  <c r="AY146" i="3"/>
  <c r="AY222" i="3"/>
  <c r="AY57" i="3"/>
  <c r="AY226" i="3"/>
  <c r="AY454" i="3"/>
  <c r="BN6" i="3"/>
  <c r="AY496" i="3"/>
  <c r="AY132" i="3"/>
  <c r="AY455" i="3"/>
  <c r="AY212" i="3"/>
  <c r="AY573" i="3"/>
  <c r="AY52" i="3"/>
  <c r="AY134" i="3"/>
  <c r="AY373" i="3"/>
  <c r="AY29" i="3"/>
  <c r="AY370" i="3"/>
  <c r="AY406" i="3"/>
  <c r="AY536" i="3"/>
  <c r="AY494" i="3"/>
  <c r="AY65" i="3"/>
  <c r="AY189" i="3"/>
  <c r="AY287" i="3"/>
  <c r="AY380" i="3"/>
  <c r="AY313" i="3"/>
  <c r="AY471" i="3"/>
  <c r="AY426" i="3"/>
  <c r="AY579" i="3"/>
  <c r="AY524" i="3"/>
  <c r="AY570" i="3"/>
  <c r="AY94" i="3"/>
  <c r="AY192" i="3"/>
  <c r="AY285" i="3"/>
  <c r="AY221" i="3"/>
  <c r="AY346" i="3"/>
  <c r="AY437" i="3"/>
  <c r="AY512" i="3"/>
  <c r="AY55" i="3"/>
  <c r="AY148" i="3"/>
  <c r="AY273" i="3"/>
  <c r="AY391" i="3"/>
  <c r="AY490" i="3"/>
  <c r="AY550" i="3"/>
  <c r="AY586" i="3"/>
  <c r="AY122" i="3"/>
  <c r="AY385" i="3"/>
  <c r="AY304" i="3"/>
  <c r="AY418" i="3"/>
  <c r="AY564" i="3"/>
  <c r="AY548" i="3"/>
  <c r="AY30" i="3"/>
  <c r="AY296" i="3"/>
  <c r="AY347" i="3"/>
  <c r="AY421" i="3"/>
  <c r="AY102" i="3"/>
  <c r="AY175" i="3"/>
  <c r="AY115" i="3"/>
  <c r="AY183" i="3"/>
  <c r="AY327" i="3"/>
  <c r="AY77" i="3"/>
  <c r="AY165" i="3"/>
  <c r="AY246" i="3"/>
  <c r="AY73" i="3"/>
  <c r="AY242" i="3"/>
  <c r="AY472" i="3"/>
  <c r="AY534" i="3"/>
  <c r="AY237" i="3"/>
  <c r="AY481" i="3"/>
  <c r="AY178" i="3"/>
  <c r="AY93" i="3"/>
  <c r="AY308" i="3"/>
  <c r="AY556" i="3"/>
  <c r="AY350" i="3"/>
  <c r="AY417" i="3"/>
  <c r="AY173" i="3"/>
  <c r="AY72" i="3"/>
  <c r="AY480" i="3"/>
  <c r="AY584" i="3"/>
  <c r="AY194" i="3"/>
  <c r="AY234" i="3"/>
  <c r="AY487" i="3"/>
  <c r="AY407" i="3"/>
  <c r="AY542" i="3"/>
  <c r="AY35" i="3"/>
  <c r="AY232" i="3"/>
  <c r="AY456" i="3"/>
  <c r="AY86" i="3"/>
  <c r="AY277" i="3"/>
  <c r="AY338" i="3"/>
  <c r="AY504" i="3"/>
  <c r="AY218" i="3"/>
  <c r="AY450" i="3"/>
  <c r="AY575" i="3"/>
  <c r="AY110" i="3"/>
  <c r="AY120" i="3"/>
  <c r="AY330" i="3"/>
  <c r="AY528" i="3"/>
  <c r="AY195" i="3"/>
  <c r="AY208" i="3"/>
  <c r="AY474" i="3"/>
  <c r="AY583" i="3"/>
  <c r="AY174" i="3"/>
  <c r="AY250" i="3"/>
  <c r="AY305" i="3"/>
  <c r="AY445" i="3"/>
  <c r="AY505" i="3"/>
  <c r="AY551" i="3"/>
  <c r="AY79" i="3"/>
  <c r="AY151" i="3"/>
  <c r="AY394" i="3"/>
  <c r="AY451" i="3"/>
  <c r="AY568" i="3"/>
  <c r="AY200" i="3"/>
  <c r="AY257" i="3"/>
  <c r="AY307" i="3"/>
  <c r="AY521" i="3"/>
  <c r="AY420" i="3"/>
  <c r="AY397" i="3"/>
  <c r="AY333" i="3"/>
  <c r="BG6" i="3"/>
  <c r="AY302" i="3"/>
  <c r="AY81" i="3"/>
  <c r="AY270" i="3"/>
  <c r="AY519" i="3"/>
  <c r="AY364" i="3"/>
  <c r="AY14" i="3"/>
  <c r="AY362" i="3"/>
  <c r="AY224" i="3"/>
  <c r="AY321" i="3"/>
  <c r="AY537" i="3"/>
  <c r="AY233" i="3"/>
  <c r="AY136" i="3"/>
  <c r="AY432" i="3"/>
  <c r="AY236" i="3"/>
  <c r="AY428" i="3"/>
  <c r="AY533" i="3"/>
  <c r="AY33" i="3"/>
  <c r="AY283" i="3"/>
  <c r="AY357" i="3"/>
  <c r="AY166" i="3"/>
  <c r="AY317" i="3"/>
  <c r="AY411" i="3"/>
  <c r="AY16" i="3"/>
  <c r="AY199" i="3"/>
  <c r="AY89" i="3"/>
  <c r="AY239" i="3"/>
  <c r="AY279" i="3"/>
  <c r="AY516" i="3"/>
  <c r="AY49" i="3"/>
  <c r="AY229" i="3"/>
  <c r="AY84" i="3"/>
  <c r="AY238" i="3"/>
  <c r="AY215" i="3"/>
  <c r="AY572" i="3"/>
  <c r="AY101" i="3"/>
  <c r="AY129" i="3"/>
  <c r="AY329" i="3"/>
  <c r="AY458" i="3"/>
  <c r="D3" i="6"/>
  <c r="AY99" i="3"/>
  <c r="AY135" i="3"/>
  <c r="AY331" i="3"/>
  <c r="AY560" i="3"/>
  <c r="AY184" i="3"/>
  <c r="AY213" i="3"/>
  <c r="AY429" i="3"/>
  <c r="AY142" i="3"/>
  <c r="AY336" i="3"/>
  <c r="AY399" i="3"/>
  <c r="AY530" i="3"/>
  <c r="AY203" i="3"/>
  <c r="AY216" i="3"/>
  <c r="AY440" i="3"/>
  <c r="AY39" i="3"/>
  <c r="AY288" i="3"/>
  <c r="AY339" i="3"/>
  <c r="AY413" i="3"/>
  <c r="AY64" i="3"/>
  <c r="AY113" i="3"/>
  <c r="AY361" i="3"/>
  <c r="AY479" i="3"/>
  <c r="AY402" i="3"/>
  <c r="AY522" i="3"/>
  <c r="BP6" i="3"/>
  <c r="AY19" i="3"/>
  <c r="AY265" i="3"/>
  <c r="AY315" i="3"/>
  <c r="AY500" i="3"/>
  <c r="AY71" i="3"/>
  <c r="AY143" i="3"/>
  <c r="AY386" i="3"/>
  <c r="AY443" i="3"/>
  <c r="BT6" i="3"/>
  <c r="AY276" i="3"/>
  <c r="AY44" i="3"/>
  <c r="AY299" i="3"/>
  <c r="AY197" i="3"/>
  <c r="AY414" i="3"/>
  <c r="AY425" i="3"/>
  <c r="BO6" i="3"/>
  <c r="AY130" i="3"/>
  <c r="AY435" i="3"/>
  <c r="AY116" i="3"/>
  <c r="AY105" i="3"/>
  <c r="AY275" i="3"/>
  <c r="AY503" i="3"/>
  <c r="AY137" i="3"/>
  <c r="AY453" i="3"/>
  <c r="AY578" i="3"/>
  <c r="AY167" i="3"/>
  <c r="AY558" i="3"/>
  <c r="AY27" i="3"/>
  <c r="AY448" i="3"/>
  <c r="AY431" i="3"/>
  <c r="AY47" i="3"/>
  <c r="AY482" i="3"/>
  <c r="AY576" i="3"/>
  <c r="AY375" i="3"/>
  <c r="AY23" i="3"/>
  <c r="AY103" i="3"/>
  <c r="AY245" i="3"/>
  <c r="AY92" i="3"/>
  <c r="AY170" i="3"/>
  <c r="AY262" i="3"/>
  <c r="AY109" i="3"/>
  <c r="AY259" i="3"/>
  <c r="AY475" i="3"/>
  <c r="AY561" i="3"/>
  <c r="AY90" i="3"/>
  <c r="AY311" i="3"/>
  <c r="AY182" i="3"/>
  <c r="AY365" i="3"/>
  <c r="AY340" i="3"/>
  <c r="AY508" i="3"/>
  <c r="AY147" i="3"/>
  <c r="AY478" i="3"/>
  <c r="AY162" i="3"/>
  <c r="AY507" i="3"/>
  <c r="AY483" i="3"/>
  <c r="AY543" i="3"/>
  <c r="AY48" i="3"/>
  <c r="AY266" i="3"/>
  <c r="AY312" i="3"/>
  <c r="AY439" i="3"/>
  <c r="AY509" i="3"/>
  <c r="AY46" i="3"/>
  <c r="AY249" i="3"/>
  <c r="AY466" i="3"/>
  <c r="AY91" i="3"/>
  <c r="AY128" i="3"/>
  <c r="AY323" i="3"/>
  <c r="AY511" i="3"/>
  <c r="AY235" i="3"/>
  <c r="AY461" i="3"/>
  <c r="AY17" i="3"/>
  <c r="AY563" i="3"/>
  <c r="AY140" i="3"/>
  <c r="AY383" i="3"/>
  <c r="AY13" i="3"/>
  <c r="AY22" i="3"/>
  <c r="AY272" i="3"/>
  <c r="AY322" i="3"/>
  <c r="AY15" i="3"/>
  <c r="AY21" i="3"/>
  <c r="AY267" i="3"/>
  <c r="AY337" i="3"/>
  <c r="AY476" i="3"/>
  <c r="AY415" i="3"/>
  <c r="AY515" i="3"/>
  <c r="AY493" i="3"/>
  <c r="AY172" i="3"/>
  <c r="AY248" i="3"/>
  <c r="AY485" i="3"/>
  <c r="AY547" i="3"/>
  <c r="AY54" i="3"/>
  <c r="AY293" i="3"/>
  <c r="AY351" i="3"/>
  <c r="AY400" i="3"/>
  <c r="AY209" i="3"/>
  <c r="AY205" i="3"/>
  <c r="AY153" i="3"/>
  <c r="AY538" i="3"/>
  <c r="AY359" i="3"/>
  <c r="AY240" i="3"/>
  <c r="AY396" i="3"/>
  <c r="AY545" i="3"/>
  <c r="AY477" i="3"/>
  <c r="AY62" i="3"/>
  <c r="AY107" i="3"/>
  <c r="AY566" i="3"/>
  <c r="AY320" i="3"/>
  <c r="AY567" i="3"/>
  <c r="AY434" i="3"/>
  <c r="AY301" i="3"/>
  <c r="AY164" i="3"/>
  <c r="AY408" i="3"/>
  <c r="J5" i="67"/>
  <c r="J24" i="67" s="1"/>
  <c r="AC10" i="39"/>
  <c r="AA10" i="40"/>
  <c r="C60" i="67"/>
  <c r="U10" i="40"/>
  <c r="W10" i="40"/>
  <c r="U10" i="39"/>
  <c r="AB10" i="39"/>
  <c r="E65" i="39"/>
  <c r="C60" i="15"/>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H22" i="6"/>
  <c r="C25" i="11"/>
  <c r="C22" i="11" s="1"/>
  <c r="C31" i="11" s="1"/>
  <c r="H21" i="6"/>
  <c r="H25" i="6"/>
  <c r="C18" i="67"/>
  <c r="C15" i="67"/>
  <c r="H23" i="6"/>
  <c r="H20" i="6"/>
  <c r="C38" i="69"/>
  <c r="C35" i="69"/>
  <c r="E12" i="70"/>
  <c r="F34" i="11"/>
  <c r="F11" i="12"/>
  <c r="S16" i="1"/>
  <c r="E9" i="70"/>
  <c r="AR9" i="1"/>
  <c r="AQ9" i="1"/>
  <c r="T9" i="1"/>
  <c r="AQ11" i="1"/>
  <c r="AR11" i="1"/>
  <c r="T11" i="1"/>
  <c r="AR12" i="1"/>
  <c r="T12" i="1"/>
  <c r="AQ12" i="1"/>
  <c r="AQ10" i="1"/>
  <c r="T10" i="1"/>
  <c r="AR10" i="1"/>
  <c r="AR7" i="1"/>
  <c r="AQ7" i="1"/>
  <c r="T7" i="1"/>
  <c r="M27" i="6"/>
  <c r="I19" i="6"/>
  <c r="C15" i="12"/>
  <c r="C12" i="12"/>
  <c r="D7" i="74"/>
  <c r="C10" i="69"/>
  <c r="C8" i="69" s="1"/>
  <c r="D19" i="69"/>
  <c r="F50" i="69"/>
  <c r="F50" i="11"/>
  <c r="F50" i="68"/>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D25" i="6" l="1"/>
  <c r="R25" i="6" s="1"/>
  <c r="R12" i="1" s="1"/>
  <c r="D24" i="6"/>
  <c r="R24" i="6" s="1"/>
  <c r="R11" i="1" s="1"/>
  <c r="D8" i="6"/>
  <c r="D10" i="6"/>
  <c r="C18" i="4"/>
  <c r="D11" i="6"/>
  <c r="H26" i="6"/>
  <c r="D15" i="6"/>
  <c r="D20" i="6"/>
  <c r="R20" i="6" s="1"/>
  <c r="R7" i="1" s="1"/>
  <c r="D14" i="6"/>
  <c r="L19" i="9"/>
  <c r="D23" i="6"/>
  <c r="D13" i="6"/>
  <c r="D22" i="6"/>
  <c r="R22" i="6" s="1"/>
  <c r="R9" i="1" s="1"/>
  <c r="M19" i="9"/>
  <c r="C118" i="9" s="1"/>
  <c r="B2" i="74" s="1"/>
  <c r="D6" i="6"/>
  <c r="D29" i="6"/>
  <c r="D5" i="6"/>
  <c r="D28" i="6"/>
  <c r="D21" i="6"/>
  <c r="R21" i="6" s="1"/>
  <c r="R8" i="1" s="1"/>
  <c r="D26" i="6"/>
  <c r="D9" i="6"/>
  <c r="D19" i="6"/>
  <c r="D12" i="6"/>
  <c r="E61" i="40"/>
  <c r="R23" i="6"/>
  <c r="R10" i="1" s="1"/>
  <c r="G42" i="43"/>
  <c r="I42" i="43" s="1"/>
  <c r="E2" i="70"/>
  <c r="G37" i="43"/>
  <c r="I37" i="43" s="1"/>
  <c r="E40" i="43"/>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69" i="39"/>
  <c r="J67" i="39"/>
  <c r="D9" i="71"/>
  <c r="I63" i="40"/>
  <c r="H65" i="40"/>
  <c r="I58" i="21"/>
  <c r="J58" i="21" s="1"/>
  <c r="K58" i="21" s="1"/>
  <c r="L58" i="21" s="1"/>
  <c r="M58" i="21" s="1"/>
  <c r="N58" i="21" s="1"/>
  <c r="O58" i="21" s="1"/>
  <c r="H7" i="21" s="1"/>
  <c r="J48" i="35"/>
  <c r="D27" i="6" l="1"/>
  <c r="D30" i="6"/>
  <c r="D16" i="6"/>
  <c r="R26" i="6"/>
  <c r="C4" i="52"/>
  <c r="B45" i="72" s="1"/>
  <c r="A7" i="51"/>
  <c r="B7" i="72" s="1"/>
  <c r="A10" i="51"/>
  <c r="B9" i="72" s="1"/>
  <c r="F7" i="21"/>
  <c r="S7" i="21" s="1"/>
  <c r="J7" i="21"/>
  <c r="W7" i="21" s="1"/>
  <c r="D7" i="71"/>
  <c r="C6" i="71"/>
  <c r="C23" i="67"/>
  <c r="C29" i="67" s="1"/>
  <c r="J59" i="67" s="1"/>
  <c r="J60" i="67" s="1"/>
  <c r="Q48" i="67" s="1"/>
  <c r="C19" i="15"/>
  <c r="C20" i="15" s="1"/>
  <c r="C26" i="15" s="1"/>
  <c r="C33" i="68"/>
  <c r="C30" i="12"/>
  <c r="C28" i="12" s="1"/>
  <c r="C38" i="11"/>
  <c r="C35" i="11"/>
  <c r="H27" i="6"/>
  <c r="R19" i="6"/>
  <c r="C27" i="12"/>
  <c r="C25" i="12" s="1"/>
  <c r="C24" i="68"/>
  <c r="C39" i="69"/>
  <c r="C43" i="69" s="1"/>
  <c r="C42" i="69"/>
  <c r="J69" i="39"/>
  <c r="K67" i="39"/>
  <c r="U7" i="21"/>
  <c r="AB7" i="21"/>
  <c r="T48" i="21" s="1"/>
  <c r="G48" i="21" s="1"/>
  <c r="J63" i="40"/>
  <c r="I65" i="40"/>
  <c r="K48" i="35"/>
  <c r="L48" i="35" s="1"/>
  <c r="M48" i="35" s="1"/>
  <c r="N48" i="35" s="1"/>
  <c r="O48" i="35" s="1"/>
  <c r="H7" i="35" s="1"/>
  <c r="D31" i="6" l="1"/>
  <c r="C39" i="68"/>
  <c r="C43" i="68" s="1"/>
  <c r="C91" i="9"/>
  <c r="AA7" i="21"/>
  <c r="R48" i="21" s="1"/>
  <c r="E48"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L67" i="39"/>
  <c r="K69" i="39"/>
  <c r="J65" i="40"/>
  <c r="K63" i="40"/>
  <c r="U7" i="35"/>
  <c r="AB7" i="35"/>
  <c r="T38" i="35" s="1"/>
  <c r="G38" i="35" s="1"/>
  <c r="R49" i="21"/>
  <c r="G52" i="21"/>
  <c r="H52" i="21" s="1"/>
  <c r="F7" i="35"/>
  <c r="M21" i="67"/>
  <c r="M21" i="15"/>
  <c r="F35" i="67"/>
  <c r="F35" i="15"/>
  <c r="I6" i="6" l="1"/>
  <c r="G3" i="43" s="1"/>
  <c r="I5" i="6"/>
  <c r="C46" i="68"/>
  <c r="C45" i="68" s="1"/>
  <c r="C92" i="9"/>
  <c r="C94" i="9"/>
  <c r="I52" i="21"/>
  <c r="J52" i="21" s="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G26" i="43" l="1"/>
  <c r="N94" i="46"/>
  <c r="F26" i="43"/>
  <c r="B116" i="43"/>
  <c r="H26" i="43"/>
  <c r="E26" i="43"/>
  <c r="D26" i="43" s="1"/>
  <c r="C25" i="43" s="1"/>
  <c r="C33" i="43" s="1"/>
  <c r="C6" i="69" s="1"/>
  <c r="J26" i="43"/>
  <c r="Z7" i="43"/>
  <c r="N370" i="46"/>
  <c r="C49" i="68"/>
  <c r="C51" i="68" s="1"/>
  <c r="F35" i="9" s="1"/>
  <c r="J35" i="9"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Q69" i="67" l="1"/>
  <c r="Q68" i="67" s="1"/>
  <c r="H39" i="67"/>
  <c r="C34" i="43"/>
  <c r="E34" i="43" s="1"/>
  <c r="C31" i="43" s="1"/>
  <c r="E33" i="43"/>
  <c r="C6" i="68" s="1"/>
  <c r="C7" i="68" s="1"/>
  <c r="C5" i="68" s="1"/>
  <c r="I120" i="43"/>
  <c r="J120" i="43" s="1"/>
  <c r="K120" i="43" s="1"/>
  <c r="L120" i="43" s="1"/>
  <c r="M120" i="43" s="1"/>
  <c r="D120" i="43"/>
  <c r="E120" i="43" s="1"/>
  <c r="F120" i="43" s="1"/>
  <c r="G120" i="43" s="1"/>
  <c r="H120" i="43" s="1"/>
  <c r="B120" i="43"/>
  <c r="C120" i="43" s="1"/>
  <c r="G121" i="43"/>
  <c r="H121" i="43" s="1"/>
  <c r="I118" i="43"/>
  <c r="J118" i="43" s="1"/>
  <c r="K118" i="43" s="1"/>
  <c r="L118" i="43" s="1"/>
  <c r="M118" i="43" s="1"/>
  <c r="D121" i="43"/>
  <c r="E121" i="43" s="1"/>
  <c r="F121" i="43" s="1"/>
  <c r="B121" i="43"/>
  <c r="C121" i="43" s="1"/>
  <c r="I119" i="43"/>
  <c r="J119" i="43" s="1"/>
  <c r="K119" i="43" s="1"/>
  <c r="L119" i="43" s="1"/>
  <c r="M119" i="43" s="1"/>
  <c r="D118" i="43"/>
  <c r="E118" i="43" s="1"/>
  <c r="F118" i="43" s="1"/>
  <c r="G118" i="43" s="1"/>
  <c r="H118" i="43" s="1"/>
  <c r="B118" i="43"/>
  <c r="C118" i="43" s="1"/>
  <c r="D116" i="43" s="1"/>
  <c r="B122" i="43"/>
  <c r="C122" i="43" s="1"/>
  <c r="D122" i="43"/>
  <c r="E122" i="43" s="1"/>
  <c r="F122" i="43" s="1"/>
  <c r="G122" i="43" s="1"/>
  <c r="H122" i="43" s="1"/>
  <c r="I121" i="43"/>
  <c r="J121" i="43" s="1"/>
  <c r="K121" i="43" s="1"/>
  <c r="L121" i="43" s="1"/>
  <c r="M121" i="43" s="1"/>
  <c r="D119" i="43"/>
  <c r="E119" i="43" s="1"/>
  <c r="F119" i="43" s="1"/>
  <c r="G119" i="43" s="1"/>
  <c r="H119" i="43" s="1"/>
  <c r="B119" i="43"/>
  <c r="C119" i="43" s="1"/>
  <c r="I122" i="43"/>
  <c r="J122" i="43" s="1"/>
  <c r="K122" i="43" s="1"/>
  <c r="L122" i="43" s="1"/>
  <c r="M122" i="43" s="1"/>
  <c r="C7" i="69"/>
  <c r="C5" i="69" s="1"/>
  <c r="C80" i="67"/>
  <c r="C79" i="67" s="1"/>
  <c r="C40" i="67"/>
  <c r="C45" i="67" s="1"/>
  <c r="C56" i="11"/>
  <c r="C57" i="11" s="1"/>
  <c r="B2" i="21"/>
  <c r="B3" i="21" s="1"/>
  <c r="J16" i="15"/>
  <c r="J25" i="15" s="1"/>
  <c r="J26" i="15" s="1"/>
  <c r="J29" i="15" s="1"/>
  <c r="C58" i="15"/>
  <c r="C67" i="15" s="1"/>
  <c r="C68" i="15" s="1"/>
  <c r="C71" i="15" s="1"/>
  <c r="C30" i="15"/>
  <c r="C39" i="15" s="1"/>
  <c r="O67" i="39"/>
  <c r="O69" i="39" s="1"/>
  <c r="F7" i="39" s="1"/>
  <c r="N69" i="39"/>
  <c r="C39" i="35"/>
  <c r="C38" i="35"/>
  <c r="N63" i="40"/>
  <c r="M65" i="40"/>
  <c r="E43" i="35"/>
  <c r="F43" i="35" s="1"/>
  <c r="E42" i="35"/>
  <c r="F42" i="35" s="1"/>
  <c r="I43" i="35"/>
  <c r="J43" i="35" s="1"/>
  <c r="L51" i="67"/>
  <c r="D2" i="33"/>
  <c r="C30" i="43" l="1"/>
  <c r="Q69" i="15"/>
  <c r="Q68" i="15" s="1"/>
  <c r="I39" i="15"/>
  <c r="C23" i="69"/>
  <c r="C20" i="69"/>
  <c r="C23" i="68"/>
  <c r="C20" i="68"/>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E6" i="76"/>
  <c r="L51" i="15"/>
  <c r="D2" i="36"/>
  <c r="D2" i="37"/>
  <c r="D2" i="35"/>
  <c r="D2" i="34"/>
  <c r="E2" i="76" l="1"/>
  <c r="B2" i="43"/>
  <c r="C28" i="68"/>
  <c r="C27" i="68" s="1"/>
  <c r="C25" i="68"/>
  <c r="C22" i="68" s="1"/>
  <c r="B3" i="43"/>
  <c r="C28" i="69"/>
  <c r="C27" i="69" s="1"/>
  <c r="C25" i="69"/>
  <c r="C22" i="69" s="1"/>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7" i="1"/>
  <c r="AO10" i="1"/>
  <c r="AO12" i="1"/>
  <c r="B6" i="76"/>
  <c r="AO8" i="1"/>
  <c r="D19" i="9"/>
  <c r="AO11" i="1"/>
  <c r="AO6" i="1"/>
  <c r="AO9" i="1"/>
  <c r="B2" i="76" l="1"/>
  <c r="B3" i="76" s="1"/>
  <c r="C31" i="69"/>
  <c r="C52" i="69" s="1"/>
  <c r="B2" i="69" s="1"/>
  <c r="B3" i="69" s="1"/>
  <c r="C31" i="68"/>
  <c r="C52" i="68"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57" i="69" l="1"/>
  <c r="C56" i="69" s="1"/>
  <c r="B2" i="68"/>
  <c r="C57" i="68"/>
  <c r="C56" i="68"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G19" i="9" l="1"/>
  <c r="F34" i="9" s="1"/>
  <c r="J34" i="9" s="1"/>
  <c r="C102" i="9"/>
  <c r="D22" i="9"/>
  <c r="C21" i="9"/>
  <c r="B3" i="68"/>
  <c r="C42" i="40"/>
  <c r="C43" i="40"/>
  <c r="E47" i="40"/>
  <c r="F47" i="40" s="1"/>
  <c r="E46" i="40"/>
  <c r="F46" i="40" s="1"/>
  <c r="I47" i="40"/>
  <c r="J47" i="40" s="1"/>
  <c r="D34" i="9"/>
  <c r="C20" i="9"/>
  <c r="D35" i="9"/>
  <c r="C103" i="9" l="1"/>
  <c r="G20" i="9"/>
  <c r="C32" i="9" s="1"/>
  <c r="C35" i="9" s="1"/>
  <c r="C34" i="9" s="1"/>
  <c r="G21" i="9"/>
  <c r="D28" i="9"/>
  <c r="B58" i="40"/>
  <c r="F58" i="40" s="1"/>
  <c r="B54" i="40"/>
  <c r="F54" i="40" s="1"/>
  <c r="B53" i="40"/>
  <c r="F53" i="40" s="1"/>
  <c r="B59" i="40"/>
  <c r="F59" i="40" s="1"/>
  <c r="B52" i="40"/>
  <c r="F52" i="40" s="1"/>
  <c r="B56" i="40"/>
  <c r="F56" i="40" s="1"/>
  <c r="B60" i="40"/>
  <c r="F60" i="40" s="1"/>
  <c r="B57" i="40"/>
  <c r="F57" i="40" s="1"/>
  <c r="B51" i="40"/>
  <c r="F51" i="40" s="1"/>
  <c r="F61" i="40"/>
  <c r="B2" i="40" s="1"/>
  <c r="B3" i="40" s="1"/>
  <c r="I118" i="9" l="1"/>
  <c r="H118" i="9" s="1"/>
  <c r="H119" i="9" s="1"/>
  <c r="H5" i="52" s="1"/>
  <c r="H4" i="52" l="1"/>
  <c r="H101" i="9"/>
  <c r="M48" i="9" s="1"/>
  <c r="D14" i="74"/>
  <c r="G14" i="74" s="1"/>
  <c r="B6" i="74" s="1"/>
  <c r="D6" i="74" s="1"/>
  <c r="C104" i="9"/>
  <c r="H102" i="9"/>
  <c r="D7" i="53" s="1"/>
  <c r="B21" i="72" s="1"/>
  <c r="I4" i="52"/>
  <c r="C105" i="9"/>
  <c r="E14" i="74"/>
  <c r="B5" i="74" l="1"/>
  <c r="F14" i="74"/>
  <c r="H107" i="9"/>
  <c r="D122" i="9" s="1"/>
  <c r="D8" i="52" s="1"/>
  <c r="D45" i="9"/>
  <c r="C78" i="9" s="1"/>
  <c r="C73" i="9" s="1"/>
  <c r="D5" i="53"/>
  <c r="D6" i="53" s="1"/>
  <c r="B22" i="72" s="1"/>
  <c r="D5" i="74"/>
  <c r="C5" i="74"/>
  <c r="H108" i="9" l="1"/>
  <c r="C6" i="74" s="1"/>
  <c r="D123" i="9"/>
  <c r="D9" i="52" s="1"/>
  <c r="C64" i="9"/>
  <c r="C63" i="9" s="1"/>
  <c r="C67" i="9" s="1"/>
  <c r="C68" i="9" s="1"/>
  <c r="D54" i="9" s="1"/>
  <c r="C85" i="9"/>
  <c r="C95" i="9" s="1"/>
  <c r="C96" i="9" s="1"/>
  <c r="E96" i="9" s="1"/>
  <c r="E97" i="9" s="1"/>
  <c r="D55" i="9"/>
  <c r="M53" i="9" s="1"/>
  <c r="D52" i="9"/>
  <c r="D13" i="53"/>
  <c r="B30" i="72" s="1"/>
  <c r="M49" i="9"/>
  <c r="L68" i="9" s="1"/>
  <c r="M68" i="9" s="1"/>
  <c r="C93" i="9"/>
  <c r="C86" i="9" s="1"/>
  <c r="D53" i="9"/>
  <c r="D48" i="9" s="1"/>
  <c r="M52" i="9" s="1"/>
  <c r="C72" i="9"/>
  <c r="C79" i="9" s="1"/>
  <c r="C80" i="9" s="1"/>
  <c r="E80" i="9" s="1"/>
  <c r="E81" i="9" s="1"/>
  <c r="B20" i="72"/>
  <c r="D59" i="9"/>
  <c r="M55" i="9" s="1"/>
  <c r="D15" i="53"/>
  <c r="B31" i="72" s="1"/>
  <c r="C81" i="9" l="1"/>
  <c r="L64" i="9"/>
  <c r="M64" i="9" s="1"/>
  <c r="L65" i="9"/>
  <c r="M65" i="9" s="1"/>
  <c r="D14" i="53"/>
  <c r="B32" i="72" s="1"/>
  <c r="L67" i="9"/>
  <c r="M67" i="9" s="1"/>
  <c r="L66" i="9"/>
  <c r="M66" i="9" s="1"/>
  <c r="L63" i="9"/>
  <c r="M63" i="9" s="1"/>
  <c r="C97" i="9"/>
  <c r="D58" i="9" s="1"/>
  <c r="D56" i="9" s="1"/>
  <c r="M54" i="9" s="1"/>
  <c r="N57" i="9" s="1"/>
  <c r="P57" i="9" s="1"/>
  <c r="M69" i="9" l="1"/>
  <c r="N69" i="9" s="1"/>
  <c r="N58" i="9"/>
  <c r="N59" i="9"/>
  <c r="N61" i="9" l="1"/>
  <c r="H112" i="9" s="1"/>
  <c r="H111" i="9"/>
  <c r="I14" i="74" s="1"/>
  <c r="B8" i="74" s="1"/>
  <c r="D8" i="74" s="1"/>
  <c r="N60" i="9"/>
  <c r="D126" i="9" l="1"/>
  <c r="D19" i="53"/>
  <c r="C8" i="74"/>
  <c r="D21" i="53"/>
  <c r="B39" i="72" s="1"/>
  <c r="B38" i="72" l="1"/>
  <c r="D20" i="53"/>
  <c r="B40" i="72" s="1"/>
  <c r="D127" i="9"/>
  <c r="D13" i="52" s="1"/>
  <c r="D12" i="52"/>
  <c r="G118" i="9"/>
  <c r="F118" i="9" s="1"/>
  <c r="F4" i="52" s="1"/>
  <c r="B51" i="72" s="1"/>
  <c r="G4" i="52" l="1"/>
  <c r="B52" i="72" s="1"/>
  <c r="E118" i="9"/>
  <c r="E4" i="52" s="1"/>
  <c r="B48" i="72" s="1"/>
  <c r="F119" i="9"/>
  <c r="F5" i="52" s="1"/>
  <c r="B53" i="72" s="1"/>
  <c r="D118" i="9" l="1"/>
  <c r="D119" i="9" s="1"/>
  <c r="D5" i="52" s="1"/>
  <c r="B49" i="72" s="1"/>
  <c r="D4" i="52" l="1"/>
  <c r="B47"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<sst xmlns="http://schemas.openxmlformats.org/spreadsheetml/2006/main" count="7983" uniqueCount="3482">
  <si>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</si>
  <si>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</si>
  <si>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</si>
  <si>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</si>
  <si>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</si>
  <si>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</si>
  <si>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</si>
  <si>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</si>
  <si>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</si>
  <si>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</si>
  <si>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</si>
  <si>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</si>
  <si>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</si>
  <si>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</si>
  <si>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</si>
  <si>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</si>
  <si>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</si>
  <si>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</si>
  <si>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</si>
  <si>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</si>
  <si>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</si>
  <si>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</si>
  <si>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</si>
  <si>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</si>
  <si>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</si>
  <si>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</si>
  <si>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</si>
  <si>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</si>
  <si>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</si>
  <si>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</si>
  <si>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</si>
  <si>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</si>
  <si>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</si>
  <si>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</si>
  <si>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</si>
  <si>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</si>
  <si>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</si>
  <si>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</si>
  <si>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</si>
  <si>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</si>
  <si>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</si>
  <si>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</si>
  <si>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</si>
  <si>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</si>
  <si>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</si>
  <si>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</si>
  <si>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</si>
  <si>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</si>
  <si>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</si>
  <si>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</si>
  <si>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</si>
  <si>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</si>
  <si>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</si>
  <si>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</si>
  <si>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</si>
  <si>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</si>
  <si>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</si>
  <si>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</si>
  <si>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</si>
  <si>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</si>
  <si>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</si>
  <si>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</si>
  <si>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</si>
  <si>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</si>
  <si>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</si>
  <si>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</si>
  <si>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</si>
  <si>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</si>
  <si>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</si>
  <si>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</si>
  <si>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</si>
  <si>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</si>
  <si>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</si>
  <si>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</si>
  <si>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</si>
  <si>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</si>
  <si>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</si>
  <si>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</si>
  <si>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</si>
  <si>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</si>
  <si>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</si>
  <si>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</si>
  <si>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</si>
  <si>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</si>
  <si>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</si>
  <si>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</si>
  <si>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</si>
  <si>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</si>
  <si>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</si>
  <si>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</si>
  <si>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</si>
  <si>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</si>
  <si>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</si>
  <si>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</si>
  <si>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</si>
  <si>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</si>
  <si>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</si>
  <si>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</si>
  <si>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</si>
  <si>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</si>
  <si>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</si>
  <si>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</si>
  <si>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</si>
  <si>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</si>
  <si>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</si>
  <si>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</si>
  <si>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</si>
  <si>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</si>
  <si>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</si>
  <si>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</si>
  <si>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</si>
  <si>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</si>
  <si>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</si>
  <si>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</si>
  <si>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</si>
  <si>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</si>
  <si>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</si>
  <si>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</si>
  <si>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</si>
  <si>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</si>
  <si>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</si>
  <si>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</si>
  <si>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</si>
  <si>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</si>
  <si>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</si>
  <si>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</si>
  <si>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</si>
  <si>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</si>
  <si>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</si>
  <si>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</si>
  <si>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</si>
  <si>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</si>
  <si>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</si>
  <si>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</si>
  <si>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</si>
  <si>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</si>
  <si>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</si>
  <si>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</si>
  <si>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</si>
  <si>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</si>
  <si>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</si>
  <si>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</si>
  <si>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</si>
  <si>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</si>
  <si>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</si>
  <si>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</si>
  <si>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</si>
  <si>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</si>
  <si>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</si>
  <si>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</si>
  <si>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</si>
  <si>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</si>
  <si>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</si>
  <si>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</si>
  <si>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</si>
  <si>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</si>
  <si>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</si>
  <si>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</si>
  <si>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</si>
  <si>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</si>
  <si>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</si>
  <si>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</si>
  <si>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</si>
  <si>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</si>
  <si>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</si>
  <si>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</si>
  <si>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</si>
  <si>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</si>
  <si>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</si>
  <si>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</si>
  <si>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</si>
  <si>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</si>
  <si>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</si>
  <si>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</si>
  <si>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</si>
  <si>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</si>
  <si>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</si>
  <si>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</si>
  <si>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</si>
  <si>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</si>
  <si>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</si>
  <si>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</si>
  <si>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</si>
  <si>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</si>
  <si>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</si>
  <si>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</si>
  <si>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</si>
  <si>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</si>
  <si>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</si>
  <si>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</si>
  <si>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</si>
  <si>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</si>
  <si>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</si>
  <si>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</si>
  <si>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</si>
  <si>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</si>
  <si>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</si>
  <si>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</si>
  <si>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</si>
  <si>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</si>
  <si>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</si>
  <si>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</si>
  <si>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</si>
  <si>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</si>
  <si>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</si>
  <si>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</si>
  <si>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</si>
  <si>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</si>
  <si>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</si>
  <si>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</si>
  <si>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</si>
  <si>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</si>
  <si>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</si>
  <si>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</si>
  <si>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</si>
  <si>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</si>
  <si>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</si>
  <si>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</si>
  <si>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</si>
  <si>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</si>
  <si>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</si>
  <si>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</si>
  <si>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</si>
  <si>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</si>
  <si>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</si>
  <si>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</si>
  <si>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</si>
  <si>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</si>
  <si>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</si>
  <si>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</si>
  <si>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</si>
  <si>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</si>
  <si>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</si>
  <si>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</si>
  <si>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</si>
  <si>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</si>
  <si>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</si>
  <si>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</si>
  <si>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</si>
  <si>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</si>
  <si>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</si>
  <si>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</si>
  <si>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</si>
  <si>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</si>
  <si>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</si>
  <si>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</si>
  <si>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</si>
  <si>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</si>
  <si>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</si>
  <si>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</si>
  <si>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</si>
  <si>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</si>
  <si>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</si>
  <si>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</si>
  <si>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</si>
  <si>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</si>
  <si>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</si>
  <si>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</si>
  <si>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</si>
  <si>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</si>
  <si>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</si>
  <si>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</si>
  <si>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</si>
  <si>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</si>
  <si>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</si>
  <si>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</si>
  <si>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</si>
  <si>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</si>
  <si>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</si>
  <si>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</si>
  <si>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</si>
  <si>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</si>
  <si>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</si>
  <si>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</si>
  <si>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</si>
  <si>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</si>
  <si>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</si>
  <si>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</si>
  <si>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</si>
  <si>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</si>
  <si>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</si>
  <si>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</si>
  <si>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</si>
  <si>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</si>
  <si>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</si>
  <si>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</si>
  <si>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</si>
  <si>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</si>
  <si>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</si>
  <si>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</si>
  <si>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</si>
  <si>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</si>
  <si>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</si>
  <si>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</si>
  <si>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</si>
  <si>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</si>
  <si>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</si>
  <si>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</si>
  <si>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</si>
  <si>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</si>
  <si>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</si>
  <si>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</si>
  <si>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</si>
  <si>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</si>
  <si>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</si>
  <si>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</si>
  <si>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</si>
  <si>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</si>
  <si>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</si>
  <si>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</si>
  <si>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</si>
  <si>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</si>
  <si>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</si>
  <si>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</si>
  <si>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</si>
  <si>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</si>
  <si>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</si>
  <si>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</si>
  <si>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</si>
  <si>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</si>
  <si>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</si>
  <si>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</si>
  <si>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</si>
  <si>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</si>
  <si>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</si>
  <si>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</si>
  <si>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</si>
  <si>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</si>
  <si>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</si>
  <si>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</si>
  <si>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</si>
  <si>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</si>
  <si>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</si>
  <si>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</si>
  <si>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</si>
  <si>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</si>
  <si>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</si>
  <si>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</si>
  <si>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</si>
  <si>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</si>
  <si>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</si>
  <si>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</si>
  <si>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</si>
  <si>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</si>
  <si>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</si>
  <si>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</si>
  <si>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</si>
  <si>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</si>
  <si>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</si>
  <si>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</si>
  <si>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</si>
  <si>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</si>
  <si>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</si>
  <si>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</si>
  <si>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</si>
  <si>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</si>
  <si>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</si>
  <si>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</si>
  <si>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</si>
  <si>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</si>
  <si>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</si>
  <si>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</si>
  <si>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</si>
  <si>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</si>
  <si>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</si>
  <si>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</si>
  <si>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</si>
  <si>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</si>
  <si>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</si>
  <si>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</si>
  <si>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</si>
  <si>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</si>
  <si>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</si>
  <si>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</si>
  <si>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</si>
  <si>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</si>
  <si>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</si>
  <si>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</si>
  <si>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</si>
  <si>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</si>
  <si>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</si>
  <si>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</si>
  <si>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</si>
  <si>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</si>
  <si>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</si>
  <si>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</si>
  <si>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</si>
  <si>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</si>
  <si>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</si>
  <si>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</si>
  <si>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</si>
  <si>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</si>
  <si>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</si>
  <si>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</si>
  <si>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</si>
  <si>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</si>
  <si>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</si>
  <si>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</si>
  <si>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</si>
  <si>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</si>
  <si>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</si>
  <si>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</si>
  <si>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</si>
  <si>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</si>
  <si>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</si>
  <si>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</si>
  <si>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</si>
  <si>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</si>
  <si>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</si>
  <si>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</si>
  <si>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</si>
  <si>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</si>
  <si>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</si>
  <si>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</si>
  <si>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</si>
  <si>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</si>
  <si>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</si>
  <si>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</si>
  <si>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</si>
  <si>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</si>
  <si>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</si>
  <si>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</si>
  <si>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</si>
  <si>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</si>
  <si>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</si>
  <si>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</si>
  <si>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</si>
  <si>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</si>
  <si>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</si>
  <si>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</si>
  <si>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</si>
  <si>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</si>
  <si>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</si>
  <si>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</si>
  <si>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</si>
  <si>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</si>
  <si>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</si>
  <si>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</si>
  <si>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</si>
  <si>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</si>
  <si>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</si>
  <si>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</si>
  <si>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</si>
  <si>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</si>
  <si>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</si>
  <si>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</si>
  <si>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</si>
  <si>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</si>
  <si>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</si>
  <si>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</si>
  <si>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</si>
  <si>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</si>
  <si>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</si>
  <si>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</si>
  <si>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</si>
  <si>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</si>
  <si>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</si>
  <si>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</si>
  <si>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</si>
  <si>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</si>
  <si>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</si>
  <si>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</si>
  <si>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</si>
  <si>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</si>
  <si>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</si>
  <si>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</si>
  <si>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</si>
  <si>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</si>
  <si>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</si>
  <si>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</si>
  <si>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</si>
  <si>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</si>
  <si>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</si>
  <si>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</si>
  <si>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</si>
  <si>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</si>
  <si>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</si>
  <si>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</si>
  <si>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</si>
  <si>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</si>
  <si>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</si>
  <si>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</si>
  <si>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</si>
  <si>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</si>
  <si>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</si>
  <si>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</si>
  <si>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</si>
  <si>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</si>
  <si>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</si>
  <si>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</si>
  <si>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</si>
  <si>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</si>
  <si>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</si>
  <si>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</si>
  <si>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</si>
  <si>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</si>
  <si>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</si>
  <si>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</si>
  <si>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</si>
  <si>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</si>
  <si>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</si>
  <si>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</si>
  <si>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</si>
  <si>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</si>
  <si>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</si>
  <si>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</si>
  <si>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</si>
  <si>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</si>
  <si>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</si>
  <si>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</si>
  <si>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</si>
  <si>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</si>
  <si>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</si>
  <si>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</si>
  <si>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</si>
  <si>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</si>
  <si>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</si>
  <si>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</si>
  <si>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</si>
  <si>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</si>
  <si>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</si>
  <si>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</si>
  <si>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</si>
  <si>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</si>
  <si>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</si>
  <si>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</si>
  <si>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</si>
  <si>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</si>
  <si>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</si>
  <si>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</si>
  <si>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</si>
  <si>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</si>
  <si>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</si>
  <si>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</si>
  <si>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</si>
  <si>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</si>
  <si>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</si>
  <si>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</si>
  <si>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</si>
  <si>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</si>
  <si>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</si>
  <si>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</si>
  <si>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</si>
  <si>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</si>
  <si>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</si>
  <si>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</si>
  <si>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</si>
  <si>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</si>
  <si>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</si>
  <si>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</si>
  <si>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</si>
  <si>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</si>
  <si>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</si>
  <si>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</si>
  <si>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</si>
  <si>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</si>
  <si>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</si>
  <si>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</si>
  <si>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</si>
  <si>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</si>
  <si>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</si>
  <si>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</si>
  <si>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</si>
  <si>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</si>
  <si>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</si>
  <si>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</si>
  <si>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</si>
  <si>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</si>
  <si>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</si>
  <si>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</si>
  <si>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</si>
  <si>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</si>
  <si>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</si>
  <si>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</si>
  <si>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</si>
  <si>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</si>
  <si>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</si>
  <si>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</si>
  <si>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</si>
  <si>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</si>
  <si>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</si>
  <si>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</si>
  <si>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</si>
  <si>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</si>
  <si>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</si>
  <si>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</si>
  <si>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</si>
  <si>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</si>
  <si>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</si>
  <si>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</si>
  <si>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</si>
  <si>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</si>
  <si>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</si>
  <si>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</si>
  <si>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</si>
  <si>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</si>
  <si>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</si>
  <si>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</si>
  <si>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</si>
  <si>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</si>
  <si>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</si>
  <si>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</si>
  <si>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</si>
  <si>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</si>
  <si>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</si>
  <si>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</si>
  <si>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</si>
  <si>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</si>
  <si>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</si>
  <si>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</si>
  <si>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</si>
  <si>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</si>
  <si>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</si>
  <si>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</si>
  <si>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</si>
  <si>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</si>
  <si>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</si>
  <si>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</si>
  <si>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</si>
  <si>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</si>
  <si>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</si>
  <si>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</si>
  <si>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</si>
  <si>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</si>
  <si>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</si>
  <si>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</si>
  <si>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</si>
  <si>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</si>
  <si>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</si>
  <si>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</si>
  <si>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</si>
  <si>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</si>
  <si>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</si>
  <si>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</si>
  <si>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</si>
  <si>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</si>
  <si>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</si>
  <si>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</si>
  <si>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</si>
  <si>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</si>
  <si>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</si>
  <si>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</si>
  <si>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</si>
  <si>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</si>
  <si>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</si>
  <si>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</si>
  <si>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</si>
  <si>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</si>
  <si>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</si>
  <si>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</si>
  <si>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</si>
  <si>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</si>
  <si>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</si>
  <si>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</si>
  <si>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</si>
  <si>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</si>
  <si>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</si>
  <si>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</si>
  <si>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</si>
  <si>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</si>
  <si>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</si>
  <si>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</si>
  <si>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</si>
  <si>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</si>
  <si>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</si>
  <si>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</si>
  <si>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</si>
  <si>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</si>
  <si>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</si>
  <si>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</si>
  <si>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</si>
  <si>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</si>
  <si>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</si>
  <si>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</si>
  <si>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</si>
  <si>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</si>
  <si>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</si>
  <si>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</si>
  <si>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</si>
  <si>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</si>
  <si>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</si>
  <si>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</si>
  <si>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</si>
  <si>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</si>
  <si>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</si>
  <si>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</si>
  <si>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</si>
  <si>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</si>
  <si>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</si>
  <si>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</si>
  <si>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</si>
  <si>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</si>
  <si>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</si>
  <si>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</si>
  <si>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</si>
  <si>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</si>
  <si>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</si>
  <si>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</si>
  <si>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</si>
  <si>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</si>
  <si>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</si>
  <si>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</si>
  <si>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</si>
  <si>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</si>
  <si>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</si>
  <si>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</si>
  <si>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</si>
  <si>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</si>
  <si>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</si>
  <si>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</si>
  <si>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</si>
  <si>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</si>
  <si>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</si>
  <si>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</si>
  <si>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</si>
  <si>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</si>
  <si>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</si>
  <si>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</si>
  <si>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</si>
  <si>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</si>
  <si>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</si>
  <si>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</si>
  <si>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</si>
  <si>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</si>
  <si>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</si>
  <si>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</si>
  <si>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</si>
  <si>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</si>
  <si>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</si>
  <si>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</si>
  <si>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</si>
  <si>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</si>
  <si>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</si>
  <si>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</si>
  <si>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</si>
  <si>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</si>
  <si>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</si>
  <si>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</si>
  <si>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</si>
  <si>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</si>
  <si>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</si>
  <si>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</si>
  <si>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</si>
  <si>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</si>
  <si>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</si>
  <si>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</si>
  <si>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</si>
  <si>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</si>
  <si>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</si>
  <si>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</si>
  <si>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</si>
  <si>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</si>
  <si>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</si>
  <si>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</si>
  <si>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</si>
  <si>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</si>
  <si>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</si>
  <si>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</si>
  <si>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</si>
  <si>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</si>
  <si>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</si>
  <si>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</si>
  <si>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</si>
  <si>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</si>
  <si>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</si>
  <si>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</si>
  <si>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</si>
  <si>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</si>
  <si>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</si>
  <si>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</si>
  <si>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</si>
  <si>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</si>
  <si>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</si>
  <si>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</si>
  <si>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</si>
  <si>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</si>
  <si>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</si>
  <si>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</si>
  <si>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</si>
  <si>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</si>
  <si>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</si>
  <si>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</si>
  <si>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</si>
  <si>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</si>
  <si>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</si>
  <si>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</si>
  <si>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</si>
  <si>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</si>
  <si>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</si>
  <si>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</si>
  <si>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</si>
  <si>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</si>
  <si>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</si>
  <si>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</si>
  <si>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</si>
  <si>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</si>
  <si>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</si>
  <si>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</si>
  <si>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</si>
  <si>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</si>
  <si>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</si>
  <si>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</si>
  <si>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</si>
  <si>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</si>
  <si>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</si>
  <si>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</si>
  <si>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</si>
  <si>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</si>
  <si>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</si>
  <si>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</si>
  <si>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</si>
  <si>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</si>
  <si>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</si>
  <si>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</si>
  <si>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</si>
  <si>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</si>
  <si>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</si>
  <si>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</si>
  <si>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</si>
  <si>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</si>
  <si>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</si>
  <si>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</si>
  <si>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</si>
  <si>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</si>
  <si>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</si>
  <si>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</si>
  <si>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</si>
  <si>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</si>
  <si>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</si>
  <si>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</si>
  <si>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</si>
  <si>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</si>
  <si>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</si>
  <si>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</si>
  <si>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</si>
  <si>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</si>
  <si>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</si>
  <si>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</si>
  <si>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</si>
  <si>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</si>
  <si>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</si>
  <si>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</si>
  <si>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</si>
  <si>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</si>
  <si>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</si>
  <si>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</si>
  <si>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</si>
  <si>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</si>
  <si>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</si>
  <si>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</si>
  <si>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</si>
  <si>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</si>
  <si>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</si>
  <si>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</si>
  <si>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</si>
  <si>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</si>
  <si>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</si>
  <si>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</si>
  <si>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</si>
  <si>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</si>
  <si>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</si>
  <si>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</si>
  <si>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</si>
  <si>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</si>
  <si>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</si>
  <si>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</si>
  <si>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</si>
  <si>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</si>
  <si>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</si>
  <si>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</si>
  <si>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</si>
  <si>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</si>
  <si>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</si>
  <si>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</si>
  <si>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</si>
  <si>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</si>
  <si>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</si>
  <si>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</si>
  <si>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</si>
  <si>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</si>
  <si>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</si>
  <si>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</si>
  <si>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</si>
  <si>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</si>
  <si>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</si>
  <si>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</si>
  <si>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</si>
  <si>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</si>
  <si>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</si>
  <si>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</si>
  <si>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</si>
  <si>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</si>
  <si>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</si>
  <si>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</si>
  <si>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</si>
  <si>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</si>
  <si>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</si>
  <si>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</si>
  <si>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</si>
  <si>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</si>
  <si>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</si>
  <si>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</si>
  <si>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</si>
  <si>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</si>
  <si>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</si>
  <si>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</si>
  <si>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</si>
  <si>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</si>
  <si>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</si>
  <si>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</si>
  <si>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</si>
  <si>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</si>
  <si>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</si>
  <si>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</si>
  <si>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</si>
  <si>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</si>
  <si>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</si>
  <si>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</si>
  <si>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</si>
  <si>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</si>
  <si>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</si>
  <si>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</si>
  <si>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</si>
  <si>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</si>
  <si>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</si>
  <si>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</si>
  <si>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</si>
  <si>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</si>
  <si>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</si>
  <si>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</si>
  <si>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</si>
  <si>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</si>
  <si>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</si>
  <si>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</si>
  <si>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</si>
  <si>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</si>
  <si>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</si>
  <si>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</si>
  <si>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</si>
  <si>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</si>
  <si>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</si>
  <si>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</si>
  <si>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</si>
  <si>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</si>
  <si>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</si>
  <si>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</si>
  <si>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</si>
  <si>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</si>
  <si>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</si>
  <si>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</si>
  <si>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</si>
  <si>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</si>
  <si>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</si>
  <si>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</si>
  <si>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</si>
  <si>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</si>
  <si>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</si>
  <si>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</si>
  <si>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</si>
  <si>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</si>
  <si>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</si>
  <si>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</si>
  <si>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</si>
  <si>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</si>
  <si>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</si>
  <si>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</si>
  <si>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</si>
  <si>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</si>
  <si>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</si>
  <si>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</si>
  <si>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</si>
  <si>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</si>
  <si>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</si>
  <si>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</si>
  <si>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</si>
  <si>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</si>
  <si>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</si>
  <si>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</si>
  <si>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</si>
  <si>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</si>
  <si>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</si>
  <si>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</si>
  <si>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</si>
  <si>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</si>
  <si>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</si>
  <si>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</si>
  <si>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</si>
  <si>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</si>
  <si>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</si>
  <si>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</si>
  <si>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</si>
  <si>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</si>
  <si>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</si>
  <si>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</si>
  <si>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</si>
  <si>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</si>
  <si>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</si>
  <si>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</si>
  <si>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</si>
  <si>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</si>
  <si>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</si>
  <si>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</si>
  <si>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</si>
  <si>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</si>
  <si>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</si>
  <si>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</si>
  <si>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</si>
  <si>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</si>
  <si>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</si>
  <si>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</si>
  <si>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</si>
  <si>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</si>
  <si>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</si>
  <si>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</si>
  <si>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</si>
  <si>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</si>
  <si>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</si>
  <si>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</si>
  <si>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</si>
  <si>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</si>
  <si>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</si>
  <si>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</si>
  <si>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</si>
  <si>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</si>
  <si>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</si>
  <si>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</si>
  <si>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</si>
  <si>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</si>
  <si>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</si>
  <si>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</si>
  <si>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</si>
  <si>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</si>
  <si>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</si>
  <si>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</si>
  <si>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</si>
  <si>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</si>
  <si>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</si>
  <si>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</si>
  <si>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</si>
  <si>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</si>
  <si>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</si>
  <si>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</si>
  <si>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</si>
  <si>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</si>
  <si>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</si>
  <si>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</si>
  <si>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</si>
  <si>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</si>
  <si>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</si>
  <si>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</si>
  <si>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</si>
  <si>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</si>
  <si>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</si>
  <si>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</si>
  <si>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</si>
  <si>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</si>
  <si>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</si>
  <si>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</si>
  <si>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</si>
  <si>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</si>
  <si>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</si>
  <si>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</si>
  <si>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</si>
  <si>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</si>
  <si>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</si>
  <si>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</si>
  <si>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</si>
  <si>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</si>
  <si>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</si>
  <si>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</si>
  <si>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</si>
  <si>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</si>
  <si>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</si>
  <si>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</si>
  <si>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</si>
  <si>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</si>
  <si>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</si>
  <si>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</si>
  <si>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</si>
  <si>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</si>
  <si>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</si>
  <si>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</si>
  <si>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</si>
  <si>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</si>
  <si>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</si>
  <si>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</si>
  <si>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</si>
  <si>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</si>
  <si>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</si>
  <si>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</si>
  <si>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</si>
  <si>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</si>
  <si>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</si>
  <si>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</si>
  <si>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</si>
  <si>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</si>
  <si>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</si>
  <si>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</si>
  <si>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</si>
  <si>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</si>
  <si>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</si>
  <si>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</si>
  <si>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</si>
  <si>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</si>
  <si>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</si>
  <si>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</si>
  <si>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</si>
  <si>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</si>
  <si>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</si>
  <si>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</si>
  <si>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</si>
  <si>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</si>
  <si>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</si>
  <si>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</si>
  <si>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</si>
  <si>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</si>
  <si>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</si>
  <si>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</si>
  <si>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</si>
  <si>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</si>
  <si>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</si>
  <si>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</si>
  <si>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</si>
  <si>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</si>
  <si>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</si>
  <si>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</si>
  <si>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</si>
  <si>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</si>
  <si>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</si>
  <si>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</si>
  <si>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</si>
  <si>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</si>
  <si>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</si>
  <si>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</si>
  <si>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</si>
  <si>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</si>
  <si>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</si>
  <si>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</si>
  <si>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</si>
  <si>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</si>
  <si>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</si>
  <si>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</si>
  <si>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</si>
  <si>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</si>
  <si>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</si>
  <si>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</si>
  <si>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</si>
  <si>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</si>
  <si>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</si>
  <si>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</si>
  <si>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</si>
  <si>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</si>
  <si>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</si>
  <si>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</si>
  <si>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</si>
  <si>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</si>
  <si>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</si>
  <si>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</si>
  <si>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</si>
  <si>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</si>
  <si>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</si>
  <si>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</si>
  <si>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</si>
  <si>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</si>
  <si>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</si>
  <si>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</si>
  <si>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</si>
  <si>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</si>
  <si>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</si>
  <si>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</si>
  <si>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</si>
  <si>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</si>
  <si>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</si>
  <si>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</si>
  <si>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</si>
  <si>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</si>
  <si>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</si>
  <si>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</si>
  <si>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</si>
  <si>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</si>
  <si>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</si>
  <si>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</si>
  <si>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</si>
  <si>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</si>
  <si>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</si>
  <si>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</si>
  <si>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</si>
  <si>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</si>
  <si>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</si>
  <si>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</si>
  <si>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</si>
  <si>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</si>
  <si>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</si>
  <si>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</si>
  <si>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</si>
  <si>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</si>
  <si>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</si>
  <si>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</si>
  <si>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</si>
  <si>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</si>
  <si>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</si>
  <si>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</si>
  <si>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</si>
  <si>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</si>
  <si>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</si>
  <si>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</si>
  <si>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</si>
  <si>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</si>
  <si>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</si>
  <si>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</si>
  <si>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</si>
  <si>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</si>
  <si>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</si>
  <si>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</si>
  <si>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</si>
  <si>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</si>
  <si>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</si>
  <si>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</si>
  <si>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</si>
  <si>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</si>
  <si>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</si>
  <si>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</si>
  <si>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</si>
  <si>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</si>
  <si>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</si>
  <si>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</si>
  <si>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</si>
  <si>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</si>
  <si>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</si>
  <si>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</si>
  <si>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</si>
  <si>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</si>
  <si>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</si>
  <si>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</si>
  <si>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</si>
  <si>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</si>
  <si>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</si>
  <si>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</si>
  <si>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</si>
  <si>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</si>
  <si>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</si>
  <si>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</si>
  <si>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</si>
  <si>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</si>
  <si>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</si>
  <si>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</si>
  <si>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</si>
  <si>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</si>
  <si>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</si>
  <si>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</si>
  <si>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</si>
  <si>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</si>
  <si>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</si>
  <si>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</si>
  <si>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</si>
  <si>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</si>
  <si>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</si>
  <si>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</si>
  <si>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</si>
  <si>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</si>
  <si>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</si>
  <si>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</si>
  <si>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</si>
  <si>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</si>
  <si>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</si>
  <si>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</si>
  <si>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</si>
  <si>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</si>
  <si>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</si>
  <si>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</si>
  <si>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</si>
  <si>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</si>
  <si>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</si>
  <si>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</si>
  <si>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</si>
  <si>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</si>
  <si>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</si>
  <si>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</si>
  <si>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</si>
  <si>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</si>
  <si>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</si>
  <si>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</si>
  <si>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</si>
  <si>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</si>
  <si>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</si>
  <si>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</si>
  <si>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</si>
  <si>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</si>
  <si>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</si>
  <si>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</si>
  <si>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</si>
  <si>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</si>
  <si>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</si>
  <si>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</si>
  <si>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</si>
  <si>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</si>
  <si>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</si>
  <si>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</si>
  <si>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</si>
  <si>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</si>
  <si>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</si>
  <si>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</si>
  <si>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</si>
  <si>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</si>
  <si>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</si>
  <si>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</si>
  <si>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</si>
  <si>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</si>
  <si>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</si>
  <si>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</si>
  <si>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</si>
  <si>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</si>
  <si>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</si>
  <si>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</si>
  <si>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</si>
  <si>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</si>
  <si>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</si>
  <si>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</si>
  <si>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</si>
  <si>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</si>
  <si>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</si>
  <si>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</si>
  <si>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</si>
  <si>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</si>
  <si>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</si>
  <si>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</si>
  <si>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</si>
  <si>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</si>
  <si>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</si>
  <si>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</si>
  <si>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</si>
  <si>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</si>
  <si>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</si>
  <si>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</si>
  <si>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</si>
  <si>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</si>
  <si>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</si>
  <si>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</si>
  <si>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</si>
  <si>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</si>
  <si>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</si>
  <si>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</si>
  <si>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</si>
  <si>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</si>
  <si>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</si>
  <si>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</si>
  <si>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</si>
  <si>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</si>
  <si>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</si>
  <si>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</si>
  <si>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</si>
  <si>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</si>
  <si>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</si>
  <si>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</si>
  <si>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</si>
  <si>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</si>
  <si>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</si>
  <si>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</si>
  <si>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</si>
  <si>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</si>
  <si>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</si>
  <si>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</si>
  <si>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</si>
  <si>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</si>
  <si>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</si>
  <si>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</si>
  <si>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</si>
  <si>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</si>
  <si>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</si>
  <si>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</si>
  <si>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</si>
  <si>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</si>
  <si>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</si>
  <si>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</si>
  <si>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</si>
  <si>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</si>
  <si>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</si>
  <si>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</si>
  <si>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</si>
  <si>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</si>
  <si>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</si>
  <si>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</si>
  <si>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</si>
  <si>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</si>
  <si>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</si>
  <si>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</si>
  <si>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</si>
  <si>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</si>
  <si>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</si>
  <si>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</si>
  <si>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</si>
  <si>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</si>
  <si>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</si>
  <si>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</si>
  <si>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</si>
  <si>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</si>
  <si>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</si>
  <si>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</si>
  <si>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</si>
  <si>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</si>
  <si>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</si>
  <si>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</si>
  <si>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</si>
  <si>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</si>
  <si>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</si>
  <si>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</si>
  <si>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</si>
  <si>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</si>
  <si>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</si>
  <si>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</si>
  <si>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</si>
  <si>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</si>
  <si>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</si>
  <si>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</si>
  <si>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</si>
  <si>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</si>
  <si>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</si>
  <si>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</si>
  <si>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</si>
  <si>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</si>
  <si>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</si>
  <si>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</si>
  <si>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</si>
  <si>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</si>
  <si>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</si>
  <si>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</si>
  <si>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</si>
  <si>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</si>
  <si>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</si>
  <si>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</si>
  <si>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</si>
  <si>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</si>
  <si>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</si>
  <si>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</si>
  <si>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</si>
  <si>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</si>
  <si>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</si>
  <si>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</si>
  <si>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</si>
  <si>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</si>
  <si>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</si>
  <si>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</si>
  <si>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</si>
  <si>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</si>
  <si>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</si>
  <si>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</si>
  <si>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</si>
  <si>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</si>
  <si>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</si>
  <si>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</si>
  <si>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</si>
  <si>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</si>
  <si>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</si>
  <si>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</si>
  <si>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</si>
  <si>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</si>
  <si>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</si>
  <si>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</si>
  <si>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</si>
  <si>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</si>
  <si>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</si>
  <si>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</si>
  <si>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</si>
  <si>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</si>
  <si>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</si>
  <si>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</si>
  <si>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</si>
  <si>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</si>
  <si>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</si>
  <si>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</si>
  <si>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</si>
  <si>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</si>
  <si>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</si>
  <si>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</si>
  <si>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</si>
  <si>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</si>
  <si>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</si>
  <si>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</si>
  <si>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</si>
  <si>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</si>
  <si>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</si>
  <si>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</si>
  <si>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</si>
  <si>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</si>
  <si>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</si>
  <si>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</si>
  <si>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</si>
  <si>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</si>
  <si>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</si>
  <si>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</si>
  <si>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</si>
  <si>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</si>
  <si>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</si>
  <si>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</si>
  <si>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</si>
  <si>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</si>
  <si>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</si>
  <si>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</si>
  <si>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</si>
  <si>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</si>
  <si>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</si>
  <si>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</si>
  <si>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</si>
  <si>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</si>
  <si>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</si>
  <si>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</si>
  <si>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</si>
  <si>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</si>
  <si>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</si>
  <si>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</si>
  <si>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</si>
  <si>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</si>
  <si>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</si>
  <si>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</si>
  <si>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</si>
  <si>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</si>
  <si>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</si>
  <si>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</si>
  <si>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</si>
  <si>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</si>
  <si>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</si>
  <si>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</si>
  <si>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</si>
  <si>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</si>
  <si>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</si>
  <si>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</si>
  <si>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</si>
  <si>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</si>
  <si>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</si>
  <si>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</si>
  <si>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</si>
  <si>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</si>
  <si>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</si>
  <si>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</si>
  <si>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</si>
  <si>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</si>
  <si>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</si>
  <si>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</si>
  <si>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</si>
  <si>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</si>
  <si>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</si>
  <si>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</si>
  <si>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</si>
  <si>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</si>
  <si>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</si>
  <si>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</si>
  <si>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</si>
  <si>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</si>
  <si>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</si>
  <si>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</si>
  <si>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</si>
  <si>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</si>
  <si>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</si>
  <si>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</si>
  <si>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</si>
  <si>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</si>
  <si>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</si>
  <si>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</si>
  <si>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</si>
  <si>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</si>
  <si>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</si>
  <si>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</si>
  <si>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</si>
  <si>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</si>
  <si>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</si>
  <si>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</si>
  <si>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</si>
  <si>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</si>
  <si>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</si>
  <si>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</si>
  <si>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</si>
  <si>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</si>
  <si>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</si>
  <si>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</si>
  <si>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</si>
  <si>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</si>
  <si>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</si>
  <si>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</si>
  <si>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</si>
  <si>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</si>
  <si>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</si>
  <si>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</si>
  <si>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</si>
  <si>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</si>
  <si>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</si>
  <si>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</si>
  <si>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</si>
  <si>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</si>
  <si>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</si>
  <si>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</si>
  <si>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</si>
  <si>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</si>
  <si>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</si>
  <si>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</si>
  <si>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</si>
  <si>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</si>
  <si>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</si>
  <si>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</si>
  <si>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</si>
  <si>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</si>
  <si>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</si>
  <si>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</si>
  <si>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</si>
  <si>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</si>
  <si>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</si>
  <si>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</si>
  <si>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</si>
  <si>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</si>
  <si>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</si>
  <si>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</si>
  <si>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</si>
  <si>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</si>
  <si>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</si>
  <si>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</si>
  <si>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</si>
  <si>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</si>
  <si>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</si>
  <si>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</si>
  <si>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</si>
  <si>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</si>
  <si>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</si>
  <si>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</si>
  <si>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</si>
  <si>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</si>
  <si>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</si>
  <si>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</si>
  <si>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</si>
  <si>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</si>
  <si>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</si>
  <si>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</si>
  <si>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</si>
  <si>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</si>
  <si>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</si>
  <si>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</si>
  <si>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</si>
  <si>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</si>
  <si>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</si>
  <si>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</si>
  <si>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</si>
  <si>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</si>
  <si>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</si>
  <si>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</si>
  <si>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</si>
  <si>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</si>
  <si>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</si>
  <si>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</si>
  <si>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</si>
  <si>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</si>
  <si>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</si>
  <si>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</si>
  <si>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</si>
  <si>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</si>
  <si>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</si>
  <si>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</si>
  <si>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</si>
  <si>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</si>
  <si>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</si>
  <si>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</si>
  <si>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</si>
  <si>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</si>
  <si>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</si>
  <si>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</si>
  <si>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</si>
  <si>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</si>
  <si>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</si>
  <si>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</si>
  <si>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</si>
  <si>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</si>
  <si>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</si>
  <si>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</si>
  <si>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</si>
  <si>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</si>
  <si>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</si>
  <si>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</si>
  <si>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</si>
  <si>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</si>
  <si>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</si>
  <si>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</si>
  <si>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</si>
  <si>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</si>
  <si>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</si>
  <si>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</si>
  <si>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</si>
  <si>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</si>
  <si>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</si>
  <si>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</si>
  <si>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</si>
  <si>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</si>
  <si>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</si>
  <si>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</si>
  <si>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</si>
  <si>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</si>
  <si>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</si>
  <si>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</si>
  <si>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</si>
  <si>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</si>
  <si>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</si>
  <si>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</si>
  <si>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</si>
  <si>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</si>
  <si>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</si>
  <si>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</si>
  <si>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</si>
  <si>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</si>
  <si>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</si>
  <si>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</si>
  <si>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</si>
  <si>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</si>
  <si>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</si>
  <si>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</si>
  <si>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</si>
  <si>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</si>
  <si>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</si>
  <si>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</si>
  <si>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</si>
  <si>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</si>
  <si>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</si>
  <si>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</si>
  <si>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</si>
  <si>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</si>
  <si>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</si>
  <si>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</si>
  <si>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</si>
  <si>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</si>
  <si>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</si>
  <si>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</si>
  <si>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</si>
  <si>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</si>
  <si>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</si>
  <si>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</si>
  <si>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</si>
  <si>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</si>
  <si>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</si>
  <si>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</si>
  <si>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</si>
  <si>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</si>
  <si>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</si>
  <si>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</si>
  <si>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</si>
  <si>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</si>
  <si>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</si>
  <si>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</si>
  <si>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</si>
  <si>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</si>
  <si>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</si>
  <si>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</si>
  <si>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</si>
  <si>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</si>
  <si>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</si>
  <si>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</si>
  <si>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</si>
  <si>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</si>
  <si>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</si>
  <si>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</si>
  <si>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</si>
  <si>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</si>
  <si>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</si>
  <si>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</si>
  <si>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</si>
  <si>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</si>
  <si>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</si>
  <si>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</si>
  <si>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</si>
  <si>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</si>
  <si>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</si>
  <si>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</si>
  <si>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</si>
  <si>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</si>
  <si>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</si>
  <si>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</si>
  <si>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</si>
  <si>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</si>
  <si>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</si>
  <si>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</si>
  <si>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</si>
  <si>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</si>
  <si>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</si>
  <si>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</si>
  <si>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</si>
  <si>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</si>
  <si>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</si>
  <si>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</si>
  <si>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</si>
  <si>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</si>
  <si>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</si>
  <si>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</si>
  <si>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</si>
  <si>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</si>
  <si>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</si>
  <si>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</si>
  <si>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</si>
  <si>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</si>
  <si>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</si>
  <si>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</si>
  <si>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</si>
  <si>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</si>
  <si>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</si>
  <si>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</si>
  <si>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</si>
  <si>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</si>
  <si>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</si>
  <si>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</si>
  <si>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</si>
  <si>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</si>
  <si>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</si>
  <si>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</si>
  <si>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</si>
  <si>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</si>
  <si>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</si>
  <si>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</si>
  <si>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</si>
  <si>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</si>
  <si>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</si>
  <si>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</si>
  <si>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</si>
  <si>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</si>
  <si>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</si>
  <si>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</si>
  <si>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</si>
  <si>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</si>
  <si>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</si>
  <si>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</si>
  <si>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</si>
  <si>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</si>
  <si>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</si>
  <si>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</si>
  <si>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</si>
  <si>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</si>
  <si>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</si>
  <si>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</si>
  <si>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</si>
  <si>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</si>
  <si>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</si>
  <si>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</si>
  <si>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</si>
  <si>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</si>
  <si>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</si>
  <si>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</si>
  <si>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</si>
  <si>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</si>
  <si>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</si>
  <si>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</si>
  <si>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</si>
  <si>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</si>
  <si>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</si>
  <si>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</si>
  <si>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</si>
  <si>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</si>
  <si>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</si>
  <si>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</si>
  <si>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</si>
  <si>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</si>
  <si>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</si>
  <si>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</si>
  <si>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</si>
  <si>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</si>
  <si>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</si>
  <si>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</si>
  <si>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</si>
  <si>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</si>
  <si>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</si>
  <si>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</si>
  <si>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</si>
  <si>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</si>
  <si>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</si>
  <si>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</si>
  <si>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</si>
  <si>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</si>
  <si>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</si>
  <si>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</si>
  <si>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</si>
  <si>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</si>
  <si>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</si>
  <si>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</si>
  <si>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</si>
  <si>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</si>
  <si>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</si>
  <si>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</si>
  <si>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</si>
  <si>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</si>
  <si>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</si>
  <si>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</si>
  <si>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</si>
  <si>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</si>
  <si>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</si>
  <si>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</si>
  <si>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</si>
  <si>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</si>
  <si>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</si>
  <si>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</si>
  <si>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</si>
  <si>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</si>
  <si>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</si>
  <si>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</si>
  <si>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</si>
  <si>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</si>
  <si>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</si>
  <si>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</si>
  <si>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</si>
  <si>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</si>
  <si>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</si>
  <si>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</si>
  <si>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</si>
  <si>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</si>
  <si>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</si>
  <si>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</si>
  <si>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</si>
  <si>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</si>
  <si>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</si>
  <si>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</si>
  <si>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</si>
  <si>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</si>
  <si>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</si>
  <si>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</si>
  <si>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</si>
  <si>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</si>
  <si>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</si>
  <si>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</si>
  <si>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</si>
  <si>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</si>
  <si>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</si>
  <si>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</si>
  <si>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</si>
  <si>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</si>
  <si>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</si>
  <si>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</si>
  <si>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</si>
  <si>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</si>
  <si>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</si>
  <si>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</si>
  <si>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</si>
  <si>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</si>
  <si>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</si>
  <si>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</si>
  <si>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</si>
  <si>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</si>
  <si>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</si>
  <si>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</si>
  <si>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</si>
  <si>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</si>
  <si>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</si>
  <si>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</si>
  <si>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</si>
  <si>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</si>
  <si>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</si>
  <si>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</si>
  <si>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</si>
  <si>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</si>
  <si>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</si>
  <si>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</si>
  <si>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</si>
  <si>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</si>
  <si>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</si>
  <si>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</si>
  <si>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</si>
  <si>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</si>
  <si>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</si>
  <si>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</si>
  <si>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</si>
  <si>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</si>
  <si>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</si>
  <si>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</si>
  <si>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</si>
  <si>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</si>
  <si>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</si>
  <si>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</si>
  <si>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</si>
  <si>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</si>
  <si>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</si>
  <si>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</si>
  <si>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</si>
  <si>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</si>
  <si>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</si>
  <si>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</si>
  <si>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</si>
  <si>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</si>
  <si>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</si>
  <si>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</si>
  <si>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</si>
  <si>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</si>
  <si>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</si>
  <si>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</si>
  <si>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</si>
  <si>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</si>
  <si>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</si>
  <si>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</si>
  <si>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</si>
  <si>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</si>
  <si>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</si>
  <si>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</si>
  <si>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</si>
  <si>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</si>
  <si>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</si>
  <si>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</si>
  <si>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</si>
  <si>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</si>
  <si>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</si>
  <si>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</si>
  <si>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</si>
  <si>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</si>
  <si>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</si>
  <si>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</si>
  <si>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</si>
  <si>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</si>
  <si>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</si>
  <si>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</si>
  <si>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</si>
  <si>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</si>
  <si>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</si>
  <si>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</si>
  <si>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</si>
  <si>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</si>
  <si>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</si>
  <si>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</si>
  <si>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</si>
  <si>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</si>
  <si>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</si>
  <si>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</si>
  <si>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</si>
  <si>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</si>
  <si>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</si>
  <si>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</si>
  <si>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</si>
  <si>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</si>
  <si>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</si>
  <si>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</si>
  <si>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</si>
  <si>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</si>
  <si>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</si>
  <si>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</si>
  <si>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</si>
  <si>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</si>
  <si>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</si>
  <si>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</si>
  <si>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</si>
  <si>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</si>
  <si>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</si>
  <si>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</si>
  <si>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</si>
  <si>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</si>
  <si>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</si>
  <si>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</si>
  <si>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</si>
  <si>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</si>
  <si>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</si>
  <si>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</si>
  <si>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</si>
  <si>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</si>
  <si>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</si>
  <si>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</si>
  <si>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</si>
  <si>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</si>
  <si>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</si>
  <si>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</si>
  <si>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</si>
  <si>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</si>
  <si>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</si>
  <si>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</si>
  <si>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</si>
  <si>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</si>
  <si>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</si>
  <si>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</si>
  <si>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</si>
  <si>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</si>
  <si>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</si>
  <si>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</si>
  <si>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</si>
  <si>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</si>
  <si>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</si>
  <si>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</si>
  <si>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</si>
  <si>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</si>
  <si>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</si>
  <si>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</si>
  <si>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</si>
  <si>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</si>
  <si>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</si>
  <si>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</si>
  <si>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</si>
  <si>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</si>
  <si>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</si>
  <si>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</si>
  <si>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</si>
  <si>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</si>
  <si>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</si>
  <si>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</si>
  <si>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</si>
  <si>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</si>
  <si>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</si>
  <si>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</si>
  <si>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</si>
  <si>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</si>
  <si>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</si>
  <si>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</si>
  <si>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</si>
  <si>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</si>
  <si>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</si>
  <si>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</si>
  <si>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</si>
  <si>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</si>
  <si>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</si>
  <si>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</si>
  <si>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</si>
  <si>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</si>
  <si>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</si>
  <si>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</si>
  <si>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</si>
  <si>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</si>
  <si>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</si>
  <si>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</si>
  <si>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</si>
  <si>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</si>
  <si>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</si>
  <si>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</si>
  <si>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</si>
  <si>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</si>
  <si>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</si>
  <si>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</si>
  <si>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</si>
  <si>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</si>
  <si>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</si>
  <si>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</si>
  <si>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</si>
  <si>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</si>
  <si>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</si>
  <si>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</si>
  <si>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</si>
  <si>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</si>
  <si>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</si>
  <si>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</si>
  <si>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</si>
  <si>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</si>
  <si>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</si>
  <si>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</si>
  <si>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</si>
  <si>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</si>
  <si>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</si>
  <si>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</si>
  <si>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</si>
  <si>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</si>
  <si>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</si>
  <si>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</si>
  <si>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</si>
  <si>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</si>
  <si>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</si>
  <si>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</si>
  <si>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</si>
  <si>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</si>
  <si>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</si>
  <si>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</si>
  <si>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</si>
  <si>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</si>
  <si>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</si>
  <si>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</si>
  <si>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</si>
  <si>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</si>
  <si>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</si>
  <si>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</si>
  <si>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</si>
  <si>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</si>
  <si>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</si>
  <si>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</si>
  <si>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</si>
  <si>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</si>
  <si>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</si>
  <si>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</si>
  <si>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</si>
  <si>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</si>
  <si>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</si>
  <si>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</si>
  <si>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</si>
  <si>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</si>
  <si>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</si>
  <si>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</si>
  <si>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</si>
  <si>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</si>
  <si>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</si>
  <si>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</si>
  <si>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</si>
  <si>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</si>
  <si>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</si>
  <si>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</si>
  <si>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</si>
  <si>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</si>
  <si>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</si>
  <si>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</si>
  <si>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</si>
  <si>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</si>
  <si>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</si>
  <si>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</si>
  <si>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</si>
  <si>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</si>
  <si>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</si>
  <si>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</si>
  <si>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</si>
  <si>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</si>
  <si>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</si>
  <si>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</si>
  <si>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</si>
  <si>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</si>
  <si>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</si>
  <si>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</si>
  <si>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</si>
  <si>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</si>
  <si>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</si>
  <si>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</si>
  <si>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</si>
  <si>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</si>
  <si>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</si>
  <si>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</si>
  <si>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</si>
  <si>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</si>
  <si>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</si>
  <si>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</si>
  <si>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</si>
  <si>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</si>
  <si>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</si>
  <si>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</si>
  <si>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</si>
  <si>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</si>
  <si>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</si>
  <si>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</si>
  <si>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</si>
  <si>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</si>
  <si>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</si>
  <si>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</si>
  <si>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</si>
  <si>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</si>
  <si>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</si>
  <si>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</si>
  <si>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</si>
  <si>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</si>
  <si>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</si>
  <si>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</si>
  <si>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</si>
  <si>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</si>
  <si>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</si>
  <si>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</si>
  <si>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</si>
  <si>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</si>
  <si>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</si>
  <si>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</si>
  <si>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</si>
  <si>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</si>
  <si>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</si>
  <si>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</si>
  <si>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</si>
  <si>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</si>
  <si>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</si>
  <si>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</si>
  <si>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</si>
  <si>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</si>
  <si>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</si>
  <si>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</si>
  <si>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</si>
  <si>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</si>
  <si>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</si>
  <si>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</si>
  <si>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</si>
  <si>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</si>
  <si>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</si>
  <si>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</si>
  <si>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</si>
  <si>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</si>
  <si>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</si>
  <si>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</si>
  <si>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</si>
  <si>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</si>
  <si>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</si>
  <si>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</si>
  <si>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</si>
  <si>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</si>
  <si>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</si>
  <si>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</si>
  <si>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</si>
  <si>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</si>
  <si>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</si>
  <si>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</si>
  <si>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</si>
  <si>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</si>
  <si>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</si>
  <si>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</si>
  <si>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</si>
  <si>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</si>
  <si>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</si>
  <si>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</si>
  <si>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</si>
  <si>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</si>
  <si>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</si>
  <si>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</si>
  <si>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</si>
  <si>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</si>
  <si>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</si>
  <si>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</si>
  <si>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</si>
  <si>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</si>
  <si>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</si>
  <si>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</si>
  <si>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</si>
  <si>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</si>
  <si>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</si>
  <si>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</si>
  <si>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</si>
  <si>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</si>
  <si>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</si>
  <si>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</si>
  <si>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</si>
  <si>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</si>
  <si>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</si>
  <si>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</si>
  <si>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</si>
  <si>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</si>
  <si>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</si>
  <si>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</si>
  <si>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</si>
  <si>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</si>
  <si>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</si>
  <si>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</si>
  <si>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</si>
  <si>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</si>
  <si>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</si>
  <si>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</si>
  <si>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</si>
  <si>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</si>
  <si>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</si>
  <si>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</si>
  <si>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</si>
  <si>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</si>
  <si>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</si>
  <si>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</si>
  <si>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</si>
  <si>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</si>
  <si>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</si>
  <si>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</si>
  <si>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</si>
  <si>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</si>
  <si>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</si>
  <si>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</si>
  <si>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</si>
  <si>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</si>
  <si>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</si>
  <si>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</si>
  <si>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</si>
  <si>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</si>
  <si>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</si>
  <si>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</si>
  <si>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</si>
  <si>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</si>
  <si>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</si>
  <si>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</si>
  <si>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</si>
  <si>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</si>
  <si>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</si>
  <si>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</si>
  <si>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</si>
  <si>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</si>
  <si>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</si>
  <si>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</si>
  <si>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</si>
  <si>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</si>
  <si>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</si>
  <si>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</si>
  <si>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</si>
  <si>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</si>
  <si>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</si>
  <si>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</si>
  <si>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</si>
  <si>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</si>
  <si>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</si>
  <si>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</si>
  <si>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</si>
  <si>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</si>
  <si>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</si>
  <si>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</si>
  <si>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</si>
  <si>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</si>
  <si>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</si>
  <si>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</si>
  <si>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</si>
  <si>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</si>
  <si>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</si>
  <si>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</si>
  <si>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</si>
  <si>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</si>
  <si>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</si>
  <si>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</si>
  <si>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</si>
  <si>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</si>
  <si>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</si>
  <si>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</si>
  <si>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</si>
  <si>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</si>
  <si>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</si>
  <si>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</si>
  <si>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</si>
  <si>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</si>
  <si>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</si>
  <si>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</si>
  <si>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</si>
  <si>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</si>
  <si>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</si>
  <si>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</si>
  <si>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</si>
  <si>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</si>
  <si>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</si>
  <si>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</si>
  <si>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</si>
  <si>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</si>
  <si>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</si>
  <si>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</si>
  <si>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</si>
  <si>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</si>
  <si>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</si>
  <si>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</si>
  <si>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</si>
  <si>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</si>
  <si>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</si>
  <si>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</si>
  <si>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</si>
  <si>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</si>
  <si>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</si>
  <si>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</si>
  <si>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</si>
  <si>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</si>
  <si>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</si>
  <si>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</si>
  <si>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</si>
  <si>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</si>
  <si>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</si>
  <si>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</si>
  <si>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</si>
  <si>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</si>
  <si>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</si>
  <si>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</si>
  <si>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</si>
  <si>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</si>
  <si>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</si>
  <si>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</si>
  <si>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</si>
  <si>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</si>
  <si>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</si>
  <si>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</si>
  <si>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</si>
  <si>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</si>
  <si>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</si>
  <si>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</si>
  <si>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</si>
  <si>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</si>
  <si>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</si>
  <si>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</si>
  <si>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</si>
  <si>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</si>
  <si>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</si>
  <si>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</si>
  <si>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</si>
  <si>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</si>
  <si>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</si>
  <si>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</si>
  <si>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</si>
  <si>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</si>
  <si>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</si>
  <si>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</si>
  <si>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</si>
  <si>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</si>
  <si>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</si>
  <si>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</si>
  <si>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</si>
  <si>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</si>
  <si>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</si>
  <si>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</si>
  <si>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</si>
  <si>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</si>
  <si>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</si>
  <si>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</si>
  <si>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</si>
  <si>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</si>
  <si>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</si>
  <si>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</si>
  <si>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</si>
  <si>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</si>
  <si>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</si>
  <si>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</si>
  <si>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</si>
  <si>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</si>
  <si>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</si>
  <si>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</si>
  <si>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</si>
  <si>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</si>
  <si>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</si>
  <si>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</si>
  <si>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</si>
  <si>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</si>
  <si>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</si>
  <si>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</si>
  <si>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</si>
  <si>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</si>
  <si>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</si>
  <si>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</si>
  <si>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</si>
  <si>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</si>
  <si>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</si>
  <si>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</si>
  <si>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</si>
  <si>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</si>
  <si>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</si>
  <si>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</si>
  <si>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</si>
  <si>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</si>
  <si>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</si>
  <si>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</si>
  <si>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</si>
  <si>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</si>
  <si>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</si>
  <si>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</si>
  <si>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</si>
  <si>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</si>
  <si>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</si>
  <si>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</si>
  <si>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</si>
  <si>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</si>
  <si>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</si>
  <si>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</si>
  <si>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</si>
  <si>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</si>
  <si>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</si>
  <si>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</si>
  <si>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</si>
  <si>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</si>
  <si>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</si>
  <si>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</si>
  <si>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</si>
  <si>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</si>
  <si>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</si>
  <si>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</si>
  <si>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</si>
  <si>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</si>
  <si>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</si>
  <si>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</si>
  <si>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</si>
  <si>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</si>
  <si>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</si>
  <si>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</si>
  <si>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</si>
  <si>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</si>
  <si>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</si>
  <si>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</si>
  <si>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</si>
  <si>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</si>
  <si>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</si>
  <si>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</si>
  <si>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</si>
  <si>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</si>
  <si>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</si>
  <si>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</si>
  <si>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</si>
  <si>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</si>
  <si>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</si>
  <si>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</si>
  <si>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</si>
  <si>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</si>
  <si>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</si>
  <si>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</si>
  <si>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</si>
  <si>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</si>
  <si>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</si>
  <si>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</si>
  <si>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</si>
  <si>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</si>
  <si>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</si>
  <si>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</si>
  <si>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</si>
  <si>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</si>
  <si>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</si>
  <si>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</si>
  <si>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</si>
  <si>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</si>
  <si>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</si>
  <si>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</si>
  <si>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</si>
  <si>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</si>
  <si>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</si>
  <si>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</si>
  <si>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</si>
  <si>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</si>
  <si>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</si>
  <si>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</si>
  <si>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</si>
  <si>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</si>
  <si>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</si>
  <si>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</si>
  <si>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</si>
  <si>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</si>
  <si>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</si>
  <si>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</si>
  <si>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</si>
  <si>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</si>
  <si>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</si>
  <si>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</si>
  <si>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</si>
  <si>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</si>
  <si>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</si>
  <si>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</si>
  <si>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</si>
  <si>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</si>
  <si>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</si>
  <si>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</si>
  <si>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</si>
  <si>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</si>
  <si>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</si>
  <si>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</si>
  <si>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</si>
  <si>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</si>
  <si>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</si>
  <si>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</si>
  <si>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</si>
  <si>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</si>
  <si>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</si>
  <si>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</si>
  <si>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</si>
  <si>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</si>
  <si>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</si>
  <si>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</si>
  <si>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</si>
  <si>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</si>
  <si>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</si>
  <si>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</si>
  <si>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</si>
  <si>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</si>
  <si>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</si>
  <si>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</si>
  <si>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</si>
  <si>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</si>
  <si>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</si>
  <si>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</si>
  <si>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</si>
  <si>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</si>
  <si>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</si>
  <si>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</si>
  <si>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</si>
  <si>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</si>
  <si>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</si>
  <si>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</si>
  <si>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</si>
  <si>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</si>
  <si>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</si>
  <si>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</si>
  <si>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</si>
  <si>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</si>
  <si>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</si>
  <si>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</si>
  <si>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</si>
  <si>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</si>
  <si>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</si>
  <si>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</si>
  <si>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</si>
  <si>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</si>
  <si>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</si>
  <si>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</si>
  <si>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</si>
  <si>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</si>
  <si>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</si>
  <si>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</si>
  <si>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</si>
  <si>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</si>
  <si>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</si>
  <si>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</si>
  <si>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</si>
  <si>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</si>
  <si>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</si>
  <si>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</si>
  <si>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</si>
  <si>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</si>
  <si>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</si>
  <si>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</si>
  <si>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</si>
  <si>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</si>
  <si>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</si>
  <si>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</si>
  <si>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</si>
  <si>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</si>
  <si>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</si>
  <si>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</si>
  <si>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</si>
  <si>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</si>
  <si>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</si>
  <si>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</si>
  <si>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</si>
  <si>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</si>
  <si>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</si>
  <si>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</si>
  <si>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</si>
  <si>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</si>
  <si>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</si>
  <si>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</si>
  <si>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</si>
  <si>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</si>
  <si>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</si>
  <si>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</si>
  <si>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</si>
  <si>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</si>
  <si>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</si>
  <si>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</si>
  <si>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</si>
  <si>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</si>
  <si>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</si>
  <si>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</si>
  <si>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</si>
  <si>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</si>
  <si>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</si>
  <si>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</si>
  <si>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</si>
  <si>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</si>
  <si>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</si>
  <si>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</si>
  <si>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</si>
  <si>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</si>
  <si>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</si>
  <si>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</si>
  <si>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</si>
  <si>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</si>
  <si>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</si>
  <si>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</si>
  <si>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</si>
  <si>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</si>
  <si>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</si>
  <si>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</si>
  <si>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</si>
  <si>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</si>
  <si>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</si>
  <si>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</si>
  <si>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</si>
  <si>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</si>
  <si>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</si>
  <si>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</si>
  <si>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</si>
  <si>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</si>
  <si>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</si>
  <si>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</si>
  <si>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</si>
  <si>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</si>
  <si>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</si>
  <si>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</si>
  <si>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</si>
  <si>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</si>
  <si>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</si>
  <si>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</si>
  <si>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</si>
  <si>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</si>
  <si>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</si>
  <si>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</si>
  <si>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</si>
  <si>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</si>
  <si>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</si>
  <si>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</si>
  <si>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</si>
  <si>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</si>
  <si>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</si>
  <si>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</si>
  <si>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</si>
  <si>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</si>
  <si>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</si>
  <si>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</si>
  <si>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</si>
  <si>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</si>
  <si>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</si>
  <si>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</si>
  <si>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</si>
  <si>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</si>
  <si>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</si>
  <si>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</si>
  <si>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</si>
  <si>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</si>
  <si>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</si>
  <si>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</si>
  <si>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</si>
  <si>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</si>
  <si>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</si>
  <si>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</si>
  <si>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</si>
  <si>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</si>
  <si>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</si>
  <si>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</si>
  <si>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</si>
  <si>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</si>
  <si>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</si>
  <si>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</si>
  <si>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</si>
  <si>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</si>
  <si>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</si>
  <si>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</si>
  <si>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</si>
  <si>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</si>
  <si>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</si>
  <si>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</si>
  <si>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</si>
  <si>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</si>
  <si>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</si>
  <si>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</si>
  <si>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</si>
  <si>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</si>
  <si>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</si>
  <si>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</si>
  <si>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</si>
  <si>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</si>
  <si>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</si>
  <si>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</si>
  <si>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</si>
  <si>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</si>
  <si>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</si>
  <si>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</si>
  <si>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</si>
  <si>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</si>
  <si>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</si>
  <si>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</si>
  <si>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</si>
  <si>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</si>
  <si>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</si>
  <si>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</si>
  <si>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</si>
  <si>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</si>
  <si>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</si>
  <si>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</si>
  <si>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</si>
  <si>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</si>
  <si>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</si>
  <si>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</si>
  <si>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</si>
  <si>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</si>
  <si>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</si>
  <si>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</si>
  <si>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</si>
  <si>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</si>
  <si>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</si>
  <si>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</si>
  <si>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</si>
  <si>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</si>
  <si>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</si>
  <si>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</si>
  <si>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</si>
  <si>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</si>
  <si>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</si>
  <si>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</si>
  <si>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</si>
  <si>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</si>
  <si>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</si>
  <si>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</si>
  <si>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</si>
  <si>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</si>
  <si>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</si>
  <si>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</si>
  <si>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</si>
  <si>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</si>
  <si>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</si>
  <si>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</si>
  <si>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</si>
  <si>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</si>
  <si>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</si>
  <si>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</si>
  <si>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</si>
  <si>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</si>
  <si>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</si>
  <si>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</si>
  <si>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</si>
  <si>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</si>
  <si>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</si>
  <si>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</si>
  <si>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</si>
  <si>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</si>
  <si>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</si>
  <si>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</si>
  <si>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</si>
  <si>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</si>
  <si>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</si>
  <si>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</si>
  <si>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</si>
  <si>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</si>
  <si>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</si>
  <si>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</si>
  <si>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</si>
  <si>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</si>
  <si>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</si>
  <si>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</si>
  <si>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</si>
  <si>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</si>
  <si>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</si>
  <si>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</si>
  <si>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</si>
  <si>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</si>
  <si>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</si>
  <si>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</si>
  <si>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</si>
  <si>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</si>
  <si>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</si>
  <si>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</si>
  <si>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</si>
  <si>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</si>
  <si>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</si>
  <si>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</si>
  <si>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</si>
  <si>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</si>
  <si>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</si>
  <si>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</si>
  <si>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</si>
  <si>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</si>
  <si>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</si>
  <si>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</si>
  <si>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</si>
  <si>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</si>
  <si>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</si>
  <si>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</si>
  <si>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</si>
  <si>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</si>
  <si>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</si>
  <si>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</si>
  <si>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</si>
  <si>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</si>
  <si>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</si>
  <si>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</si>
  <si>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</si>
  <si>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</si>
  <si>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</si>
  <si>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</si>
  <si>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</si>
  <si>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</si>
  <si>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</si>
  <si>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</si>
  <si>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</si>
  <si>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</si>
  <si>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</si>
  <si>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</si>
  <si>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</si>
  <si>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</si>
  <si>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</si>
  <si>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</si>
  <si>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</si>
  <si>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</si>
  <si>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</si>
  <si>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</si>
  <si>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</si>
  <si>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</si>
  <si>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</si>
  <si>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</si>
  <si>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</si>
  <si>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</si>
  <si>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</si>
  <si>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</si>
  <si>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</si>
  <si>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</si>
  <si>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</si>
  <si>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</si>
  <si>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</si>
  <si>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</si>
  <si>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</si>
  <si>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</si>
  <si>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</si>
  <si>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</si>
  <si>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</si>
  <si>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</si>
  <si>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</si>
  <si>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</si>
  <si>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</si>
  <si>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</si>
  <si>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</si>
  <si>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</si>
  <si>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</si>
  <si>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</si>
  <si>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</si>
  <si>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</si>
  <si>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</si>
  <si>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</si>
  <si>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</si>
  <si>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</si>
  <si>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</si>
  <si>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</si>
  <si>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</si>
  <si>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</si>
  <si>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</si>
  <si>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</si>
  <si>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</si>
  <si>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</si>
  <si>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</si>
  <si>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</si>
  <si>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</si>
  <si>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</si>
  <si>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</si>
  <si>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</si>
  <si>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</si>
  <si>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</si>
  <si>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</si>
  <si>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</si>
  <si>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</si>
  <si>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</si>
  <si>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</si>
  <si>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</si>
  <si>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</si>
  <si>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</si>
  <si>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</si>
  <si>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</si>
  <si>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</si>
  <si>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</si>
  <si>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</si>
  <si>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</si>
  <si>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</si>
  <si>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</si>
  <si>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</si>
  <si>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</si>
  <si>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</si>
  <si>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</si>
  <si>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</si>
  <si>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</si>
  <si>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</si>
  <si>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</si>
  <si>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</si>
  <si>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</si>
  <si>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</si>
  <si>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</si>
  <si>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</si>
  <si>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</si>
  <si>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</si>
  <si>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</si>
  <si>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</si>
  <si>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</si>
  <si>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</si>
  <si>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</si>
  <si>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</si>
  <si>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</si>
  <si>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</si>
  <si>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</si>
  <si>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</si>
  <si>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</si>
  <si>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</si>
  <si>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</si>
  <si>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</si>
  <si>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</si>
  <si>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</si>
  <si>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</si>
  <si>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</si>
  <si>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</si>
  <si>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</si>
  <si>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</si>
  <si>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</si>
  <si>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</si>
  <si>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</si>
  <si>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</si>
  <si>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</si>
  <si>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</si>
  <si>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</si>
  <si>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</si>
  <si>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</si>
  <si>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</si>
  <si>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</si>
  <si>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</si>
  <si>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</si>
  <si>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</si>
  <si>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</si>
  <si>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</si>
  <si>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</si>
  <si>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</si>
  <si>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</si>
  <si>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</si>
  <si>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</si>
  <si>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</si>
  <si>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</si>
  <si>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</si>
  <si>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</si>
  <si>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</si>
  <si>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</si>
  <si>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</si>
  <si>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</si>
  <si>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</si>
  <si>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</si>
  <si>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</si>
  <si>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</si>
  <si>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</si>
  <si>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</si>
  <si>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</si>
  <si>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</si>
  <si>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</si>
  <si>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</si>
  <si>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</si>
  <si>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</si>
  <si>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</si>
  <si>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</si>
  <si>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</si>
  <si>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</si>
  <si>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</si>
  <si>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</si>
  <si>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</si>
  <si>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</si>
  <si>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</si>
  <si>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</si>
  <si>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</si>
  <si>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</si>
  <si>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</si>
  <si>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</si>
  <si>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</si>
  <si>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</si>
  <si>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</si>
  <si>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</si>
  <si>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</si>
  <si>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</si>
  <si>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</si>
  <si>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</si>
  <si>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</si>
  <si>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</si>
  <si>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</si>
  <si>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</si>
  <si>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</si>
  <si>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</si>
  <si>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</si>
  <si>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</si>
  <si>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</si>
  <si>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</si>
  <si>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</si>
  <si>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</si>
  <si>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</si>
  <si>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</si>
  <si>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</si>
  <si>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</si>
  <si>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</si>
  <si>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</si>
  <si>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</si>
  <si>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</si>
  <si>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</si>
  <si>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</si>
  <si>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</si>
  <si>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</si>
  <si>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</si>
  <si>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</si>
  <si>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</si>
  <si>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</si>
  <si>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</si>
  <si>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</si>
  <si>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</si>
  <si>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</si>
  <si>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</si>
  <si>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</si>
  <si>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</si>
  <si>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</si>
  <si>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</si>
  <si>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</si>
  <si>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</si>
  <si>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</si>
  <si>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</si>
  <si>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</si>
  <si>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</si>
  <si>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</si>
  <si>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</si>
  <si>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</si>
  <si>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</si>
  <si>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</si>
  <si>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</si>
  <si>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</si>
  <si>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</si>
  <si>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</si>
  <si>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</si>
  <si>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</si>
  <si>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</si>
  <si>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</si>
  <si>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</si>
  <si>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</si>
  <si>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</si>
  <si>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</si>
  <si>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</si>
  <si>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</si>
  <si>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</si>
  <si>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</si>
  <si>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</si>
  <si>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</si>
  <si>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</si>
  <si>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</si>
  <si>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</si>
  <si>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</si>
  <si>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</si>
  <si>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</si>
  <si>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</si>
  <si>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</si>
  <si>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</si>
  <si>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</si>
  <si>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</si>
  <si>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</si>
  <si>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</si>
  <si>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</si>
  <si>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</si>
  <si>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</si>
  <si>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</si>
  <si>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</si>
  <si>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</si>
  <si>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</si>
  <si>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</si>
  <si>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</si>
  <si>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</si>
  <si>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</si>
  <si>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</si>
  <si>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</si>
  <si>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</si>
  <si>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</si>
  <si>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</si>
  <si>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</si>
  <si>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</si>
  <si>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</si>
  <si>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</si>
  <si>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</si>
  <si>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</si>
  <si>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</si>
  <si>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</si>
  <si>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</si>
  <si>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</si>
  <si>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</si>
  <si>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</si>
  <si>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</si>
  <si>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</si>
  <si>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</si>
  <si>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</si>
  <si>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</si>
  <si>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</si>
  <si>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</si>
  <si>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</si>
  <si>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</si>
  <si>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</si>
  <si>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</si>
  <si>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</si>
  <si>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</si>
  <si>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</si>
  <si>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</si>
  <si>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</si>
  <si>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</si>
  <si>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</si>
  <si>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</si>
  <si>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</si>
  <si>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</si>
  <si>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</si>
  <si>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</si>
  <si>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</si>
  <si>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</si>
  <si>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</si>
  <si>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</si>
  <si>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</si>
  <si>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</si>
  <si>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</si>
  <si>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</si>
  <si>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</si>
  <si>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</si>
  <si>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</si>
  <si>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</si>
  <si>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</si>
  <si>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</si>
  <si>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</si>
  <si>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</si>
  <si>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</si>
  <si>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</si>
  <si>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</si>
  <si>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</si>
  <si>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</si>
  <si>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</si>
  <si>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</si>
  <si>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</si>
  <si>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</si>
  <si>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</si>
  <si>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</si>
  <si>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</si>
  <si>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</si>
  <si>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</si>
  <si>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</si>
  <si>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</si>
  <si>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</si>
  <si>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</si>
  <si>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</si>
  <si>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</si>
  <si>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</si>
  <si>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</si>
  <si>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</si>
  <si>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</si>
  <si>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</si>
  <si>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</si>
  <si>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</si>
  <si>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</si>
  <si>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</si>
  <si>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</si>
  <si>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</si>
  <si>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</si>
  <si>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</si>
  <si>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</si>
  <si>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</si>
  <si>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</si>
  <si>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</si>
  <si>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</si>
  <si>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</si>
  <si>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</si>
  <si>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</si>
  <si>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</si>
  <si>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</si>
  <si>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</si>
  <si>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</si>
  <si>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</si>
  <si>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</si>
  <si>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</si>
  <si>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</si>
  <si>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</si>
  <si>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</si>
  <si>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</si>
  <si>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</si>
  <si>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</si>
  <si>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</si>
  <si>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</si>
  <si>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</si>
  <si>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</si>
  <si>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</si>
  <si>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</si>
  <si>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</si>
  <si>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</si>
  <si>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</si>
  <si>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</si>
  <si>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</si>
  <si>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</si>
  <si>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</si>
  <si>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</si>
  <si>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</si>
  <si>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</si>
  <si>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</si>
  <si>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</si>
  <si>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</si>
  <si>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</si>
  <si>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</si>
  <si>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</si>
  <si>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</si>
  <si>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</si>
  <si>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</si>
  <si>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</si>
  <si>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</si>
  <si>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</si>
  <si>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</si>
  <si>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</si>
  <si>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</si>
  <si>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</si>
  <si>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</si>
  <si>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</si>
  <si>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</si>
  <si>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</si>
  <si>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</si>
  <si>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</si>
  <si>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</si>
  <si>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</si>
  <si>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</si>
  <si>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</si>
  <si>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</si>
  <si>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</si>
  <si>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</si>
  <si>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</si>
  <si>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</si>
  <si>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</si>
  <si>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</si>
  <si>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</si>
  <si>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</si>
  <si>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</si>
  <si>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</si>
  <si>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</si>
  <si>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</si>
  <si>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</si>
  <si>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</si>
  <si>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</si>
  <si>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</si>
  <si>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</si>
  <si>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</si>
  <si>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</si>
  <si>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</si>
  <si>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</si>
  <si>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</si>
  <si>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</si>
  <si>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</si>
  <si>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</si>
  <si>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</si>
  <si>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</si>
  <si>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</si>
  <si>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</si>
  <si>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</si>
  <si>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</si>
  <si>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</si>
  <si>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</si>
  <si>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</si>
  <si>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</si>
  <si>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</si>
  <si>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</si>
  <si>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</si>
  <si>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</si>
  <si>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</si>
  <si>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</si>
  <si>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</si>
  <si>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</si>
  <si>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</si>
  <si>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</si>
  <si>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</si>
  <si>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</si>
  <si>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</si>
  <si>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</si>
  <si>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</si>
  <si>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</si>
  <si>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</si>
  <si>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</si>
  <si>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</si>
  <si>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</si>
  <si>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</si>
  <si>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</si>
  <si>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</si>
  <si>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</si>
  <si>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</si>
  <si>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</si>
  <si>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</si>
  <si>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</si>
  <si>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</si>
  <si>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</si>
  <si>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</si>
  <si>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</si>
  <si>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</si>
  <si>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</si>
  <si>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</si>
  <si>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</si>
  <si>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</si>
  <si>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phoneticPr fontId="30" type="noConversion"/>
  </si>
  <si>
    <t>不可餐饮</t>
  </si>
  <si>
    <t>不可餐饮</t>
    <phoneticPr fontId="30" type="noConversion"/>
  </si>
  <si>
    <t>配套裙楼</t>
    <phoneticPr fontId="30" type="noConversion"/>
  </si>
  <si>
    <t>超高层高</t>
    <phoneticPr fontId="30" type="noConversion"/>
  </si>
  <si>
    <t>标准层高</t>
  </si>
  <si>
    <t>标准层高</t>
    <phoneticPr fontId="30" type="noConversion"/>
  </si>
  <si>
    <t>精装修</t>
  </si>
  <si>
    <t>精装修</t>
    <phoneticPr fontId="30" type="noConversion"/>
  </si>
  <si>
    <t>简装修</t>
    <phoneticPr fontId="30" type="noConversion"/>
  </si>
  <si>
    <t>毛坯</t>
    <phoneticPr fontId="30" type="noConversion"/>
  </si>
  <si>
    <r>
      <t>1-2</t>
    </r>
    <r>
      <rPr>
        <sz val="11"/>
        <color indexed="8"/>
        <rFont val="宋体"/>
        <family val="3"/>
        <charset val="134"/>
      </rPr>
      <t>层</t>
    </r>
    <phoneticPr fontId="30" type="noConversion"/>
  </si>
  <si>
    <t>1层</t>
  </si>
  <si>
    <t>押一</t>
  </si>
  <si>
    <t>非生产用房</t>
  </si>
  <si>
    <t>底商</t>
  </si>
  <si>
    <t>底商</t>
    <phoneticPr fontId="30" type="noConversion"/>
  </si>
  <si>
    <t>未包含在土地购买价格中</t>
  </si>
  <si>
    <t>已包含在土地取得成本中</t>
  </si>
  <si>
    <t>与级别开发程度一致</t>
  </si>
  <si>
    <t>不临街</t>
  </si>
  <si>
    <t>不临65条商业街</t>
  </si>
  <si>
    <t>容积率修正</t>
  </si>
  <si>
    <t>平整</t>
  </si>
  <si>
    <t>全部缴纳</t>
  </si>
  <si>
    <t>地下</t>
  </si>
  <si>
    <t>商业</t>
    <phoneticPr fontId="7" type="noConversion"/>
  </si>
  <si>
    <t>收益法</t>
  </si>
  <si>
    <t>估价对象容积率</t>
  </si>
  <si>
    <t>燃气</t>
  </si>
  <si>
    <t>通热</t>
  </si>
  <si>
    <t>情况3</t>
  </si>
  <si>
    <t>自行开发建设</t>
  </si>
  <si>
    <t>非个人房产</t>
  </si>
  <si>
    <t>企业提供（在右侧录入）</t>
  </si>
  <si>
    <t>出让金+开发费</t>
  </si>
  <si>
    <t>商业项目</t>
  </si>
  <si>
    <t>郑燚</t>
  </si>
  <si>
    <t>崔锴</t>
  </si>
  <si>
    <t>主体</t>
  </si>
  <si>
    <t>人防</t>
    <phoneticPr fontId="3" type="noConversion"/>
  </si>
  <si>
    <t>装修</t>
  </si>
  <si>
    <t>设备</t>
  </si>
  <si>
    <t>外部</t>
  </si>
  <si>
    <t>自然人</t>
  </si>
  <si>
    <r>
      <t>2</t>
    </r>
    <r>
      <rPr>
        <sz val="11"/>
        <color indexed="8"/>
        <rFont val="宋体"/>
        <family val="3"/>
        <charset val="134"/>
      </rPr>
      <t>层</t>
    </r>
    <phoneticPr fontId="30" type="noConversion"/>
  </si>
  <si>
    <r>
      <t>1</t>
    </r>
    <r>
      <rPr>
        <sz val="11"/>
        <color indexed="8"/>
        <rFont val="宋体"/>
        <family val="3"/>
        <charset val="134"/>
      </rPr>
      <t>层</t>
    </r>
    <phoneticPr fontId="30" type="noConversion"/>
  </si>
  <si>
    <t>是</t>
    <phoneticPr fontId="30" type="noConversion"/>
  </si>
  <si>
    <t>否</t>
    <phoneticPr fontId="30" type="noConversion"/>
  </si>
  <si>
    <t>简装修</t>
  </si>
  <si>
    <t>报价</t>
  </si>
  <si>
    <t>报价</t>
    <phoneticPr fontId="30" type="noConversion"/>
  </si>
  <si>
    <t>比较法-商业</t>
  </si>
  <si>
    <t xml:space="preserve"> 天桥北里</t>
    <phoneticPr fontId="3" type="noConversion"/>
  </si>
  <si>
    <t xml:space="preserve"> 天桥北里</t>
    <phoneticPr fontId="3" type="noConversion"/>
  </si>
  <si>
    <t>一层</t>
    <phoneticPr fontId="134" type="noConversion"/>
  </si>
  <si>
    <t>地下一层</t>
    <phoneticPr fontId="134" type="noConversion"/>
  </si>
  <si>
    <t>圆心妙手</t>
    <phoneticPr fontId="134" type="noConversion"/>
  </si>
  <si>
    <t>药店</t>
    <phoneticPr fontId="134" type="noConversion"/>
  </si>
  <si>
    <t>是否有地下</t>
    <phoneticPr fontId="30" type="noConversion"/>
  </si>
  <si>
    <t>是</t>
    <phoneticPr fontId="30" type="noConversion"/>
  </si>
  <si>
    <t>收益比率</t>
  </si>
  <si>
    <t>收益法 (元)</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</si>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</sst>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000000"/>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vertical="center" wrapText="1"/>
      <protection locked="0"/>
    </xf>
    <xf numFmtId="0" fontId="53" fillId="16" borderId="32" xfId="0" applyFont="1" applyFill="1" applyBorder="1" applyAlignment="1" applyProtection="1">
      <alignment vertical="center" wrapText="1"/>
      <protection locked="0"/>
    </xf>
    <xf numFmtId="177" fontId="44" fillId="16" borderId="1" xfId="1" applyNumberFormat="1" applyFont="1" applyFill="1" applyBorder="1" applyAlignment="1" applyProtection="1">
      <alignment horizontal="center" vertical="center"/>
      <protection locked="0"/>
    </xf>
    <xf numFmtId="10" fontId="44" fillId="16" borderId="1" xfId="1" applyNumberFormat="1" applyFont="1" applyFill="1" applyBorder="1" applyAlignment="1" applyProtection="1">
      <alignment horizontal="center" vertical="center"/>
      <protection locked="0"/>
    </xf>
    <xf numFmtId="2" fontId="0" fillId="0" borderId="0" xfId="0" applyNumberFormat="1">
      <alignment vertical="center"/>
    </xf>
    <xf numFmtId="0" fontId="95" fillId="0" borderId="0" xfId="0" applyFont="1">
      <alignment vertical="center"/>
    </xf>
    <xf numFmtId="179" fontId="0" fillId="0" borderId="0" xfId="0" applyNumberFormat="1">
      <alignment vertical="center"/>
    </xf>
    <xf numFmtId="0" fontId="77" fillId="7" borderId="5" xfId="0" applyFont="1" applyFill="1" applyBorder="1" applyAlignment="1" applyProtection="1">
      <alignment vertical="center"/>
      <protection locked="0"/>
    </xf>
    <xf numFmtId="0" fontId="269" fillId="12" borderId="0" xfId="0" applyFont="1" applyFill="1" applyAlignment="1" applyProtection="1">
      <alignment vertical="center"/>
      <protection locked="0"/>
    </xf>
    <xf numFmtId="0" fontId="269" fillId="12" borderId="0" xfId="0" applyFont="1" applyFill="1" applyAlignment="1" applyProtection="1">
      <alignment horizontal="right" vertical="center"/>
      <protection locked="0"/>
    </xf>
    <xf numFmtId="9" fontId="47" fillId="12" borderId="0" xfId="0" applyNumberFormat="1" applyFont="1" applyFill="1" applyAlignment="1" applyProtection="1">
      <alignment horizontal="center" vertical="center"/>
      <protection locked="0"/>
    </xf>
    <xf numFmtId="179" fontId="44" fillId="0" borderId="3" xfId="0" applyNumberFormat="1" applyFont="1" applyBorder="1" applyAlignment="1" applyProtection="1">
      <alignment vertical="center"/>
      <protection locked="0"/>
    </xf>
    <xf numFmtId="181" fontId="44" fillId="18" borderId="1" xfId="0" applyNumberFormat="1" applyFont="1" applyFill="1" applyBorder="1" applyAlignment="1" applyProtection="1">
      <alignment horizontal="center" vertical="center"/>
      <protection locked="0"/>
    </xf>
    <xf numFmtId="0" fontId="47" fillId="18" borderId="0" xfId="0" applyFont="1" applyFill="1" applyAlignment="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Fill="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79" fontId="100" fillId="0" borderId="23" xfId="0" applyNumberFormat="1" applyFont="1" applyBorder="1" applyAlignment="1" applyProtection="1">
      <alignment horizontal="center" vertical="center"/>
      <protection locked="0"/>
    </xf>
    <xf numFmtId="10" fontId="100" fillId="0" borderId="1" xfId="0" applyNumberFormat="1" applyFont="1" applyBorder="1" applyAlignment="1" applyProtection="1">
      <alignment horizontal="center" vertical="center"/>
      <protection locked="0"/>
    </xf>
    <xf numFmtId="181" fontId="100" fillId="0" borderId="24" xfId="0" applyNumberFormat="1" applyFont="1" applyBorder="1" applyAlignment="1" applyProtection="1">
      <alignment horizontal="center" vertical="center"/>
      <protection locked="0"/>
    </xf>
    <xf numFmtId="181" fontId="53" fillId="0" borderId="1" xfId="0" applyNumberFormat="1" applyFont="1" applyFill="1" applyBorder="1" applyAlignment="1" applyProtection="1">
      <alignment horizontal="center" vertical="center"/>
      <protection locked="0"/>
    </xf>
    <xf numFmtId="181" fontId="53" fillId="18" borderId="1" xfId="0"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351954</xdr:colOff>
      <xdr:row>27</xdr:row>
      <xdr:rowOff>8945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771429" cy="4638095"/>
        </a:xfrm>
        <a:prstGeom prst="rect">
          <a:avLst/>
        </a:prstGeom>
      </xdr:spPr>
    </xdr:pic>
    <xdr:clientData/>
  </xdr:twoCellAnchor>
  <xdr:twoCellAnchor editAs="oneCell">
    <xdr:from>
      <xdr:col>0</xdr:col>
      <xdr:colOff>0</xdr:colOff>
      <xdr:row>28</xdr:row>
      <xdr:rowOff>0</xdr:rowOff>
    </xdr:from>
    <xdr:to>
      <xdr:col>4</xdr:col>
      <xdr:colOff>332906</xdr:colOff>
      <xdr:row>34</xdr:row>
      <xdr:rowOff>142729</xdr:rowOff>
    </xdr:to>
    <xdr:pic>
      <xdr:nvPicPr>
        <xdr:cNvPr id="4" name="图片 3"/>
        <xdr:cNvPicPr>
          <a:picLocks noChangeAspect="1"/>
        </xdr:cNvPicPr>
      </xdr:nvPicPr>
      <xdr:blipFill>
        <a:blip xmlns:r="http://schemas.openxmlformats.org/officeDocument/2006/relationships" r:embed="rId2"/>
        <a:stretch>
          <a:fillRect/>
        </a:stretch>
      </xdr:blipFill>
      <xdr:spPr>
        <a:xfrm>
          <a:off x="0" y="4800600"/>
          <a:ext cx="3752381" cy="1171429"/>
        </a:xfrm>
        <a:prstGeom prst="rect">
          <a:avLst/>
        </a:prstGeom>
      </xdr:spPr>
    </xdr:pic>
    <xdr:clientData/>
  </xdr:twoCellAnchor>
  <xdr:twoCellAnchor editAs="oneCell">
    <xdr:from>
      <xdr:col>0</xdr:col>
      <xdr:colOff>133350</xdr:colOff>
      <xdr:row>36</xdr:row>
      <xdr:rowOff>133350</xdr:rowOff>
    </xdr:from>
    <xdr:to>
      <xdr:col>4</xdr:col>
      <xdr:colOff>532923</xdr:colOff>
      <xdr:row>43</xdr:row>
      <xdr:rowOff>123676</xdr:rowOff>
    </xdr:to>
    <xdr:pic>
      <xdr:nvPicPr>
        <xdr:cNvPr id="6" name="图片 5"/>
        <xdr:cNvPicPr>
          <a:picLocks noChangeAspect="1"/>
        </xdr:cNvPicPr>
      </xdr:nvPicPr>
      <xdr:blipFill>
        <a:blip xmlns:r="http://schemas.openxmlformats.org/officeDocument/2006/relationships" r:embed="rId3"/>
        <a:stretch>
          <a:fillRect/>
        </a:stretch>
      </xdr:blipFill>
      <xdr:spPr>
        <a:xfrm>
          <a:off x="133350" y="6305550"/>
          <a:ext cx="3819048" cy="1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P03-&#19990;&#32426;&#37329;&#28304;2024\&#26368;&#32456;\&#19990;&#32426;&#37329;&#28304;DE&#2757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分层面积"/>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车库)"/>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修正"/>
      <sheetName val="基准地价修正(停车楼)"/>
      <sheetName val="土地比较法-住宅、综合"/>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6">
          <cell r="AV16">
            <v>0</v>
          </cell>
        </row>
        <row r="17">
          <cell r="AV17">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 ca="1">'预评函-封皮'!B46</f>
        <v>郑燚（注册号：1120070131)、崔锴（注册号：1120100036)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估价对象为北京市房地产，为所有。根据《国有土地使用证》[]，估价对象（分摊）出让国有建设用地使用权面积为0平方米，建筑面积为314.25平方米。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估价对象为北京市房地产,属开发建设的商业项目，该项目尚在开发建设中。根据《国有土地使用证》[]，估价对象（分摊）出让国有建设用地使用权面积为0平方米，规划建筑面积为314.25平方米。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2024年5月23日</v>
      </c>
    </row>
    <row r="13" spans="1:2" s="1202" customFormat="1">
      <c r="A13" s="1200" t="s">
        <v>529</v>
      </c>
      <c r="B13" s="1201" t="str">
        <f>'预评函-1'!A18</f>
        <v>本次估价的“房地产价值”是指在正常市场情况下，在价值时点2024年5月23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923</v>
      </c>
    </row>
    <row r="21" spans="1:2" s="1202" customFormat="1">
      <c r="A21" s="1200" t="s">
        <v>537</v>
      </c>
      <c r="B21" s="1201">
        <f ca="1">'预评函-2'!D7</f>
        <v>29365</v>
      </c>
    </row>
    <row r="22" spans="1:2" s="1202" customFormat="1">
      <c r="A22" s="1200" t="s">
        <v>538</v>
      </c>
      <c r="B22" s="1201" t="str">
        <f ca="1">'预评函-2'!D6</f>
        <v>玖佰贰拾叁万元整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923</v>
      </c>
    </row>
    <row r="31" spans="1:2" s="1202" customFormat="1">
      <c r="A31" s="1200" t="s">
        <v>576</v>
      </c>
      <c r="B31" s="1201">
        <f ca="1">'预评函-2'!D15</f>
        <v>29365</v>
      </c>
    </row>
    <row r="32" spans="1:2" s="1202" customFormat="1">
      <c r="A32" s="1200" t="s">
        <v>543</v>
      </c>
      <c r="B32" s="1201" t="str">
        <f ca="1">'预评函-2'!D14</f>
        <v>玖佰贰拾叁万元整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4.抵押净值</v>
      </c>
    </row>
    <row r="38" spans="1:2" s="1202" customFormat="1">
      <c r="A38" s="1200" t="s">
        <v>597</v>
      </c>
      <c r="B38" s="1201">
        <f ca="1">'预评函-2'!D19</f>
        <v>351</v>
      </c>
    </row>
    <row r="39" spans="1:2" s="1202" customFormat="1">
      <c r="A39" s="1200" t="s">
        <v>545</v>
      </c>
      <c r="B39" s="1201">
        <f ca="1">'预评函-2'!D21</f>
        <v>11169</v>
      </c>
    </row>
    <row r="40" spans="1:2" s="1202" customFormat="1">
      <c r="A40" s="1200" t="s">
        <v>546</v>
      </c>
      <c r="B40" s="1201" t="str">
        <f ca="1">'预评函-2'!D20</f>
        <v>叁佰伍拾壹万元整</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314.25</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f ca="1">'预评函-3'!D4</f>
        <v>780</v>
      </c>
    </row>
    <row r="48" spans="1:2" s="1202" customFormat="1">
      <c r="A48" s="1200" t="s">
        <v>549</v>
      </c>
      <c r="B48" s="1201">
        <f ca="1">'预评函-3'!E4</f>
        <v>24813</v>
      </c>
    </row>
    <row r="49" spans="1:2" s="1202" customFormat="1">
      <c r="A49" s="1200" t="s">
        <v>550</v>
      </c>
      <c r="B49" s="1201" t="str">
        <f ca="1">'预评函-3'!D5</f>
        <v>柒佰捌拾万元整</v>
      </c>
    </row>
    <row r="50" spans="1:2" s="1202" customFormat="1">
      <c r="A50" s="1200" t="s">
        <v>574</v>
      </c>
      <c r="B50" s="1201" t="str">
        <f>'预评函-3'!F2</f>
        <v>在建建筑物价值</v>
      </c>
    </row>
    <row r="51" spans="1:2" s="1202" customFormat="1">
      <c r="A51" s="1200" t="s">
        <v>551</v>
      </c>
      <c r="B51" s="1201">
        <f ca="1">'预评函-3'!F4</f>
        <v>143</v>
      </c>
    </row>
    <row r="52" spans="1:2" s="1202" customFormat="1">
      <c r="A52" s="1200" t="s">
        <v>552</v>
      </c>
      <c r="B52" s="1201">
        <f ca="1">'预评函-3'!G4</f>
        <v>4552</v>
      </c>
    </row>
    <row r="53" spans="1:2" s="1202" customFormat="1">
      <c r="A53" s="1200" t="s">
        <v>580</v>
      </c>
      <c r="B53" s="1201" t="str">
        <f ca="1">'预评函-3'!F5</f>
        <v>壹佰肆拾叁万元整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抵押净值</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郑燚</v>
      </c>
    </row>
    <row r="71" spans="1:2">
      <c r="A71" s="1200" t="s">
        <v>563</v>
      </c>
      <c r="B71" s="1201">
        <f ca="1">'预评函-4'!B4</f>
        <v>1120070131</v>
      </c>
    </row>
    <row r="72" spans="1:2">
      <c r="A72" s="1200" t="s">
        <v>564</v>
      </c>
      <c r="B72" s="1209" t="str">
        <f>'预评函-4'!A5</f>
        <v>崔锴</v>
      </c>
    </row>
    <row r="73" spans="1:2" s="1196" customFormat="1" ht="15" thickBot="1">
      <c r="A73" s="1203" t="s">
        <v>565</v>
      </c>
      <c r="B73" s="1204">
        <f ca="1">'预评函-4'!B5</f>
        <v>1120100036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9" t="str">
        <f>项目基本情况!B1</f>
        <v>北京市房地产抵押价值预评估</v>
      </c>
      <c r="C37" s="3469"/>
      <c r="D37" s="3469"/>
      <c r="E37" s="3469"/>
      <c r="F37" s="3469"/>
      <c r="G37" s="3469"/>
      <c r="H37" s="3469"/>
      <c r="I37" s="3469"/>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郑燚（注册号：1120070131)、崔锴（注册号：1120100036)</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估价对象为北京市房地产，为所有。根据《国有土地使用证》[]，估价对象（分摊）出让国有建设用地使用权面积为0平方米，建筑面积为314.25平方米。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估价对象为北京市房地产,属开发建设的商业项目，该项目尚在开发建设中。根据《国有土地使用证》[]，估价对象（分摊）出让国有建设用地使用权面积为0平方米，规划建筑面积为314.25平方米。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2024年5月23日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2"/>
      <c r="B4" s="3473" t="s">
        <v>917</v>
      </c>
      <c r="C4" s="3473"/>
      <c r="D4" s="3473"/>
      <c r="E4" s="1492"/>
    </row>
    <row r="5" spans="1:5" ht="16.5" thickTop="1">
      <c r="A5" s="1490"/>
      <c r="B5" s="3471" t="s">
        <v>909</v>
      </c>
      <c r="C5" s="1493" t="s">
        <v>910</v>
      </c>
      <c r="D5" s="849">
        <f ca="1">结果表!H101</f>
        <v>923</v>
      </c>
      <c r="E5" s="1490"/>
    </row>
    <row r="6" spans="1:5" ht="15.75">
      <c r="A6" s="1490"/>
      <c r="B6" s="3471"/>
      <c r="C6" s="1493" t="s">
        <v>911</v>
      </c>
      <c r="D6" s="849" t="str">
        <f ca="1">NUMBERSTRING(INT(D5*10000),2)&amp;"元整"</f>
        <v>玖佰贰拾叁万元整</v>
      </c>
      <c r="E6" s="1490"/>
    </row>
    <row r="7" spans="1:5" ht="15.75">
      <c r="A7" s="1490"/>
      <c r="B7" s="3476"/>
      <c r="C7" s="1494" t="s">
        <v>912</v>
      </c>
      <c r="D7" s="850">
        <f ca="1">结果表!H102</f>
        <v>29365</v>
      </c>
      <c r="E7" s="1490"/>
    </row>
    <row r="8" spans="1:5" ht="15.75">
      <c r="A8" s="1490"/>
      <c r="B8" s="3477" t="str">
        <f>结果表!E103</f>
        <v>2.估价师知悉的法定优先受偿款</v>
      </c>
      <c r="C8" s="1495" t="s">
        <v>913</v>
      </c>
      <c r="D8" s="850">
        <f>结果表!H103</f>
        <v>0</v>
      </c>
      <c r="E8" s="1490"/>
    </row>
    <row r="9" spans="1:5" ht="15.75">
      <c r="A9" s="1490"/>
      <c r="B9" s="3479"/>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70" t="str">
        <f>结果表!E107</f>
        <v>3.房地产抵押价值</v>
      </c>
      <c r="C13" s="1498" t="s">
        <v>910</v>
      </c>
      <c r="D13" s="852">
        <f ca="1">结果表!H107</f>
        <v>923</v>
      </c>
      <c r="E13" s="1490"/>
    </row>
    <row r="14" spans="1:5" ht="15.75">
      <c r="A14" s="1490"/>
      <c r="B14" s="3471"/>
      <c r="C14" s="1493" t="s">
        <v>911</v>
      </c>
      <c r="D14" s="849" t="str">
        <f ca="1">NUMBERSTRING(INT(D13*10000),2)&amp;"元整"</f>
        <v>玖佰贰拾叁万元整</v>
      </c>
      <c r="E14" s="1490"/>
    </row>
    <row r="15" spans="1:5" ht="15">
      <c r="A15" s="1490"/>
      <c r="B15" s="3476"/>
      <c r="C15" s="1494" t="s">
        <v>921</v>
      </c>
      <c r="D15" s="858">
        <f ca="1">结果表!H108</f>
        <v>29365</v>
      </c>
      <c r="E15" s="1490"/>
    </row>
    <row r="16" spans="1:5" ht="15">
      <c r="A16" s="1490"/>
      <c r="B16" s="3477" t="str">
        <f>结果表!E109</f>
        <v>——</v>
      </c>
      <c r="C16" s="1498" t="s">
        <v>922</v>
      </c>
      <c r="D16" s="1499" t="str">
        <f>结果表!H109</f>
        <v>——</v>
      </c>
      <c r="E16" s="1490"/>
    </row>
    <row r="17" spans="1:5" ht="15.75">
      <c r="A17" s="1490"/>
      <c r="B17" s="3478"/>
      <c r="C17" s="1493" t="s">
        <v>923</v>
      </c>
      <c r="D17" s="849" t="e">
        <f>NUMBERSTRING(INT(D16*10000),2)&amp;"元整"</f>
        <v>#VALUE!</v>
      </c>
      <c r="E17" s="1490"/>
    </row>
    <row r="18" spans="1:5" ht="15">
      <c r="A18" s="1490"/>
      <c r="B18" s="3479"/>
      <c r="C18" s="1494" t="s">
        <v>912</v>
      </c>
      <c r="D18" s="858" t="str">
        <f>结果表!H110</f>
        <v>——</v>
      </c>
      <c r="E18" s="1490"/>
    </row>
    <row r="19" spans="1:5" ht="15.75">
      <c r="A19" s="1490"/>
      <c r="B19" s="3470" t="str">
        <f>结果表!E111</f>
        <v>4.抵押净值</v>
      </c>
      <c r="C19" s="1498" t="s">
        <v>910</v>
      </c>
      <c r="D19" s="850">
        <f ca="1">结果表!H111</f>
        <v>351</v>
      </c>
      <c r="E19" s="1490"/>
    </row>
    <row r="20" spans="1:5" ht="15.75">
      <c r="A20" s="1490"/>
      <c r="B20" s="3471"/>
      <c r="C20" s="1493" t="s">
        <v>923</v>
      </c>
      <c r="D20" s="849" t="str">
        <f ca="1">NUMBERSTRING(INT(D19*10000),2)&amp;"元整"</f>
        <v>叁佰伍拾壹万元整</v>
      </c>
      <c r="E20" s="1490"/>
    </row>
    <row r="21" spans="1:5" ht="15.75" thickBot="1">
      <c r="A21" s="1490"/>
      <c r="B21" s="3472"/>
      <c r="C21" s="1500" t="s">
        <v>921</v>
      </c>
      <c r="D21" s="859">
        <f ca="1">结果表!H112</f>
        <v>11169</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7" t="str">
        <f>IF(项目基本情况!B9="房地产市场价值","估价结果一览表","结果表-2")</f>
        <v>结果表-2</v>
      </c>
      <c r="B1" s="3487"/>
      <c r="C1" s="3487"/>
      <c r="D1" s="3487"/>
      <c r="E1" s="3487"/>
      <c r="F1" s="3487"/>
      <c r="G1" s="3487"/>
      <c r="H1" s="3487"/>
      <c r="I1" s="3487"/>
    </row>
    <row r="2" spans="1:9" ht="30" customHeight="1" thickTop="1">
      <c r="A2" s="3488" t="s">
        <v>928</v>
      </c>
      <c r="B2" s="3488" t="s">
        <v>929</v>
      </c>
      <c r="C2" s="3488" t="s">
        <v>930</v>
      </c>
      <c r="D2" s="3488" t="str">
        <f>结果表!D116</f>
        <v>出让国有建设用地使用权价值</v>
      </c>
      <c r="E2" s="3488"/>
      <c r="F2" s="3488" t="str">
        <f>结果表!F116</f>
        <v>在建建筑物价值</v>
      </c>
      <c r="G2" s="3488"/>
      <c r="H2" s="3488" t="str">
        <f>IF(项目基本情况!B9="房地产市场价值","房地产市场价值","房地产价值")</f>
        <v>房地产价值</v>
      </c>
      <c r="I2" s="3488"/>
    </row>
    <row r="3" spans="1:9" ht="15">
      <c r="A3" s="3483"/>
      <c r="B3" s="3483"/>
      <c r="C3" s="3483"/>
      <c r="D3" s="853" t="s">
        <v>925</v>
      </c>
      <c r="E3" s="853" t="s">
        <v>931</v>
      </c>
      <c r="F3" s="853" t="s">
        <v>925</v>
      </c>
      <c r="G3" s="853" t="s">
        <v>926</v>
      </c>
      <c r="H3" s="853" t="s">
        <v>925</v>
      </c>
      <c r="I3" s="853" t="s">
        <v>926</v>
      </c>
    </row>
    <row r="4" spans="1:9" ht="15">
      <c r="A4" s="1504" t="str">
        <f>项目基本情况!S2</f>
        <v>北京市房地产</v>
      </c>
      <c r="B4" s="853">
        <f>项目基本情况!C17</f>
        <v>314.25</v>
      </c>
      <c r="C4" s="853">
        <f>项目基本情况!C18</f>
        <v>0</v>
      </c>
      <c r="D4" s="853">
        <f ca="1">结果表!D118</f>
        <v>780</v>
      </c>
      <c r="E4" s="853">
        <f ca="1">结果表!E118</f>
        <v>24813</v>
      </c>
      <c r="F4" s="853">
        <f ca="1">结果表!F118</f>
        <v>143</v>
      </c>
      <c r="G4" s="853">
        <f ca="1">结果表!G118</f>
        <v>4552</v>
      </c>
      <c r="H4" s="853">
        <f ca="1">结果表!H118</f>
        <v>923</v>
      </c>
      <c r="I4" s="853">
        <f ca="1">结果表!I118</f>
        <v>29365</v>
      </c>
    </row>
    <row r="5" spans="1:9" ht="30" customHeight="1">
      <c r="A5" s="3483" t="s">
        <v>927</v>
      </c>
      <c r="B5" s="3483"/>
      <c r="C5" s="3483"/>
      <c r="D5" s="3483" t="str">
        <f ca="1">结果表!D119</f>
        <v>柒佰捌拾万元整</v>
      </c>
      <c r="E5" s="3483"/>
      <c r="F5" s="3483" t="str">
        <f ca="1">结果表!F119</f>
        <v>壹佰肆拾叁万元整</v>
      </c>
      <c r="G5" s="3483"/>
      <c r="H5" s="3483" t="str">
        <f ca="1">结果表!H119</f>
        <v>玖佰贰拾叁万元整</v>
      </c>
      <c r="I5" s="3483"/>
    </row>
    <row r="6" spans="1:9" ht="15.75">
      <c r="A6" s="3482" t="str">
        <f>结果表!A120</f>
        <v>估价师知悉的法定优先受偿款</v>
      </c>
      <c r="B6" s="3482"/>
      <c r="C6" s="3482"/>
      <c r="D6" s="3482">
        <f>结果表!D120</f>
        <v>0</v>
      </c>
      <c r="E6" s="3482"/>
      <c r="F6" s="3482"/>
      <c r="G6" s="3482"/>
      <c r="H6" s="3482"/>
      <c r="I6" s="3482"/>
    </row>
    <row r="7" spans="1:9" ht="15">
      <c r="A7" s="3483" t="s">
        <v>927</v>
      </c>
      <c r="B7" s="3483"/>
      <c r="C7" s="3483"/>
      <c r="D7" s="3484" t="str">
        <f>结果表!D121</f>
        <v>零元整</v>
      </c>
      <c r="E7" s="3485"/>
      <c r="F7" s="3485"/>
      <c r="G7" s="3485"/>
      <c r="H7" s="3485"/>
      <c r="I7" s="3486"/>
    </row>
    <row r="8" spans="1:9" ht="15.75">
      <c r="A8" s="3482" t="str">
        <f>结果表!A122</f>
        <v>房地产抵押价值</v>
      </c>
      <c r="B8" s="3482"/>
      <c r="C8" s="3482"/>
      <c r="D8" s="3482">
        <f ca="1">结果表!D122</f>
        <v>923</v>
      </c>
      <c r="E8" s="3482"/>
      <c r="F8" s="3482"/>
      <c r="G8" s="3482"/>
      <c r="H8" s="3482"/>
      <c r="I8" s="3482"/>
    </row>
    <row r="9" spans="1:9" ht="15">
      <c r="A9" s="3483" t="s">
        <v>927</v>
      </c>
      <c r="B9" s="3483"/>
      <c r="C9" s="3483"/>
      <c r="D9" s="3483" t="str">
        <f ca="1">结果表!D123</f>
        <v>玖佰贰拾叁万元整</v>
      </c>
      <c r="E9" s="3483"/>
      <c r="F9" s="3483"/>
      <c r="G9" s="3483"/>
      <c r="H9" s="3483"/>
      <c r="I9" s="3483"/>
    </row>
    <row r="10" spans="1:9" ht="15.75">
      <c r="A10" s="3482" t="str">
        <f>结果表!A124</f>
        <v/>
      </c>
      <c r="B10" s="3482"/>
      <c r="C10" s="3482"/>
      <c r="D10" s="3482" t="str">
        <f>结果表!D124</f>
        <v>——</v>
      </c>
      <c r="E10" s="3482"/>
      <c r="F10" s="3482"/>
      <c r="G10" s="3482"/>
      <c r="H10" s="3482"/>
      <c r="I10" s="3482"/>
    </row>
    <row r="11" spans="1:9" ht="15">
      <c r="A11" s="3483" t="s">
        <v>927</v>
      </c>
      <c r="B11" s="3483"/>
      <c r="C11" s="3483"/>
      <c r="D11" s="3483" t="e">
        <f>结果表!D125</f>
        <v>#VALUE!</v>
      </c>
      <c r="E11" s="3483"/>
      <c r="F11" s="3483"/>
      <c r="G11" s="3483"/>
      <c r="H11" s="3483"/>
      <c r="I11" s="3483"/>
    </row>
    <row r="12" spans="1:9" ht="15.75">
      <c r="A12" s="3482" t="str">
        <f>结果表!A126</f>
        <v>抵押净值</v>
      </c>
      <c r="B12" s="3482"/>
      <c r="C12" s="3482"/>
      <c r="D12" s="3482">
        <f ca="1">结果表!D126</f>
        <v>351</v>
      </c>
      <c r="E12" s="3482"/>
      <c r="F12" s="3482"/>
      <c r="G12" s="3482"/>
      <c r="H12" s="3482"/>
      <c r="I12" s="3482"/>
    </row>
    <row r="13" spans="1:9" ht="15.75" thickBot="1">
      <c r="A13" s="3480" t="s">
        <v>927</v>
      </c>
      <c r="B13" s="3480"/>
      <c r="C13" s="3480"/>
      <c r="D13" s="3480" t="str">
        <f ca="1">结果表!D127</f>
        <v>叁佰伍拾壹万元整</v>
      </c>
      <c r="E13" s="3480"/>
      <c r="F13" s="3480"/>
      <c r="G13" s="3480"/>
      <c r="H13" s="3480"/>
      <c r="I13" s="3480"/>
    </row>
    <row r="14" spans="1:9" ht="15" thickTop="1">
      <c r="A14" s="3481" t="s">
        <v>932</v>
      </c>
      <c r="B14" s="3481"/>
      <c r="C14" s="3481"/>
      <c r="D14" s="3481"/>
      <c r="E14" s="3481"/>
      <c r="F14" s="3481"/>
      <c r="G14" s="3481"/>
      <c r="H14" s="3481"/>
      <c r="I14" s="3481"/>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95" t="s">
        <v>949</v>
      </c>
      <c r="B1" s="3495"/>
      <c r="C1" s="3495"/>
      <c r="D1" s="3495"/>
    </row>
    <row r="2" spans="1:4" ht="18">
      <c r="A2" s="3496" t="s">
        <v>933</v>
      </c>
      <c r="B2" s="3496"/>
      <c r="C2" s="3496"/>
      <c r="D2" s="3496"/>
    </row>
    <row r="3" spans="1:4" ht="18.75">
      <c r="A3" s="1508" t="s">
        <v>934</v>
      </c>
      <c r="B3" s="1508" t="s">
        <v>935</v>
      </c>
      <c r="C3" s="1508" t="s">
        <v>936</v>
      </c>
      <c r="D3" s="1508" t="s">
        <v>937</v>
      </c>
    </row>
    <row r="4" spans="1:4" ht="56.25" customHeight="1">
      <c r="A4" s="1509" t="str">
        <f>项目基本情况!B4</f>
        <v>郑燚</v>
      </c>
      <c r="B4" s="1510">
        <f ca="1">项目基本情况!C4</f>
        <v>1120070131</v>
      </c>
      <c r="C4" s="1511"/>
      <c r="D4" s="1512" t="s">
        <v>938</v>
      </c>
    </row>
    <row r="5" spans="1:4" ht="56.25" customHeight="1">
      <c r="A5" s="1509" t="str">
        <f>项目基本情况!D4</f>
        <v>崔锴</v>
      </c>
      <c r="B5" s="1510">
        <f ca="1">项目基本情况!E4</f>
        <v>1120100036</v>
      </c>
      <c r="C5" s="1513"/>
      <c r="D5" s="1512" t="s">
        <v>938</v>
      </c>
    </row>
    <row r="6" spans="1:4" ht="18">
      <c r="A6" s="3496" t="s">
        <v>939</v>
      </c>
      <c r="B6" s="3496"/>
      <c r="C6" s="3496"/>
      <c r="D6" s="3496"/>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7" t="s">
        <v>942</v>
      </c>
      <c r="B11" s="3489"/>
      <c r="C11" s="3489"/>
      <c r="D11" s="3489"/>
    </row>
    <row r="12" spans="1:4" ht="15.75">
      <c r="A12" s="34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4"/>
      <c r="C12" s="3494"/>
      <c r="D12" s="3494"/>
    </row>
    <row r="13" spans="1:4" ht="30" customHeight="1">
      <c r="A13" s="34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4"/>
      <c r="C13" s="3494"/>
      <c r="D13" s="3494"/>
    </row>
    <row r="14" spans="1:4" ht="15.75" customHeight="1">
      <c r="A14" s="3489" t="str">
        <f>IF(项目基本情况!B8="抵押","4.本次评估估价师所知悉的法定优先受偿款情况说明如下：","——")</f>
        <v>4.本次评估估价师所知悉的法定优先受偿款情况说明如下：</v>
      </c>
      <c r="B14" s="3494"/>
      <c r="C14" s="3494"/>
      <c r="D14" s="3494"/>
    </row>
    <row r="15" spans="1:4" ht="42" customHeight="1">
      <c r="A15" s="34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9"/>
      <c r="C15" s="3489"/>
      <c r="D15" s="3489"/>
    </row>
    <row r="16" spans="1:4" ht="30" customHeight="1">
      <c r="A16" s="3491" t="s">
        <v>943</v>
      </c>
      <c r="B16" s="3491"/>
      <c r="C16" s="3491"/>
      <c r="D16" s="3491"/>
    </row>
    <row r="17" spans="1:4" ht="144" customHeight="1">
      <c r="A17" s="3491" t="s">
        <v>944</v>
      </c>
      <c r="B17" s="3491"/>
      <c r="C17" s="3491"/>
      <c r="D17" s="3491"/>
    </row>
    <row r="18" spans="1:4" ht="15.75" customHeight="1">
      <c r="A18" s="3489" t="str">
        <f>IF(项目基本情况!B8="抵押",结果表!K120,"——")</f>
        <v>故，本次评估不存在估价师知悉的法定优先受偿款</v>
      </c>
      <c r="B18" s="3489"/>
      <c r="C18" s="3489"/>
      <c r="D18" s="3489"/>
    </row>
    <row r="19" spans="1:4" ht="46.5" customHeight="1">
      <c r="A19" s="34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9"/>
      <c r="C19" s="3489"/>
      <c r="D19" s="3489"/>
    </row>
    <row r="20" spans="1:4" ht="57.75" customHeight="1">
      <c r="A20" s="34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9"/>
      <c r="C20" s="3489"/>
      <c r="D20" s="3489"/>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2"/>
      <c r="C21" s="3492"/>
      <c r="D21" s="3492"/>
    </row>
    <row r="22" spans="1:4" ht="18.75" customHeight="1">
      <c r="A22" s="3493" t="s">
        <v>945</v>
      </c>
      <c r="B22" s="3493"/>
      <c r="C22" s="3493"/>
      <c r="D22" s="3493"/>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0">
        <v>42551</v>
      </c>
      <c r="D31" s="34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3" t="s">
        <v>956</v>
      </c>
      <c r="B15" s="3498" t="s">
        <v>109</v>
      </c>
      <c r="C15" s="3499"/>
    </row>
    <row r="16" spans="1:7" ht="13.5">
      <c r="A16" s="3504"/>
      <c r="B16" s="3498" t="s">
        <v>42</v>
      </c>
      <c r="C16" s="3499"/>
    </row>
    <row r="17" spans="1:3" ht="13.5">
      <c r="A17" s="3504"/>
      <c r="B17" s="3501" t="s">
        <v>957</v>
      </c>
      <c r="C17" s="1531" t="s">
        <v>956</v>
      </c>
    </row>
    <row r="18" spans="1:3" ht="13.5">
      <c r="A18" s="3504"/>
      <c r="B18" s="3501"/>
      <c r="C18" s="1531" t="s">
        <v>958</v>
      </c>
    </row>
    <row r="19" spans="1:3" ht="13.5">
      <c r="A19" s="3504"/>
      <c r="B19" s="3501"/>
      <c r="C19" s="1531" t="s">
        <v>959</v>
      </c>
    </row>
    <row r="20" spans="1:3" ht="13.5">
      <c r="A20" s="3505"/>
      <c r="B20" s="3500" t="s">
        <v>960</v>
      </c>
      <c r="C20" s="3499"/>
    </row>
    <row r="21" spans="1:3" ht="13.5">
      <c r="A21" s="1532" t="s">
        <v>961</v>
      </c>
      <c r="B21" s="1533"/>
      <c r="C21" s="1534"/>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1" t="s">
        <v>967</v>
      </c>
    </row>
    <row r="26" spans="1:3" ht="13.5">
      <c r="A26" s="3502"/>
      <c r="B26" s="3501"/>
      <c r="C26" s="1531" t="s">
        <v>968</v>
      </c>
    </row>
    <row r="27" spans="1:3" ht="13.5">
      <c r="A27" s="3502"/>
      <c r="B27" s="3501"/>
      <c r="C27" s="1531" t="s">
        <v>969</v>
      </c>
    </row>
    <row r="28" spans="1:3" ht="13.5">
      <c r="A28" s="3502"/>
      <c r="B28" s="3501"/>
      <c r="C28" s="1531" t="s">
        <v>970</v>
      </c>
    </row>
    <row r="29" spans="1:3" ht="13.5">
      <c r="A29" s="3502"/>
      <c r="B29" s="3501"/>
      <c r="C29" s="1531" t="s">
        <v>971</v>
      </c>
    </row>
    <row r="30" spans="1:3" ht="13.5">
      <c r="A30" s="3502"/>
      <c r="B30" s="3501"/>
      <c r="C30" s="1531" t="s">
        <v>972</v>
      </c>
    </row>
    <row r="31" spans="1:3" ht="13.5">
      <c r="A31" s="3502"/>
      <c r="B31" s="3501"/>
      <c r="C31" s="1531" t="s">
        <v>973</v>
      </c>
    </row>
    <row r="32" spans="1:3" ht="13.5">
      <c r="A32" s="3502"/>
      <c r="B32" s="3501"/>
      <c r="C32" s="1531" t="s">
        <v>974</v>
      </c>
    </row>
    <row r="33" spans="1:3" ht="13.5">
      <c r="A33" s="3502"/>
      <c r="B33" s="3501"/>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45439</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t="str">
        <f ca="1">IF(C6&lt;B2,"已过期",1120050019)</f>
        <v>已过期</v>
      </c>
      <c r="C6" s="2344">
        <v>45410</v>
      </c>
      <c r="D6" s="2345" t="str">
        <f t="shared" ca="1" si="0"/>
        <v>王鹏（注册号：已过期）</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t="str">
        <f ca="1">IF(C13&lt;B2,"已过期",1120020033)</f>
        <v>已过期</v>
      </c>
      <c r="C13" s="2344">
        <v>45375</v>
      </c>
      <c r="D13" s="2345" t="str">
        <f t="shared" ca="1" si="0"/>
        <v>刘敬东（注册号：已过期）</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2441</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2"/>
      <c r="E18" s="3508" t="s">
        <v>2162</v>
      </c>
      <c r="F18" s="3507"/>
      <c r="G18" s="350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3354</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3340</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3341</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3342</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3343</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3344</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3345</v>
      </c>
    </row>
    <row r="8" spans="1:23">
      <c r="A8" s="1545" t="s">
        <v>1026</v>
      </c>
      <c r="B8" s="1545" t="s">
        <v>1027</v>
      </c>
      <c r="C8" s="1546" t="s">
        <v>319</v>
      </c>
      <c r="F8" s="1547" t="s">
        <v>1028</v>
      </c>
      <c r="H8" s="1547" t="s">
        <v>2581</v>
      </c>
      <c r="I8" s="1547" t="s">
        <v>3346</v>
      </c>
    </row>
    <row r="9" spans="1:23">
      <c r="A9" s="1545" t="s">
        <v>1029</v>
      </c>
      <c r="B9" s="1545" t="s">
        <v>1030</v>
      </c>
      <c r="C9" s="1546" t="s">
        <v>320</v>
      </c>
      <c r="F9" s="1547" t="s">
        <v>1031</v>
      </c>
      <c r="H9" s="1547"/>
      <c r="I9" s="1550" t="s">
        <v>3347</v>
      </c>
    </row>
    <row r="10" spans="1:23">
      <c r="A10" s="1545" t="s">
        <v>1032</v>
      </c>
      <c r="B10" s="1545" t="s">
        <v>1033</v>
      </c>
      <c r="C10" s="1546" t="s">
        <v>321</v>
      </c>
      <c r="F10" s="1547" t="s">
        <v>2582</v>
      </c>
      <c r="I10" s="1550" t="s">
        <v>3348</v>
      </c>
    </row>
    <row r="11" spans="1:23">
      <c r="A11" s="1545" t="s">
        <v>1034</v>
      </c>
      <c r="B11" s="1545" t="s">
        <v>1035</v>
      </c>
      <c r="C11" s="1546" t="s">
        <v>322</v>
      </c>
      <c r="F11" s="1547" t="s">
        <v>13</v>
      </c>
      <c r="I11" s="1550" t="s">
        <v>3349</v>
      </c>
    </row>
    <row r="12" spans="1:23">
      <c r="A12" s="1545" t="s">
        <v>1036</v>
      </c>
      <c r="B12" s="1545" t="s">
        <v>1037</v>
      </c>
      <c r="C12" s="1546" t="s">
        <v>323</v>
      </c>
      <c r="I12" s="1550" t="s">
        <v>3350</v>
      </c>
    </row>
    <row r="13" spans="1:23">
      <c r="A13" s="1545" t="s">
        <v>1038</v>
      </c>
      <c r="B13" s="1545" t="s">
        <v>1039</v>
      </c>
      <c r="C13" s="1546" t="s">
        <v>324</v>
      </c>
      <c r="I13" s="1550" t="s">
        <v>3351</v>
      </c>
    </row>
    <row r="14" spans="1:23">
      <c r="A14" s="1545" t="s">
        <v>1040</v>
      </c>
      <c r="B14" s="1545" t="s">
        <v>1041</v>
      </c>
      <c r="C14" s="1547" t="s">
        <v>13</v>
      </c>
      <c r="I14" s="1550" t="s">
        <v>3352</v>
      </c>
    </row>
    <row r="15" spans="1:23">
      <c r="A15" s="1545" t="s">
        <v>1042</v>
      </c>
      <c r="B15" s="1545" t="s">
        <v>1043</v>
      </c>
      <c r="C15" s="1546"/>
      <c r="I15" s="1550" t="s">
        <v>3353</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9"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3" t="s">
        <v>385</v>
      </c>
      <c r="C54" s="1550" t="s">
        <v>583</v>
      </c>
    </row>
    <row r="55" spans="1:4">
      <c r="A55" s="3509"/>
      <c r="B55" s="1553" t="s">
        <v>386</v>
      </c>
      <c r="C55" s="1550" t="s">
        <v>584</v>
      </c>
    </row>
    <row r="56" spans="1:4">
      <c r="A56" s="3509"/>
      <c r="B56" s="1553" t="s">
        <v>387</v>
      </c>
      <c r="C56" s="1550" t="s">
        <v>588</v>
      </c>
    </row>
    <row r="57" spans="1:4">
      <c r="A57" s="3509"/>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6" sqref="B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2504</v>
      </c>
      <c r="B1" s="3012"/>
      <c r="C1" s="3012"/>
      <c r="D1" s="3012"/>
      <c r="E1" s="3012"/>
      <c r="F1" s="3013"/>
      <c r="I1" s="3434" t="s">
        <v>2597</v>
      </c>
      <c r="J1" s="3224"/>
      <c r="K1" s="3224"/>
      <c r="L1" s="3224"/>
      <c r="M1" s="3224"/>
      <c r="N1" s="3435"/>
      <c r="O1" s="3435"/>
      <c r="P1" s="3435"/>
      <c r="Q1" s="3435"/>
      <c r="R1" s="3435"/>
    </row>
    <row r="2" spans="1:18">
      <c r="A2" s="3015"/>
      <c r="B2" s="3016"/>
      <c r="C2" s="3016"/>
      <c r="D2" s="3016"/>
      <c r="E2" s="3016"/>
      <c r="F2" s="3017"/>
      <c r="I2" s="3510" t="s">
        <v>2584</v>
      </c>
      <c r="J2" s="3510"/>
      <c r="K2" s="3510"/>
      <c r="L2" s="3510"/>
      <c r="M2" s="3510"/>
      <c r="N2" s="3510"/>
      <c r="O2" s="3510"/>
      <c r="P2" s="3510"/>
      <c r="Q2" s="3510"/>
      <c r="R2" s="3510"/>
    </row>
    <row r="3" spans="1:18">
      <c r="A3" s="3018" t="s">
        <v>2505</v>
      </c>
      <c r="B3" s="3019">
        <f>项目基本情况!D3</f>
        <v>45435</v>
      </c>
      <c r="C3" s="3021"/>
      <c r="D3" s="3021"/>
      <c r="E3" s="3021"/>
      <c r="F3" s="3017"/>
      <c r="I3" s="3436"/>
      <c r="J3" s="3436" t="s">
        <v>2588</v>
      </c>
      <c r="K3" s="3436" t="s">
        <v>2589</v>
      </c>
      <c r="L3" s="3436" t="s">
        <v>2590</v>
      </c>
      <c r="M3" s="3436" t="s">
        <v>2591</v>
      </c>
      <c r="N3" s="3437" t="s">
        <v>2592</v>
      </c>
      <c r="O3" s="3437" t="s">
        <v>2593</v>
      </c>
      <c r="P3" s="3437" t="s">
        <v>2594</v>
      </c>
      <c r="Q3" s="3437" t="s">
        <v>2595</v>
      </c>
      <c r="R3" s="3437" t="s">
        <v>2596</v>
      </c>
    </row>
    <row r="4" spans="1:18">
      <c r="A4" s="3018" t="s">
        <v>2506</v>
      </c>
      <c r="B4" s="3021" t="s">
        <v>2507</v>
      </c>
      <c r="C4" s="3021" t="s">
        <v>2508</v>
      </c>
      <c r="D4" s="3021" t="s">
        <v>2509</v>
      </c>
      <c r="E4" s="3021" t="s">
        <v>2510</v>
      </c>
      <c r="F4" s="3017"/>
      <c r="I4" s="3436" t="s">
        <v>2585</v>
      </c>
      <c r="J4" s="3436">
        <v>80</v>
      </c>
      <c r="K4" s="3436">
        <v>70</v>
      </c>
      <c r="L4" s="3436">
        <v>20</v>
      </c>
      <c r="M4" s="3436">
        <v>30</v>
      </c>
      <c r="N4" s="3021">
        <v>45</v>
      </c>
      <c r="O4" s="3021">
        <v>60</v>
      </c>
      <c r="P4" s="3021">
        <v>50</v>
      </c>
      <c r="Q4" s="3021">
        <v>20</v>
      </c>
      <c r="R4" s="3021">
        <v>375</v>
      </c>
    </row>
    <row r="5" spans="1:18">
      <c r="A5" s="3022">
        <v>40</v>
      </c>
      <c r="B5" s="3019">
        <v>48944</v>
      </c>
      <c r="C5" s="3021">
        <f>ROUNDDOWN(MIN((B5-B3)/365,A5),2)</f>
        <v>9.61</v>
      </c>
      <c r="D5" s="3023">
        <f>IF(ISERROR(ROUND(POWER(1+E5,A5-C5)*(POWER(1+E5,C5)-1)/(POWER(1+E5,A5)-1),3)),0,ROUND(POWER(1+E5,A5-C5)*(POWER(1+E5,C5)-1)/(POWER(1+E5,A5)-1),4))</f>
        <v>0.39660000000000001</v>
      </c>
      <c r="E5" s="3024">
        <v>0.04</v>
      </c>
      <c r="F5" s="3017"/>
      <c r="I5" s="3436" t="s">
        <v>2586</v>
      </c>
      <c r="J5" s="3436">
        <v>70</v>
      </c>
      <c r="K5" s="3436">
        <v>60</v>
      </c>
      <c r="L5" s="3436">
        <v>15</v>
      </c>
      <c r="M5" s="3436">
        <v>25</v>
      </c>
      <c r="N5" s="3021">
        <v>40</v>
      </c>
      <c r="O5" s="3021">
        <v>50</v>
      </c>
      <c r="P5" s="3021">
        <v>40</v>
      </c>
      <c r="Q5" s="3021">
        <v>15</v>
      </c>
      <c r="R5" s="3021">
        <v>315</v>
      </c>
    </row>
    <row r="6" spans="1:18">
      <c r="A6" s="3022">
        <v>50</v>
      </c>
      <c r="B6" s="3019">
        <v>50028</v>
      </c>
      <c r="C6" s="3021">
        <f>ROUNDDOWN(MIN((B6-B3)/365,A6),2)</f>
        <v>12.58</v>
      </c>
      <c r="D6" s="3023">
        <f>IF(ISERROR(ROUND(POWER(1+E6,A6-C6)*(POWER(1+E6,C6)-1)/(POWER(1+E6,A6)-1),3)),0,ROUND(POWER(1+E6,A6-C6)*(POWER(1+E6,C6)-1)/(POWER(1+E6,A6)-1),4))</f>
        <v>0.45319999999999999</v>
      </c>
      <c r="E6" s="3024">
        <v>0.04</v>
      </c>
      <c r="F6" s="3017"/>
      <c r="I6" s="3436" t="s">
        <v>2587</v>
      </c>
      <c r="J6" s="3436">
        <v>60</v>
      </c>
      <c r="K6" s="3436">
        <v>50</v>
      </c>
      <c r="L6" s="3436">
        <v>10</v>
      </c>
      <c r="M6" s="3436">
        <v>20</v>
      </c>
      <c r="N6" s="3021">
        <v>35</v>
      </c>
      <c r="O6" s="3021">
        <v>40</v>
      </c>
      <c r="P6" s="3021">
        <v>30</v>
      </c>
      <c r="Q6" s="3021">
        <v>10</v>
      </c>
      <c r="R6" s="3021">
        <v>255</v>
      </c>
    </row>
    <row r="7" spans="1:18">
      <c r="A7" s="3022">
        <v>70</v>
      </c>
      <c r="B7" s="3019">
        <v>57333</v>
      </c>
      <c r="C7" s="3021">
        <f>ROUNDDOWN(MIN((B7-B3)/365,A7),2)</f>
        <v>32.590000000000003</v>
      </c>
      <c r="D7" s="3023">
        <f>IF(ISERROR(ROUND(POWER(1+E7,A7-C7)*(POWER(1+E7,C7)-1)/(POWER(1+E7,A7)-1),3)),0,ROUND(POWER(1+E7,A7-C7)*(POWER(1+E7,C7)-1)/(POWER(1+E7,A7)-1),4))</f>
        <v>0.77100000000000002</v>
      </c>
      <c r="E7" s="3024">
        <v>0.04</v>
      </c>
      <c r="F7" s="3017"/>
    </row>
    <row r="8" spans="1:18">
      <c r="A8" s="3015"/>
      <c r="B8" s="3016"/>
      <c r="C8" s="3016"/>
      <c r="D8" s="3016"/>
      <c r="E8" s="3016"/>
      <c r="F8" s="3017"/>
    </row>
    <row r="9" spans="1:18">
      <c r="A9" s="3018" t="s">
        <v>2511</v>
      </c>
      <c r="B9" s="3021"/>
      <c r="C9" s="3021"/>
      <c r="D9" s="3021"/>
      <c r="E9" s="3021"/>
      <c r="F9" s="3025"/>
    </row>
    <row r="10" spans="1:18">
      <c r="A10" s="3018" t="s">
        <v>2512</v>
      </c>
      <c r="B10" s="3021"/>
      <c r="C10" s="3021"/>
      <c r="D10" s="3021" t="s">
        <v>2510</v>
      </c>
      <c r="E10" s="3021"/>
      <c r="F10" s="3025" t="s">
        <v>2509</v>
      </c>
    </row>
    <row r="11" spans="1:18">
      <c r="A11" s="3018" t="s">
        <v>2513</v>
      </c>
      <c r="B11" s="3026">
        <v>70</v>
      </c>
      <c r="C11" s="3021" t="s">
        <v>2514</v>
      </c>
      <c r="D11" s="3027">
        <v>4.4999999999999998E-2</v>
      </c>
      <c r="E11" s="3021" t="s">
        <v>2515</v>
      </c>
      <c r="F11" s="3028">
        <f>ROUND(1-(1/(POWER(1+D11,B11))),4)</f>
        <v>0.95409999999999995</v>
      </c>
    </row>
    <row r="12" spans="1:18">
      <c r="A12" s="3018" t="s">
        <v>2516</v>
      </c>
      <c r="B12" s="3026">
        <v>40</v>
      </c>
      <c r="C12" s="3021" t="s">
        <v>2517</v>
      </c>
      <c r="D12" s="3027">
        <v>4.4999999999999998E-2</v>
      </c>
      <c r="E12" s="3021" t="s">
        <v>2518</v>
      </c>
      <c r="F12" s="3028">
        <f>ROUND(1-(1/(POWER(1+D12,B12))),4)</f>
        <v>0.82809999999999995</v>
      </c>
    </row>
    <row r="13" spans="1:18">
      <c r="A13" s="3018" t="s">
        <v>2519</v>
      </c>
      <c r="B13" s="3021"/>
      <c r="C13" s="3021"/>
      <c r="D13" s="3016"/>
      <c r="E13" s="3016"/>
      <c r="F13" s="3017"/>
    </row>
    <row r="14" spans="1:18">
      <c r="A14" s="3018" t="s">
        <v>2520</v>
      </c>
      <c r="B14" s="3026">
        <v>5000</v>
      </c>
      <c r="C14" s="3020"/>
      <c r="D14" s="3016"/>
      <c r="E14" s="3016"/>
      <c r="F14" s="3017"/>
    </row>
    <row r="15" spans="1:18">
      <c r="A15" s="3018" t="s">
        <v>2521</v>
      </c>
      <c r="B15" s="3021">
        <f>ROUND(B14*F12/F11,2)</f>
        <v>4339.6899999999996</v>
      </c>
      <c r="C15" s="3021">
        <f>ROUND(F12/F11,4)</f>
        <v>0.8679</v>
      </c>
      <c r="D15" s="3016"/>
      <c r="E15" s="3016"/>
      <c r="F15" s="3017"/>
    </row>
    <row r="16" spans="1:18">
      <c r="A16" s="3018" t="s">
        <v>2522</v>
      </c>
      <c r="B16" s="3021"/>
      <c r="C16" s="3021"/>
      <c r="D16" s="3016"/>
      <c r="E16" s="3016"/>
      <c r="F16" s="3017"/>
    </row>
    <row r="17" spans="1:13">
      <c r="A17" s="3018" t="s">
        <v>2521</v>
      </c>
      <c r="B17" s="3027">
        <v>4810</v>
      </c>
      <c r="C17" s="3020"/>
      <c r="D17" s="3016"/>
      <c r="E17" s="3016"/>
      <c r="F17" s="3017"/>
    </row>
    <row r="18" spans="1:13" ht="14.25" thickBot="1">
      <c r="A18" s="3029" t="s">
        <v>2520</v>
      </c>
      <c r="B18" s="3030">
        <f>ROUND(B17*F11/F12,2)</f>
        <v>5541.87</v>
      </c>
      <c r="C18" s="3030">
        <f>ROUND(F11/F12,4)</f>
        <v>1.1521999999999999</v>
      </c>
      <c r="D18" s="3031"/>
      <c r="E18" s="3031"/>
      <c r="F18" s="3032"/>
    </row>
    <row r="19" spans="1:13" ht="14.25" thickBot="1"/>
    <row r="20" spans="1:13" s="3067" customFormat="1" ht="14.25" thickTop="1">
      <c r="A20" s="3064" t="s">
        <v>2523</v>
      </c>
      <c r="B20" s="3065"/>
      <c r="C20" s="3065"/>
      <c r="D20" s="3065"/>
      <c r="E20" s="3065"/>
      <c r="F20" s="3065"/>
      <c r="G20" s="3066"/>
      <c r="I20" s="3068" t="s">
        <v>2568</v>
      </c>
      <c r="J20" s="3068" t="s">
        <v>2573</v>
      </c>
      <c r="K20" s="3068"/>
      <c r="L20" s="3068"/>
      <c r="M20" s="3068"/>
    </row>
    <row r="21" spans="1:13">
      <c r="A21" s="3033"/>
      <c r="B21" s="3034" t="s">
        <v>2524</v>
      </c>
      <c r="C21" s="3034" t="s">
        <v>2525</v>
      </c>
      <c r="D21" s="3034" t="s">
        <v>2526</v>
      </c>
      <c r="E21" s="3034" t="s">
        <v>2527</v>
      </c>
      <c r="F21" s="3034" t="s">
        <v>2528</v>
      </c>
      <c r="G21" s="3035" t="s">
        <v>2529</v>
      </c>
      <c r="I21" s="3056">
        <v>5</v>
      </c>
      <c r="J21" s="3056">
        <v>54.2</v>
      </c>
    </row>
    <row r="22" spans="1:13">
      <c r="A22" s="3033" t="s">
        <v>2530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2571</v>
      </c>
      <c r="M23" s="3056" t="s">
        <v>2572</v>
      </c>
    </row>
    <row r="24" spans="1:13">
      <c r="A24" s="3033" t="s">
        <v>2532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2570</v>
      </c>
      <c r="M24" s="3056">
        <v>10</v>
      </c>
    </row>
    <row r="25" spans="1:13">
      <c r="A25" s="3033" t="s">
        <v>2533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2574</v>
      </c>
      <c r="M25" s="3056">
        <v>8</v>
      </c>
    </row>
    <row r="26" spans="1:13">
      <c r="A26" s="3038"/>
      <c r="B26" s="3039"/>
      <c r="C26" s="3039"/>
      <c r="D26" s="3039"/>
      <c r="E26" s="3039"/>
      <c r="F26" s="3039"/>
      <c r="G26" s="3040"/>
      <c r="I26" s="3056">
        <v>30</v>
      </c>
      <c r="J26" s="3056">
        <v>90.5</v>
      </c>
      <c r="K26" s="3056">
        <f t="shared" si="2"/>
        <v>4.2000000000000028</v>
      </c>
      <c r="L26" s="3056" t="s">
        <v>2575</v>
      </c>
      <c r="M26" s="3056">
        <v>5</v>
      </c>
    </row>
    <row r="27" spans="1:13">
      <c r="A27" s="3038" t="s">
        <v>2534</v>
      </c>
      <c r="B27" s="3039"/>
      <c r="C27" s="3039"/>
      <c r="D27" s="3039"/>
      <c r="E27" s="3039"/>
      <c r="F27" s="3039"/>
      <c r="G27" s="3040"/>
      <c r="I27" s="3056">
        <v>35</v>
      </c>
      <c r="J27" s="3056">
        <v>93.8</v>
      </c>
      <c r="K27" s="3056">
        <f t="shared" si="2"/>
        <v>3.2999999999999972</v>
      </c>
      <c r="L27" s="3056" t="s">
        <v>2576</v>
      </c>
      <c r="M27" s="3056">
        <v>3</v>
      </c>
    </row>
    <row r="28" spans="1:13">
      <c r="A28" s="3038" t="s">
        <v>2535</v>
      </c>
      <c r="B28" s="3039"/>
      <c r="C28" s="3039"/>
      <c r="D28" s="3039"/>
      <c r="E28" s="3039"/>
      <c r="F28" s="3039"/>
      <c r="G28" s="3040"/>
      <c r="I28" s="3056">
        <v>40</v>
      </c>
      <c r="J28" s="3056">
        <v>96.4</v>
      </c>
      <c r="K28" s="3056">
        <f t="shared" si="2"/>
        <v>2.6000000000000085</v>
      </c>
      <c r="L28" s="3056" t="s">
        <v>2577</v>
      </c>
      <c r="M28" s="3056">
        <v>2</v>
      </c>
    </row>
    <row r="29" spans="1:13">
      <c r="A29" s="3038" t="s">
        <v>2536</v>
      </c>
      <c r="B29" s="3039"/>
      <c r="C29" s="3039"/>
      <c r="D29" s="3039"/>
      <c r="E29" s="3039"/>
      <c r="F29" s="3039"/>
      <c r="G29" s="3040"/>
      <c r="I29" s="3056">
        <v>45</v>
      </c>
      <c r="J29" s="3056">
        <v>98.4</v>
      </c>
      <c r="K29" s="3056">
        <f t="shared" si="2"/>
        <v>2</v>
      </c>
    </row>
    <row r="30" spans="1:13">
      <c r="A30" s="3038" t="s">
        <v>2537</v>
      </c>
      <c r="B30" s="3039"/>
      <c r="C30" s="3039"/>
      <c r="D30" s="3039"/>
      <c r="E30" s="3039"/>
      <c r="F30" s="3039"/>
      <c r="G30" s="3040"/>
      <c r="I30" s="3056">
        <v>50</v>
      </c>
      <c r="J30" s="3056">
        <v>100</v>
      </c>
      <c r="K30" s="3056">
        <f t="shared" si="2"/>
        <v>1.5999999999999943</v>
      </c>
    </row>
    <row r="31" spans="1:13">
      <c r="A31" s="3038" t="s">
        <v>2538</v>
      </c>
      <c r="B31" s="3039"/>
      <c r="C31" s="3039"/>
      <c r="D31" s="3039"/>
      <c r="E31" s="3039"/>
      <c r="F31" s="3039"/>
      <c r="G31" s="3040"/>
      <c r="I31" s="3056" t="s">
        <v>2569</v>
      </c>
    </row>
    <row r="32" spans="1:13">
      <c r="A32" s="3038" t="s">
        <v>2539</v>
      </c>
      <c r="B32" s="3039"/>
      <c r="C32" s="3039"/>
      <c r="D32" s="3039"/>
      <c r="E32" s="3039"/>
      <c r="F32" s="3039"/>
      <c r="G32" s="3040"/>
    </row>
    <row r="33" spans="1:13">
      <c r="A33" s="3038" t="s">
        <v>2540</v>
      </c>
      <c r="B33" s="3039"/>
      <c r="C33" s="3039"/>
      <c r="D33" s="3039"/>
      <c r="E33" s="3039"/>
      <c r="F33" s="3039"/>
      <c r="G33" s="3040"/>
      <c r="I33" s="3056" t="s">
        <v>2568</v>
      </c>
      <c r="J33" s="3056" t="s">
        <v>2578</v>
      </c>
    </row>
    <row r="34" spans="1:13">
      <c r="A34" s="3038" t="s">
        <v>2541</v>
      </c>
      <c r="B34" s="3039"/>
      <c r="C34" s="3039"/>
      <c r="D34" s="3039"/>
      <c r="E34" s="3039"/>
      <c r="F34" s="3039"/>
      <c r="G34" s="3040"/>
      <c r="I34" s="3056">
        <v>5</v>
      </c>
      <c r="J34" s="3056">
        <v>55.1</v>
      </c>
    </row>
    <row r="35" spans="1:13">
      <c r="A35" s="3038" t="s">
        <v>2542</v>
      </c>
      <c r="B35" s="3039"/>
      <c r="C35" s="3039"/>
      <c r="D35" s="3039"/>
      <c r="E35" s="3039"/>
      <c r="F35" s="3039"/>
      <c r="G35" s="3040"/>
      <c r="I35" s="3056">
        <v>10</v>
      </c>
      <c r="J35" s="3056">
        <v>67</v>
      </c>
      <c r="K35" s="3056">
        <f>J35-J34</f>
        <v>11.899999999999999</v>
      </c>
    </row>
    <row r="36" spans="1:13">
      <c r="A36" s="3038" t="s">
        <v>2543</v>
      </c>
      <c r="B36" s="3039"/>
      <c r="C36" s="3039"/>
      <c r="D36" s="3039"/>
      <c r="E36" s="3039"/>
      <c r="F36" s="3039"/>
      <c r="G36" s="3040"/>
      <c r="I36" s="3056">
        <v>15</v>
      </c>
      <c r="J36" s="3056">
        <v>76.3</v>
      </c>
      <c r="K36" s="3056">
        <f t="shared" ref="K36:K41" si="3">J36-J35</f>
        <v>9.2999999999999972</v>
      </c>
      <c r="L36" s="3056" t="s">
        <v>2571</v>
      </c>
      <c r="M36" s="3056" t="s">
        <v>2572</v>
      </c>
    </row>
    <row r="37" spans="1:13">
      <c r="A37" s="3038" t="s">
        <v>2544</v>
      </c>
      <c r="B37" s="3039"/>
      <c r="C37" s="3039"/>
      <c r="D37" s="3039"/>
      <c r="E37" s="3039"/>
      <c r="F37" s="3039"/>
      <c r="G37" s="3040"/>
      <c r="I37" s="3056">
        <v>20</v>
      </c>
      <c r="J37" s="3056">
        <v>83.6</v>
      </c>
      <c r="K37" s="3056">
        <f t="shared" si="3"/>
        <v>7.2999999999999972</v>
      </c>
      <c r="L37" s="3056" t="s">
        <v>2570</v>
      </c>
      <c r="M37" s="3056">
        <v>10</v>
      </c>
    </row>
    <row r="38" spans="1:13">
      <c r="A38" s="3038" t="s">
        <v>2545</v>
      </c>
      <c r="B38" s="3039"/>
      <c r="C38" s="3039"/>
      <c r="D38" s="3039"/>
      <c r="E38" s="3039"/>
      <c r="F38" s="3039"/>
      <c r="G38" s="3040"/>
      <c r="I38" s="3056">
        <v>25</v>
      </c>
      <c r="J38" s="3056">
        <v>89.3</v>
      </c>
      <c r="K38" s="3056">
        <f t="shared" si="3"/>
        <v>5.7000000000000028</v>
      </c>
      <c r="L38" s="3056" t="s">
        <v>2574</v>
      </c>
      <c r="M38" s="3056">
        <v>8</v>
      </c>
    </row>
    <row r="39" spans="1:13">
      <c r="A39" s="3038"/>
      <c r="B39" s="3039"/>
      <c r="C39" s="3039"/>
      <c r="D39" s="3039"/>
      <c r="E39" s="3039"/>
      <c r="F39" s="3039"/>
      <c r="G39" s="3040"/>
      <c r="I39" s="3056">
        <v>30</v>
      </c>
      <c r="J39" s="3056">
        <v>93.8</v>
      </c>
      <c r="K39" s="3056">
        <f t="shared" si="3"/>
        <v>4.5</v>
      </c>
      <c r="L39" s="3056" t="s">
        <v>2575</v>
      </c>
      <c r="M39" s="3056">
        <v>6</v>
      </c>
    </row>
    <row r="40" spans="1:13">
      <c r="A40" s="3041" t="s">
        <v>2546</v>
      </c>
      <c r="B40" s="3042"/>
      <c r="C40" s="3042"/>
      <c r="D40" s="3042"/>
      <c r="E40" s="3042"/>
      <c r="F40" s="3042"/>
      <c r="G40" s="3043"/>
      <c r="I40" s="3056">
        <v>35</v>
      </c>
      <c r="J40" s="3056">
        <v>97.2</v>
      </c>
      <c r="K40" s="3056">
        <f t="shared" si="3"/>
        <v>3.4000000000000057</v>
      </c>
      <c r="L40" s="3056" t="s">
        <v>2576</v>
      </c>
      <c r="M40" s="3056">
        <v>3</v>
      </c>
    </row>
    <row r="41" spans="1:13">
      <c r="A41" s="3044" t="s">
        <v>2547</v>
      </c>
      <c r="B41" s="3045" t="s">
        <v>2548</v>
      </c>
      <c r="C41" s="3046" t="s">
        <v>2549</v>
      </c>
      <c r="D41" s="3046" t="s">
        <v>2550</v>
      </c>
      <c r="E41" s="3047"/>
      <c r="F41" s="3048"/>
      <c r="G41" s="3049"/>
      <c r="I41" s="3056">
        <v>40</v>
      </c>
      <c r="J41" s="3056">
        <v>100</v>
      </c>
      <c r="K41" s="3056">
        <f t="shared" si="3"/>
        <v>2.7999999999999972</v>
      </c>
    </row>
    <row r="42" spans="1:13">
      <c r="A42" s="3044" t="s">
        <v>2551</v>
      </c>
      <c r="B42" s="3045" t="s">
        <v>2552</v>
      </c>
      <c r="C42" s="3046" t="s">
        <v>2553</v>
      </c>
      <c r="D42" s="3050" t="s">
        <v>2554</v>
      </c>
      <c r="E42" s="3042" t="s">
        <v>2555</v>
      </c>
      <c r="F42" s="3042"/>
      <c r="G42" s="3043"/>
    </row>
    <row r="43" spans="1:13">
      <c r="A43" s="3044" t="s">
        <v>2556</v>
      </c>
      <c r="B43" s="3045" t="s">
        <v>2557</v>
      </c>
      <c r="C43" s="3046" t="s">
        <v>2558</v>
      </c>
      <c r="D43" s="3046" t="s">
        <v>2559</v>
      </c>
      <c r="E43" s="3047" t="s">
        <v>2560</v>
      </c>
      <c r="F43" s="3048"/>
      <c r="G43" s="3049"/>
      <c r="I43" s="3056" t="s">
        <v>2568</v>
      </c>
      <c r="J43" s="3056" t="s">
        <v>2579</v>
      </c>
    </row>
    <row r="44" spans="1:13">
      <c r="A44" s="3044" t="s">
        <v>2561</v>
      </c>
      <c r="B44" s="3045" t="s">
        <v>2562</v>
      </c>
      <c r="C44" s="3046" t="s">
        <v>2563</v>
      </c>
      <c r="D44" s="3050">
        <v>0.5</v>
      </c>
      <c r="E44" s="3047" t="s">
        <v>2564</v>
      </c>
      <c r="F44" s="3048"/>
      <c r="G44" s="3049"/>
      <c r="I44" s="3056">
        <v>30</v>
      </c>
      <c r="J44" s="3056">
        <v>81.7</v>
      </c>
    </row>
    <row r="45" spans="1:13" ht="14.25" thickBot="1">
      <c r="A45" s="3051" t="s">
        <v>2565</v>
      </c>
      <c r="B45" s="3052" t="s">
        <v>2552</v>
      </c>
      <c r="C45" s="3053" t="s">
        <v>2552</v>
      </c>
      <c r="D45" s="3053" t="s">
        <v>2566</v>
      </c>
      <c r="E45" s="3054" t="s">
        <v>2567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60" sqref="C60"/>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6" customWidth="1"/>
    <col min="12" max="13" width="10" style="2627"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19" t="str">
        <f>IF(B10="北京市","北京市",C10)&amp;F10&amp;IF(结果表!G1="在建","出让国有建设用地使用权及在建建筑物",IF(结果表!G1="土地","出让国有建设用地使用权",))&amp;B9&amp;"预评估"</f>
        <v>北京市房地产抵押价值预评估</v>
      </c>
      <c r="C1" s="3520"/>
      <c r="D1" s="3520"/>
      <c r="E1" s="3520"/>
      <c r="F1" s="3520"/>
      <c r="G1" s="3520"/>
      <c r="H1" s="3520"/>
      <c r="I1" s="3521"/>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2169</v>
      </c>
      <c r="B2" s="2370"/>
      <c r="C2" s="2371"/>
      <c r="D2" s="2668"/>
      <c r="E2" s="2660"/>
      <c r="F2" s="2660"/>
      <c r="G2" s="2661"/>
      <c r="H2" s="2661"/>
      <c r="I2" s="2661"/>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c r="C3" s="2373" t="s">
        <v>2171</v>
      </c>
      <c r="D3" s="2372">
        <v>45435</v>
      </c>
      <c r="E3" s="2661"/>
      <c r="F3" s="2661"/>
      <c r="G3" s="2661"/>
      <c r="H3" s="2661"/>
      <c r="I3" s="2661"/>
      <c r="J3" s="2469"/>
      <c r="K3" s="2367"/>
      <c r="L3" s="2368"/>
      <c r="M3" s="2368"/>
      <c r="N3" s="2369"/>
      <c r="O3" s="1575"/>
      <c r="P3" s="2369"/>
      <c r="Q3" s="2369"/>
      <c r="R3" s="2369"/>
      <c r="S3" s="1681"/>
      <c r="T3" s="1744"/>
      <c r="U3" s="1744"/>
      <c r="V3" s="1744"/>
      <c r="W3" s="1744"/>
      <c r="X3" s="1744"/>
      <c r="Y3" s="1744"/>
      <c r="Z3" s="1744"/>
      <c r="AA3" s="1744"/>
      <c r="AB3" s="1744"/>
    </row>
    <row r="4" spans="1:30" ht="13.5" thickBot="1">
      <c r="A4" s="1089" t="s">
        <v>2172</v>
      </c>
      <c r="B4" s="2374" t="s">
        <v>3455</v>
      </c>
      <c r="C4" s="2375">
        <f ca="1">SUMIF(注册房地产估价师,B4,估价师及机构信息!B3:B24)</f>
        <v>1120070131</v>
      </c>
      <c r="D4" s="2374" t="s">
        <v>3456</v>
      </c>
      <c r="E4" s="2376">
        <f ca="1">SUMIF(注册房地产估价师,D4,估价师及机构信息!B3:B24)</f>
        <v>1120100036</v>
      </c>
      <c r="F4" s="2374"/>
      <c r="G4" s="2376">
        <f>SUMIF(注册房地产估价师,F4,估价师及机构信息!B3:B24)</f>
        <v>0</v>
      </c>
      <c r="H4" s="2374"/>
      <c r="I4" s="2376">
        <f>SUMIF(注册房地产估价师,H4,估价师及机构信息!B3:B24)</f>
        <v>0</v>
      </c>
      <c r="J4" s="2437"/>
      <c r="K4" s="2377" t="str">
        <f ca="1">CONCATENATE(B4,"（注册号：",C4,")、",D4,"（注册号：",E4,")")</f>
        <v>郑燚（注册号：1120070131)、崔锴（注册号：1120100036)</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2"/>
      <c r="F5" s="2662"/>
      <c r="G5" s="2662"/>
      <c r="H5" s="2662"/>
      <c r="I5" s="2662"/>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2175</v>
      </c>
      <c r="B7" s="3459"/>
      <c r="C7" s="2384"/>
      <c r="D7" s="2385"/>
      <c r="E7" s="2660"/>
      <c r="F7" s="2662"/>
      <c r="G7" s="2662"/>
      <c r="H7" s="2662"/>
      <c r="I7" s="2662"/>
      <c r="J7" s="2437"/>
      <c r="K7" s="2614"/>
      <c r="L7" s="2611"/>
      <c r="M7" s="2611"/>
      <c r="N7" s="2437"/>
      <c r="O7" s="2448"/>
      <c r="P7" s="2437"/>
      <c r="Q7" s="2437"/>
      <c r="R7" s="2437"/>
    </row>
    <row r="8" spans="1:30">
      <c r="A8" s="2386" t="s">
        <v>2176</v>
      </c>
      <c r="B8" s="2387" t="s">
        <v>3379</v>
      </c>
      <c r="C8" s="2388"/>
      <c r="D8" s="3522" t="s">
        <v>2177</v>
      </c>
      <c r="E8" s="2389" t="s">
        <v>3383</v>
      </c>
      <c r="F8" s="2390"/>
      <c r="G8" s="2661"/>
      <c r="H8" s="2661"/>
      <c r="I8" s="2661"/>
      <c r="J8" s="2437"/>
      <c r="K8" s="2612"/>
      <c r="L8" s="2611"/>
      <c r="M8" s="2611"/>
      <c r="N8" s="2437"/>
      <c r="O8" s="2448"/>
      <c r="P8" s="2437"/>
      <c r="Q8" s="2437"/>
      <c r="R8" s="2437"/>
    </row>
    <row r="9" spans="1:30" ht="13.5" thickBot="1">
      <c r="A9" s="2391" t="s">
        <v>2178</v>
      </c>
      <c r="B9" s="2392" t="s">
        <v>3383</v>
      </c>
      <c r="C9" s="2393"/>
      <c r="D9" s="3523"/>
      <c r="E9" s="2392" t="s">
        <v>587</v>
      </c>
      <c r="F9" s="2394"/>
      <c r="G9" s="2663"/>
      <c r="H9" s="2663"/>
      <c r="I9" s="2663"/>
      <c r="J9" s="2437"/>
      <c r="K9" s="2614"/>
      <c r="L9" s="2611"/>
      <c r="M9" s="2611"/>
      <c r="N9" s="2437"/>
      <c r="O9" s="2448"/>
      <c r="P9" s="2437"/>
      <c r="Q9" s="2437"/>
      <c r="R9" s="2437"/>
    </row>
    <row r="10" spans="1:30" ht="13.5" thickTop="1">
      <c r="A10" s="2395" t="s">
        <v>2179</v>
      </c>
      <c r="B10" s="2396" t="s">
        <v>3384</v>
      </c>
      <c r="C10" s="2397"/>
      <c r="D10" s="2381"/>
      <c r="E10" s="2398" t="s">
        <v>2180</v>
      </c>
      <c r="F10" s="2664"/>
      <c r="G10" s="2665"/>
      <c r="H10" s="2666"/>
      <c r="I10" s="2667"/>
      <c r="J10" s="2437"/>
      <c r="K10" s="2614"/>
      <c r="L10" s="2611"/>
      <c r="M10" s="2611"/>
      <c r="N10" s="2437"/>
      <c r="O10" s="2448"/>
      <c r="P10" s="2437"/>
      <c r="Q10" s="2437"/>
      <c r="R10" s="2437"/>
    </row>
    <row r="11" spans="1:30">
      <c r="A11" s="2399" t="s">
        <v>2181</v>
      </c>
      <c r="B11" s="2400" t="s">
        <v>3462</v>
      </c>
      <c r="C11" s="2401"/>
      <c r="D11" s="2402"/>
      <c r="E11" s="2369"/>
      <c r="F11" s="2369"/>
      <c r="G11" s="2369"/>
      <c r="H11" s="2369"/>
      <c r="I11" s="2369"/>
      <c r="J11" s="3059"/>
      <c r="K11" s="3058"/>
      <c r="L11" s="2611"/>
      <c r="M11" s="2611"/>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57" t="s">
        <v>2580</v>
      </c>
      <c r="J12" s="3060"/>
      <c r="K12" s="2611"/>
      <c r="L12" s="2611"/>
      <c r="M12" s="2437"/>
      <c r="N12" s="2448"/>
      <c r="O12" s="2437"/>
      <c r="P12" s="2437"/>
      <c r="Q12" s="2437"/>
      <c r="AD12" s="1744"/>
    </row>
    <row r="13" spans="1:30">
      <c r="A13" s="3420" t="s">
        <v>3336</v>
      </c>
      <c r="B13" s="2405" t="s">
        <v>2190</v>
      </c>
      <c r="C13" s="855"/>
      <c r="D13" s="855">
        <v>51276</v>
      </c>
      <c r="E13" s="855"/>
      <c r="F13" s="855"/>
      <c r="G13" s="855"/>
      <c r="H13" s="855"/>
      <c r="I13" s="855"/>
      <c r="J13" s="3060"/>
      <c r="K13" s="2611"/>
      <c r="L13" s="2611"/>
      <c r="M13" s="2437"/>
      <c r="N13" s="2448"/>
      <c r="O13" s="2437"/>
      <c r="P13" s="2437"/>
      <c r="Q13" s="2437"/>
      <c r="AD13" s="1744"/>
    </row>
    <row r="14" spans="1:30">
      <c r="A14" s="1080"/>
      <c r="B14" s="2405" t="s">
        <v>2191</v>
      </c>
      <c r="C14" s="2406"/>
      <c r="D14" s="2406">
        <v>40</v>
      </c>
      <c r="E14" s="2406"/>
      <c r="F14" s="2406"/>
      <c r="G14" s="2406"/>
      <c r="H14" s="2406"/>
      <c r="I14" s="2406"/>
      <c r="J14" s="3061"/>
      <c r="K14" s="2611"/>
      <c r="L14" s="2611"/>
      <c r="M14" s="2437"/>
      <c r="N14" s="2448"/>
      <c r="O14" s="2437"/>
      <c r="P14" s="2437"/>
      <c r="Q14" s="2437"/>
      <c r="AD14" s="1744"/>
    </row>
    <row r="15" spans="1:30">
      <c r="A15" s="320"/>
      <c r="B15" s="2407" t="s">
        <v>2192</v>
      </c>
      <c r="C15" s="2408" t="str">
        <f>IF(A13="出让",IF(C13="","",ROUNDDOWN(MIN((C13-$D$3)/365,C14),2)),C14)</f>
        <v/>
      </c>
      <c r="D15" s="2408">
        <f>IF(A13="出让",IF(D13="","",ROUNDDOWN(MIN((D13-$D$3)/365,D14),2)),D14)</f>
        <v>16</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4"/>
    </row>
    <row r="16" spans="1:30">
      <c r="A16" s="2398" t="s">
        <v>2193</v>
      </c>
      <c r="B16" s="3529"/>
      <c r="C16" s="3530"/>
      <c r="D16" s="3531"/>
      <c r="E16" s="2411" t="s">
        <v>2194</v>
      </c>
      <c r="F16" s="3532"/>
      <c r="G16" s="3533"/>
      <c r="H16" s="3533"/>
      <c r="I16" s="3534"/>
      <c r="J16" s="2437"/>
      <c r="K16" s="2615"/>
      <c r="L16" s="2449"/>
      <c r="M16" s="2449"/>
      <c r="N16" s="2507"/>
      <c r="O16" s="2449"/>
      <c r="P16" s="2507"/>
      <c r="Q16" s="2437"/>
      <c r="R16" s="2437"/>
    </row>
    <row r="17" spans="1:28">
      <c r="A17" s="313" t="s">
        <v>2195</v>
      </c>
      <c r="B17" s="302" t="s">
        <v>2196</v>
      </c>
      <c r="C17" s="8">
        <f>'数据-汇总表'!E3</f>
        <v>314.25</v>
      </c>
      <c r="D17" s="2321" t="s">
        <v>2197</v>
      </c>
      <c r="E17" s="3535" t="s">
        <v>2198</v>
      </c>
      <c r="F17" s="3536"/>
      <c r="G17" s="3536"/>
      <c r="H17" s="3536"/>
      <c r="I17" s="3537"/>
      <c r="J17" s="2437"/>
      <c r="K17" s="2616"/>
      <c r="L17" s="2449"/>
      <c r="M17" s="2449"/>
      <c r="N17" s="2507"/>
      <c r="O17" s="2449"/>
      <c r="P17" s="2507"/>
      <c r="Q17" s="2437"/>
      <c r="R17" s="2437"/>
      <c r="S17" s="2437"/>
      <c r="T17" s="2437"/>
      <c r="U17" s="2437"/>
      <c r="V17" s="2437"/>
    </row>
    <row r="18" spans="1:28" ht="24.75" thickBot="1">
      <c r="A18" s="2412" t="s">
        <v>2199</v>
      </c>
      <c r="B18" s="1089" t="s">
        <v>2200</v>
      </c>
      <c r="C18" s="2413">
        <f>'数据-汇总表'!D3</f>
        <v>0</v>
      </c>
      <c r="D18" s="1091" t="s">
        <v>2201</v>
      </c>
      <c r="E18" s="3538" t="s">
        <v>2202</v>
      </c>
      <c r="F18" s="3539"/>
      <c r="G18" s="3539"/>
      <c r="H18" s="3539"/>
      <c r="I18" s="3540"/>
      <c r="J18" s="2437"/>
      <c r="K18" s="2616"/>
      <c r="L18" s="2449"/>
      <c r="M18" s="2449"/>
      <c r="N18" s="2507"/>
      <c r="O18" s="2449"/>
      <c r="P18" s="2507"/>
      <c r="Q18" s="2437"/>
      <c r="R18" s="2437"/>
      <c r="S18" s="2437"/>
      <c r="T18" s="2437"/>
      <c r="U18" s="2437"/>
      <c r="V18" s="2437"/>
    </row>
    <row r="19" spans="1:28" ht="37.5" thickTop="1" thickBot="1">
      <c r="A19" s="327" t="s">
        <v>1055</v>
      </c>
      <c r="B19" s="307" t="s">
        <v>2203</v>
      </c>
      <c r="C19" s="1562"/>
      <c r="D19" s="1563" t="s">
        <v>2204</v>
      </c>
      <c r="E19" s="1564"/>
      <c r="F19" s="1565" t="str">
        <f>IF(AND(C19="是",E19="否"),"是否提供他项权证或相关说明","")</f>
        <v/>
      </c>
      <c r="G19" s="1566"/>
      <c r="H19" s="2662"/>
      <c r="I19" s="2662"/>
      <c r="J19" s="2437"/>
      <c r="K19" s="2614"/>
      <c r="L19" s="2611"/>
      <c r="M19" s="2611"/>
      <c r="N19" s="2507"/>
      <c r="O19" s="2449"/>
      <c r="P19" s="2507"/>
      <c r="Q19" s="2437"/>
      <c r="R19" s="2437"/>
      <c r="S19" s="2437"/>
      <c r="T19" s="2437"/>
      <c r="U19" s="2437"/>
      <c r="V19" s="2437"/>
    </row>
    <row r="20" spans="1:28">
      <c r="A20" s="2630" t="s">
        <v>2205</v>
      </c>
      <c r="B20" s="3525" t="s">
        <v>2206</v>
      </c>
      <c r="C20" s="3526"/>
      <c r="D20" s="3527" t="s">
        <v>2207</v>
      </c>
      <c r="E20" s="3528"/>
      <c r="F20" s="2645" t="s">
        <v>1056</v>
      </c>
      <c r="G20" s="2662"/>
      <c r="H20" s="2662"/>
      <c r="I20" s="2662"/>
      <c r="J20" s="2437"/>
      <c r="K20" s="3524"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30"/>
      <c r="B21" s="2631" t="s">
        <v>2209</v>
      </c>
      <c r="C21" s="2632" t="s">
        <v>1057</v>
      </c>
      <c r="D21" s="1567" t="s">
        <v>2210</v>
      </c>
      <c r="E21" s="2633" t="s">
        <v>1057</v>
      </c>
      <c r="F21" s="2646"/>
      <c r="G21" s="2662">
        <v>2002</v>
      </c>
      <c r="H21" s="2662"/>
      <c r="I21" s="2662"/>
      <c r="J21" s="2437"/>
      <c r="K21" s="352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30"/>
      <c r="B22" s="2634" t="s">
        <v>2211</v>
      </c>
      <c r="C22" s="2632" t="s">
        <v>1058</v>
      </c>
      <c r="D22" s="2661"/>
      <c r="E22" s="2661"/>
      <c r="F22" s="2661"/>
      <c r="G22" s="2662">
        <f>2024-G21</f>
        <v>22</v>
      </c>
      <c r="H22" s="2662"/>
      <c r="I22" s="2662"/>
      <c r="J22" s="2437"/>
      <c r="K22" s="352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35" t="s">
        <v>2212</v>
      </c>
      <c r="B23" s="2500" t="s">
        <v>2213</v>
      </c>
      <c r="C23" s="2636"/>
      <c r="D23" s="2637" t="s">
        <v>2213</v>
      </c>
      <c r="E23" s="2638"/>
      <c r="F23" s="2661"/>
      <c r="G23" s="2662">
        <f>40-(G22+'数据-取费表'!B20)</f>
        <v>16</v>
      </c>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2" t="s">
        <v>2214</v>
      </c>
      <c r="B27" s="320" t="s">
        <v>2215</v>
      </c>
      <c r="C27" s="2414" t="s">
        <v>3454</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2"/>
      <c r="B28" s="302" t="s">
        <v>2216</v>
      </c>
      <c r="C28" s="2416" t="s">
        <v>3385</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2"/>
      <c r="B29" s="302" t="s">
        <v>2217</v>
      </c>
      <c r="C29" s="2418" t="s">
        <v>3386</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3"/>
      <c r="B30" s="302" t="s">
        <v>2218</v>
      </c>
      <c r="C30" s="3514"/>
      <c r="D30" s="3515"/>
      <c r="E30" s="2662"/>
      <c r="F30" s="2662"/>
      <c r="G30" s="2662"/>
      <c r="H30" s="2662"/>
      <c r="I30" s="2662"/>
      <c r="J30" s="2437"/>
      <c r="K30" s="2614"/>
      <c r="L30" s="2611"/>
      <c r="M30" s="2611"/>
      <c r="N30" s="2437"/>
      <c r="O30" s="2448"/>
      <c r="P30" s="2437"/>
      <c r="Q30" s="2437"/>
      <c r="R30" s="2437"/>
      <c r="S30" s="2437"/>
      <c r="T30" s="2437"/>
      <c r="U30" s="2437"/>
      <c r="V30" s="2437"/>
    </row>
    <row r="31" spans="1:28">
      <c r="A31" s="3516" t="s">
        <v>2219</v>
      </c>
      <c r="B31" s="2420" t="s">
        <v>3387</v>
      </c>
      <c r="C31" s="2322" t="str">
        <f>IF(B31="现房","成新及维护状况正常否",IF(B31="在建","工程状态是否正常",IF(B31="土地","是否闲置","-")))</f>
        <v>成新及维护状况正常否</v>
      </c>
      <c r="D31" s="1372"/>
      <c r="E31" s="2421"/>
      <c r="F31" s="2662"/>
      <c r="G31" s="2662"/>
      <c r="H31" s="2662"/>
      <c r="I31" s="2662"/>
      <c r="J31" s="2437"/>
      <c r="K31" s="2613"/>
      <c r="L31" s="2611"/>
      <c r="M31" s="2611"/>
      <c r="N31" s="2437"/>
      <c r="O31" s="2448"/>
      <c r="P31" s="2437"/>
      <c r="Q31" s="2437"/>
      <c r="R31" s="2437"/>
      <c r="S31" s="2437"/>
      <c r="T31" s="2437"/>
      <c r="U31" s="2437"/>
      <c r="V31" s="2437"/>
    </row>
    <row r="32" spans="1:28">
      <c r="A32" s="3517"/>
      <c r="B32" s="2420"/>
      <c r="C32" s="2322" t="str">
        <f>IF(B32="现房","成新及维护状况是否正常",IF(B32="在建","工程状态是否正常",IF(B32="土地","是否闲置","-")))</f>
        <v>-</v>
      </c>
      <c r="D32" s="1372"/>
      <c r="E32" s="2421"/>
      <c r="F32" s="2662"/>
      <c r="G32" s="2662"/>
      <c r="H32" s="2662"/>
      <c r="I32" s="2662"/>
      <c r="J32" s="2437"/>
      <c r="K32" s="2614"/>
      <c r="L32" s="2611"/>
      <c r="M32" s="2611"/>
      <c r="N32" s="2437"/>
      <c r="O32" s="2448"/>
      <c r="P32" s="2437"/>
      <c r="Q32" s="2437"/>
      <c r="R32" s="2437"/>
      <c r="S32" s="2437"/>
      <c r="T32" s="2437"/>
      <c r="U32" s="2437"/>
      <c r="V32" s="2437"/>
    </row>
    <row r="33" spans="1:30">
      <c r="A33" s="3517"/>
      <c r="B33" s="2423"/>
      <c r="C33" s="1589" t="str">
        <f>IF(B33="现房","成新及维护状况是否正常",IF(B33="在建","工程状态是否正常",IF(B33="土地","是否闲置","-")))</f>
        <v>-</v>
      </c>
      <c r="D33" s="1364"/>
      <c r="E33" s="2424"/>
      <c r="F33" s="2662"/>
      <c r="G33" s="2662"/>
      <c r="H33" s="2662"/>
      <c r="I33" s="2662"/>
      <c r="J33" s="2437"/>
      <c r="K33" s="2614"/>
      <c r="L33" s="2611"/>
      <c r="M33" s="2611"/>
      <c r="N33" s="2437"/>
      <c r="O33" s="2448"/>
      <c r="P33" s="2437"/>
      <c r="Q33" s="2437"/>
      <c r="R33" s="2437"/>
      <c r="S33" s="2437"/>
      <c r="T33" s="2437"/>
      <c r="U33" s="2437"/>
      <c r="V33" s="2437"/>
    </row>
    <row r="34" spans="1:30">
      <c r="A34" s="302" t="s">
        <v>2220</v>
      </c>
      <c r="B34" s="2025" t="s">
        <v>3388</v>
      </c>
      <c r="C34" s="2025" t="s">
        <v>3389</v>
      </c>
      <c r="D34" s="2025" t="s">
        <v>3390</v>
      </c>
      <c r="E34" s="2025" t="s">
        <v>3391</v>
      </c>
      <c r="F34" s="2025" t="s">
        <v>3392</v>
      </c>
      <c r="G34" s="2025" t="s">
        <v>3447</v>
      </c>
      <c r="H34" s="2025" t="s">
        <v>3448</v>
      </c>
      <c r="I34" s="2662"/>
      <c r="J34" s="2437"/>
      <c r="K34" s="2425">
        <f>COUNTIF(B34:H34,"——")</f>
        <v>0</v>
      </c>
      <c r="L34" s="323" t="s">
        <v>2221</v>
      </c>
      <c r="M34" s="323" t="s">
        <v>2222</v>
      </c>
      <c r="N34" s="323" t="s">
        <v>2223</v>
      </c>
      <c r="O34" s="323" t="s">
        <v>2224</v>
      </c>
      <c r="P34" s="323" t="s">
        <v>2225</v>
      </c>
      <c r="Q34" s="323" t="s">
        <v>2226</v>
      </c>
      <c r="R34" s="323" t="s">
        <v>2227</v>
      </c>
      <c r="S34" s="3511" t="s">
        <v>2228</v>
      </c>
      <c r="T34" s="2426" t="str">
        <f>NUMBERSTRING(7-K34,1)&amp;"通"</f>
        <v>七通</v>
      </c>
      <c r="U34" s="2437"/>
      <c r="V34" s="2437"/>
    </row>
    <row r="35" spans="1:30">
      <c r="A35" s="2427"/>
      <c r="B35" s="3518" t="s">
        <v>2229</v>
      </c>
      <c r="C35" s="3518"/>
      <c r="D35" s="3518"/>
      <c r="E35" s="3518"/>
      <c r="F35" s="663">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通路、通电、通讯、通上水、通下水、燃气</v>
      </c>
      <c r="R35" s="329" t="str">
        <f>B34&amp;"、"&amp;C34&amp;"、"&amp;D34&amp;"、"&amp;E34&amp;"、"&amp;F34&amp;"、"&amp;G34&amp;"、"&amp;H34</f>
        <v>通路、通电、通讯、通上水、通下水、燃气、通热</v>
      </c>
      <c r="S35" s="3511"/>
      <c r="T35" s="329" t="str">
        <f>IF(T34="一通",L35,IF(T34="二通",M35,IF(T34="三通",N35,IF(T34="四通",O35,IF(T34="五通",P35,IF(T34="六通",Q35,R35))))))</f>
        <v>通路、通电、通讯、通上水、通下水、燃气、通热</v>
      </c>
      <c r="U35" s="2437"/>
      <c r="V35" s="2437"/>
    </row>
    <row r="36" spans="1:30">
      <c r="A36" s="2428"/>
      <c r="B36" s="663" t="s">
        <v>2185</v>
      </c>
      <c r="C36" s="663" t="s">
        <v>2186</v>
      </c>
      <c r="D36" s="663" t="s">
        <v>2184</v>
      </c>
      <c r="E36" s="663" t="s">
        <v>2189</v>
      </c>
      <c r="F36" s="3063" t="s">
        <v>2583</v>
      </c>
      <c r="G36" s="2662"/>
      <c r="H36" s="2662"/>
      <c r="I36" s="2662"/>
      <c r="J36" s="2437"/>
      <c r="K36" s="2614"/>
      <c r="L36" s="2611"/>
      <c r="M36" s="2611"/>
      <c r="N36" s="2437"/>
      <c r="O36" s="2448"/>
      <c r="P36" s="2437"/>
      <c r="Q36" s="2437"/>
      <c r="R36" s="2437"/>
      <c r="S36" s="2437"/>
      <c r="T36" s="2437"/>
      <c r="U36" s="2437"/>
      <c r="V36" s="2437"/>
    </row>
    <row r="37" spans="1:30">
      <c r="A37" s="2628" t="s">
        <v>2230</v>
      </c>
      <c r="B37" s="3450" t="s">
        <v>29</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2231</v>
      </c>
      <c r="B38" s="2430" t="s">
        <v>150</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9"/>
      <c r="B40" s="2369"/>
      <c r="C40" s="2369"/>
      <c r="D40" s="2369"/>
      <c r="E40" s="2369"/>
      <c r="F40" s="2369"/>
      <c r="G40" s="2369"/>
      <c r="H40" s="2369"/>
      <c r="I40" s="1577"/>
      <c r="J40" s="2507"/>
      <c r="K40" s="2613"/>
      <c r="L40" s="2449"/>
      <c r="M40" s="2449"/>
      <c r="N40" s="2507"/>
      <c r="O40" s="2449"/>
      <c r="P40" s="2437"/>
      <c r="Q40" s="2437"/>
      <c r="R40" s="2437"/>
      <c r="S40" s="2437"/>
      <c r="T40" s="2437"/>
      <c r="U40" s="2437"/>
      <c r="V40" s="2437"/>
    </row>
    <row r="41" spans="1:30">
      <c r="A41" s="2434" t="s">
        <v>2233</v>
      </c>
      <c r="B41" s="1756"/>
      <c r="C41" s="1372"/>
      <c r="D41" s="2369"/>
      <c r="E41" s="2369"/>
      <c r="F41" s="2369"/>
      <c r="G41" s="2369"/>
      <c r="H41" s="2369"/>
      <c r="I41" s="1575"/>
      <c r="J41" s="2437"/>
      <c r="K41" s="2614"/>
      <c r="L41" s="2611"/>
      <c r="M41" s="2611"/>
      <c r="N41" s="2437"/>
      <c r="O41" s="2448"/>
      <c r="P41" s="2437"/>
      <c r="Q41" s="2437"/>
      <c r="R41" s="2437"/>
      <c r="S41" s="2437"/>
      <c r="T41" s="2437"/>
      <c r="U41" s="2437"/>
      <c r="V41" s="2437"/>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7"/>
      <c r="T42" s="2437"/>
      <c r="U42" s="2437"/>
      <c r="V42" s="2437"/>
    </row>
    <row r="43" spans="1:30" s="1742" customFormat="1">
      <c r="A43" s="1569"/>
      <c r="B43" s="1050"/>
      <c r="C43" s="1050"/>
      <c r="D43" s="1050"/>
      <c r="E43" s="1050"/>
      <c r="F43" s="1050"/>
      <c r="G43" s="1050"/>
      <c r="H43" s="1050"/>
      <c r="I43" s="1050"/>
      <c r="J43" s="2435"/>
      <c r="K43" s="2436"/>
      <c r="L43" s="2436"/>
      <c r="M43" s="1050"/>
      <c r="N43" s="1050"/>
      <c r="O43" s="1050"/>
      <c r="P43" s="1050"/>
      <c r="Q43" s="1050"/>
      <c r="R43" s="1050"/>
      <c r="S43" s="2437"/>
      <c r="T43" s="2437"/>
      <c r="U43" s="2437"/>
      <c r="V43" s="2437"/>
    </row>
    <row r="44" spans="1:30" s="1742" customFormat="1">
      <c r="A44" s="1569"/>
      <c r="B44" s="1569"/>
      <c r="C44" s="1050"/>
      <c r="D44" s="1050"/>
      <c r="E44" s="1050"/>
      <c r="F44" s="1050"/>
      <c r="G44" s="1050"/>
      <c r="H44" s="1050"/>
      <c r="I44" s="1050"/>
      <c r="J44" s="2435"/>
      <c r="K44" s="2436"/>
      <c r="L44" s="2436"/>
      <c r="M44" s="1050"/>
      <c r="N44" s="1050"/>
      <c r="O44" s="1050"/>
      <c r="P44" s="1050"/>
      <c r="Q44" s="1050"/>
      <c r="R44" s="1050"/>
      <c r="S44" s="2437"/>
      <c r="T44" s="2437"/>
      <c r="U44" s="2437"/>
      <c r="V44" s="2437"/>
    </row>
    <row r="45" spans="1:30" s="1742" customFormat="1">
      <c r="A45" s="1569"/>
      <c r="B45" s="1569"/>
      <c r="C45" s="1050"/>
      <c r="D45" s="1050"/>
      <c r="E45" s="1050"/>
      <c r="F45" s="1050"/>
      <c r="G45" s="1050"/>
      <c r="H45" s="1050"/>
      <c r="I45" s="1050"/>
      <c r="J45" s="2435"/>
      <c r="K45" s="2436"/>
      <c r="L45" s="2436"/>
      <c r="M45" s="1050"/>
      <c r="N45" s="1050"/>
      <c r="O45" s="1050"/>
      <c r="P45" s="1050"/>
      <c r="Q45" s="1050"/>
      <c r="R45" s="1050"/>
      <c r="S45" s="2437"/>
      <c r="T45" s="2437"/>
      <c r="U45" s="2437"/>
      <c r="V45" s="2437"/>
    </row>
    <row r="46" spans="1:30" s="1742" customFormat="1">
      <c r="A46" s="1569"/>
      <c r="B46" s="1569"/>
      <c r="C46" s="1050"/>
      <c r="D46" s="1050"/>
      <c r="E46" s="1050"/>
      <c r="F46" s="1050"/>
      <c r="G46" s="1050"/>
      <c r="H46" s="1050"/>
      <c r="I46" s="1050"/>
      <c r="J46" s="2435"/>
      <c r="K46" s="2436"/>
      <c r="L46" s="2436"/>
      <c r="M46" s="1050"/>
      <c r="N46" s="1050"/>
      <c r="O46" s="1050"/>
      <c r="P46" s="1050"/>
      <c r="Q46" s="1050"/>
      <c r="R46" s="1050"/>
      <c r="S46" s="2437"/>
      <c r="T46" s="2437"/>
      <c r="U46" s="2437"/>
      <c r="V46" s="2437"/>
    </row>
    <row r="47" spans="1:30" s="1742" customFormat="1">
      <c r="A47" s="1569"/>
      <c r="B47" s="1569"/>
      <c r="C47" s="1050"/>
      <c r="D47" s="1050"/>
      <c r="E47" s="1050"/>
      <c r="F47" s="1050"/>
      <c r="G47" s="1050"/>
      <c r="H47" s="1050"/>
      <c r="I47" s="1050"/>
      <c r="J47" s="2435"/>
      <c r="K47" s="2436"/>
      <c r="L47" s="2436"/>
      <c r="M47" s="1050"/>
      <c r="N47" s="1050"/>
      <c r="O47" s="1050"/>
      <c r="P47" s="1050"/>
      <c r="Q47" s="1050"/>
      <c r="R47" s="1050"/>
      <c r="S47" s="2437"/>
      <c r="T47" s="2437"/>
      <c r="U47" s="2437"/>
      <c r="V47" s="2437"/>
    </row>
    <row r="48" spans="1:30" s="1742" customFormat="1">
      <c r="A48" s="1569"/>
      <c r="B48" s="1569"/>
      <c r="C48" s="1050"/>
      <c r="D48" s="1050"/>
      <c r="E48" s="1050"/>
      <c r="F48" s="1050"/>
      <c r="G48" s="1050"/>
      <c r="H48" s="1050"/>
      <c r="I48" s="1050"/>
      <c r="J48" s="2435"/>
      <c r="K48" s="2436"/>
      <c r="L48" s="2436"/>
      <c r="M48" s="1050"/>
      <c r="N48" s="1050"/>
      <c r="O48" s="1050"/>
      <c r="P48" s="1050"/>
      <c r="Q48" s="1050"/>
      <c r="R48" s="1050"/>
      <c r="S48" s="2437"/>
      <c r="T48" s="2437"/>
      <c r="U48" s="2437"/>
      <c r="V48" s="2437"/>
    </row>
    <row r="49" spans="1:22" s="1742" customFormat="1">
      <c r="A49" s="1569"/>
      <c r="B49" s="1569"/>
      <c r="C49" s="1050"/>
      <c r="D49" s="1050"/>
      <c r="E49" s="1050"/>
      <c r="F49" s="1050"/>
      <c r="G49" s="1050"/>
      <c r="H49" s="1050"/>
      <c r="I49" s="1050"/>
      <c r="J49" s="2435"/>
      <c r="K49" s="2436"/>
      <c r="L49" s="2436"/>
      <c r="M49" s="1050"/>
      <c r="N49" s="1050"/>
      <c r="O49" s="1050"/>
      <c r="P49" s="1050"/>
      <c r="Q49" s="1050"/>
      <c r="R49" s="1050"/>
      <c r="S49" s="2437"/>
      <c r="T49" s="2437"/>
      <c r="U49" s="2437"/>
      <c r="V49" s="2437"/>
    </row>
    <row r="50" spans="1:22" s="1742" customFormat="1">
      <c r="A50" s="1569"/>
      <c r="B50" s="1569"/>
      <c r="C50" s="1050"/>
      <c r="D50" s="1050"/>
      <c r="E50" s="1050"/>
      <c r="F50" s="1050"/>
      <c r="G50" s="1050"/>
      <c r="H50" s="1050"/>
      <c r="I50" s="1050"/>
      <c r="J50" s="2435"/>
      <c r="K50" s="2436"/>
      <c r="L50" s="2436"/>
      <c r="M50" s="1050"/>
      <c r="N50" s="1050"/>
      <c r="O50" s="1050"/>
      <c r="P50" s="1050"/>
      <c r="Q50" s="1050"/>
      <c r="R50" s="1050"/>
      <c r="S50" s="2437"/>
      <c r="T50" s="2437"/>
      <c r="U50" s="2437"/>
      <c r="V50" s="2437"/>
    </row>
    <row r="51" spans="1:22" s="1742" customFormat="1">
      <c r="A51" s="1569"/>
      <c r="B51" s="1569"/>
      <c r="C51" s="1050"/>
      <c r="D51" s="1050"/>
      <c r="E51" s="1050"/>
      <c r="F51" s="1050"/>
      <c r="G51" s="1050"/>
      <c r="H51" s="1050"/>
      <c r="I51" s="1050"/>
      <c r="J51" s="2435"/>
      <c r="K51" s="2436"/>
      <c r="L51" s="2436"/>
      <c r="M51" s="1050"/>
      <c r="N51" s="1050"/>
      <c r="O51" s="1050"/>
      <c r="P51" s="1050"/>
      <c r="Q51" s="1050"/>
      <c r="R51" s="1050"/>
    </row>
    <row r="52" spans="1:22" s="1742" customFormat="1">
      <c r="A52" s="1569"/>
      <c r="B52" s="1569"/>
      <c r="C52" s="1569"/>
      <c r="D52" s="1569"/>
      <c r="E52" s="1569"/>
      <c r="F52" s="1050"/>
      <c r="G52" s="1569"/>
      <c r="H52" s="1569"/>
      <c r="I52" s="1569"/>
      <c r="J52" s="2438"/>
      <c r="K52" s="2436"/>
      <c r="L52" s="2436"/>
      <c r="M52" s="2436"/>
      <c r="N52" s="1569"/>
      <c r="O52" s="1569"/>
      <c r="P52" s="1569"/>
      <c r="Q52" s="1569"/>
      <c r="R52" s="1569"/>
    </row>
    <row r="53" spans="1:22" s="1742" customFormat="1">
      <c r="A53" s="1569"/>
      <c r="B53" s="1569"/>
      <c r="C53" s="1569"/>
      <c r="D53" s="1569"/>
      <c r="E53" s="1569"/>
      <c r="F53" s="1050"/>
      <c r="G53" s="1569"/>
      <c r="H53" s="1569"/>
      <c r="I53" s="1569"/>
      <c r="J53" s="2438"/>
      <c r="K53" s="2436"/>
      <c r="L53" s="2436"/>
      <c r="M53" s="2436"/>
      <c r="N53" s="1569"/>
      <c r="O53" s="1569"/>
      <c r="P53" s="1569"/>
      <c r="Q53" s="1569"/>
      <c r="R53" s="1569"/>
    </row>
    <row r="54" spans="1:22" s="1742" customFormat="1">
      <c r="A54" s="1569"/>
      <c r="B54" s="1569"/>
      <c r="C54" s="1569"/>
      <c r="D54" s="1569"/>
      <c r="E54" s="1569"/>
      <c r="F54" s="1050"/>
      <c r="G54" s="1569"/>
      <c r="H54" s="1569"/>
      <c r="I54" s="1569"/>
      <c r="J54" s="2438"/>
      <c r="K54" s="2436"/>
      <c r="L54" s="2436"/>
      <c r="M54" s="2436"/>
      <c r="N54" s="1569"/>
      <c r="O54" s="1569"/>
      <c r="P54" s="1569"/>
      <c r="Q54" s="1569"/>
      <c r="R54" s="1569"/>
    </row>
    <row r="55" spans="1:22" s="1742" customFormat="1">
      <c r="A55" s="1569"/>
      <c r="B55" s="1569"/>
      <c r="C55" s="1569"/>
      <c r="D55" s="1569"/>
      <c r="E55" s="1569"/>
      <c r="F55" s="1050"/>
      <c r="G55" s="1569"/>
      <c r="H55" s="1569"/>
      <c r="I55" s="1569"/>
      <c r="J55" s="2438"/>
      <c r="K55" s="2436"/>
      <c r="L55" s="2436"/>
      <c r="M55" s="2436"/>
      <c r="N55" s="1569"/>
      <c r="O55" s="1569"/>
      <c r="P55" s="1569"/>
      <c r="Q55" s="1569"/>
      <c r="R55" s="1569"/>
    </row>
    <row r="56" spans="1:22" s="1742" customFormat="1">
      <c r="A56" s="1569"/>
      <c r="B56" s="1569"/>
      <c r="C56" s="1569"/>
      <c r="D56" s="1569"/>
      <c r="E56" s="1569"/>
      <c r="F56" s="1050"/>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AA19" sqref="AA19"/>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6" width="10.75" style="1572" hidden="1" customWidth="1"/>
    <col min="27"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314.25</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314.25</v>
      </c>
      <c r="H5" s="13">
        <f t="shared" ref="H5:AT5" si="0">SUM(H13:H656)</f>
        <v>314.25</v>
      </c>
      <c r="I5" s="13">
        <f t="shared" si="0"/>
        <v>217.64</v>
      </c>
      <c r="J5" s="13">
        <f t="shared" si="0"/>
        <v>0</v>
      </c>
      <c r="K5" s="13">
        <f t="shared" si="0"/>
        <v>96.61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314.25</v>
      </c>
      <c r="BA5" s="15">
        <f t="shared" si="1"/>
        <v>314.25</v>
      </c>
      <c r="BB5" s="15">
        <f t="shared" si="1"/>
        <v>217.64</v>
      </c>
      <c r="BC5" s="15">
        <f t="shared" si="1"/>
        <v>96.61</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3394</v>
      </c>
      <c r="J9" s="808"/>
      <c r="K9" s="1602" t="s">
        <v>3443</v>
      </c>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t="s">
        <v>673</v>
      </c>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t="str">
        <f>K10</f>
        <v>商业</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v>1</v>
      </c>
      <c r="D13" s="1624" t="s">
        <v>3393</v>
      </c>
      <c r="E13" s="13">
        <f>IF($C$3="是",ROUND($A$3*G13/$B$3,2),ROUND($A$3*(G13-AT13)/$B$3,2))</f>
        <v>0</v>
      </c>
      <c r="F13" s="29"/>
      <c r="G13" s="30">
        <f>H13+AC13+AT13</f>
        <v>314.25</v>
      </c>
      <c r="H13" s="17">
        <f>SUMIF(I$12:AB$12,"总值",I13:AB13)</f>
        <v>314.25</v>
      </c>
      <c r="I13" s="1625">
        <v>217.64</v>
      </c>
      <c r="J13" s="1625"/>
      <c r="K13" s="1625">
        <v>96.61</v>
      </c>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1</v>
      </c>
      <c r="AY13" s="1348">
        <f>ROUND($AY$6*AZ13/$AZ$5,2)</f>
        <v>0</v>
      </c>
      <c r="AZ13" s="13">
        <f>BA13+BL13</f>
        <v>314.25</v>
      </c>
      <c r="BA13" s="13">
        <f>SUM(BB13:BK13)</f>
        <v>314.25</v>
      </c>
      <c r="BB13" s="13">
        <f>IF($D13="是",I13-J13,0)</f>
        <v>217.64</v>
      </c>
      <c r="BC13" s="13">
        <f>IF($D13="是",K13-L13,0)</f>
        <v>96.61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6"/>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6"/>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6"/>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7"/>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7"/>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7"/>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view="pageBreakPreview" zoomScale="70" zoomScaleNormal="100" zoomScaleSheetLayoutView="70" workbookViewId="0">
      <selection activeCell="G36" sqref="G36"/>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7"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0" t="s">
        <v>1131</v>
      </c>
      <c r="B2" s="3550"/>
      <c r="C2" s="3550"/>
      <c r="D2" s="795" t="s">
        <v>1107</v>
      </c>
      <c r="E2" s="1638" t="s">
        <v>1108</v>
      </c>
      <c r="F2" s="2657"/>
      <c r="G2" s="2648"/>
      <c r="H2" s="2649"/>
      <c r="I2" s="2324" t="s">
        <v>1132</v>
      </c>
      <c r="J2" s="2657"/>
      <c r="K2" s="2657"/>
      <c r="L2" s="2657"/>
      <c r="M2" s="2657"/>
      <c r="N2" s="2659"/>
      <c r="O2" s="2657"/>
      <c r="P2" s="2657"/>
    </row>
    <row r="3" spans="1:16" ht="15.75" thickBot="1">
      <c r="A3" s="3551" t="s">
        <v>1105</v>
      </c>
      <c r="B3" s="3551"/>
      <c r="C3" s="3551"/>
      <c r="D3" s="43">
        <f>'数据-基础表'!AY6</f>
        <v>0</v>
      </c>
      <c r="E3" s="43">
        <f>'数据-基础表'!AZ5</f>
        <v>314.25</v>
      </c>
      <c r="F3" s="2657"/>
      <c r="G3" s="1144"/>
      <c r="H3" s="1025" t="s">
        <v>1106</v>
      </c>
      <c r="I3" s="854" t="e">
        <f>ROUND('数据-基础表'!B3/'数据-基础表'!A3,2)</f>
        <v>#DIV/0!</v>
      </c>
      <c r="J3" s="2657"/>
      <c r="K3" s="2657"/>
      <c r="L3" s="2657"/>
      <c r="M3" s="2657"/>
      <c r="N3" s="2659"/>
      <c r="O3" s="2657"/>
      <c r="P3" s="2657"/>
    </row>
    <row r="4" spans="1:16" ht="15">
      <c r="A4" s="3552"/>
      <c r="B4" s="3553"/>
      <c r="C4" s="3554"/>
      <c r="D4" s="1640" t="s">
        <v>1107</v>
      </c>
      <c r="E4" s="1641" t="s">
        <v>1108</v>
      </c>
      <c r="F4" s="2657"/>
      <c r="G4" s="2650" t="s">
        <v>1133</v>
      </c>
      <c r="H4" s="1025" t="s">
        <v>1113</v>
      </c>
      <c r="I4" s="854" t="e">
        <f>ROUND(SUMIF('数据-基础表'!I9:AS9,"地上",'数据-基础表'!I5:AS5)/'数据-基础表'!A3,2)</f>
        <v>#DIV/0!</v>
      </c>
      <c r="J4" s="2657"/>
      <c r="K4" s="2657"/>
      <c r="L4" s="2657"/>
      <c r="M4" s="2657"/>
      <c r="N4" s="2659"/>
      <c r="O4" s="2657"/>
      <c r="P4" s="2657"/>
    </row>
    <row r="5" spans="1:16">
      <c r="A5" s="44" t="s">
        <v>1109</v>
      </c>
      <c r="B5" s="3555" t="s">
        <v>1110</v>
      </c>
      <c r="C5" s="3555"/>
      <c r="D5" s="45">
        <f>ROUND($D$3*E5/$E$3,2)</f>
        <v>0</v>
      </c>
      <c r="E5" s="46">
        <f>SUMIF('数据-基础表'!$11:$11,"住宅",'数据-基础表'!$5:$5)</f>
        <v>0</v>
      </c>
      <c r="F5" s="2657"/>
      <c r="G5" s="1144"/>
      <c r="H5" s="1025" t="s">
        <v>1106</v>
      </c>
      <c r="I5" s="854" t="e">
        <f>ROUND(E31/D31,2)</f>
        <v>#DIV/0!</v>
      </c>
      <c r="J5" s="2657"/>
      <c r="K5" s="2657"/>
      <c r="L5" s="2657"/>
      <c r="M5" s="2657"/>
      <c r="N5" s="2657"/>
      <c r="O5" s="2657"/>
      <c r="P5" s="2657"/>
    </row>
    <row r="6" spans="1:16" ht="15" thickBot="1">
      <c r="A6" s="1643"/>
      <c r="B6" s="3555" t="s">
        <v>1111</v>
      </c>
      <c r="C6" s="3555"/>
      <c r="D6" s="45">
        <f>ROUND($D$3*E6/$E$3,2)</f>
        <v>0</v>
      </c>
      <c r="E6" s="46">
        <f>E3-E5</f>
        <v>314.25</v>
      </c>
      <c r="F6" s="2657"/>
      <c r="G6" s="2651" t="s">
        <v>1112</v>
      </c>
      <c r="H6" s="1145" t="s">
        <v>1113</v>
      </c>
      <c r="I6" s="2652" t="e">
        <f>ROUND(F31/D31,2)</f>
        <v>#DIV/0!</v>
      </c>
      <c r="J6" s="2657"/>
      <c r="K6" s="2657"/>
      <c r="L6" s="2657"/>
      <c r="M6" s="2657"/>
      <c r="N6" s="2657"/>
      <c r="O6" s="2657"/>
      <c r="P6" s="2657"/>
    </row>
    <row r="7" spans="1:16" ht="15.75" thickBot="1">
      <c r="A7" s="3547"/>
      <c r="B7" s="3548"/>
      <c r="C7" s="3549"/>
      <c r="D7" s="1640" t="s">
        <v>1107</v>
      </c>
      <c r="E7" s="1644"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217.64</v>
      </c>
      <c r="F8" s="2657"/>
      <c r="G8" s="2658"/>
      <c r="H8" s="2658"/>
      <c r="I8" s="2657"/>
      <c r="J8" s="2657"/>
      <c r="K8" s="2657"/>
      <c r="L8" s="2657"/>
      <c r="M8" s="2657"/>
      <c r="N8" s="2657"/>
      <c r="O8" s="2657"/>
      <c r="P8" s="2657"/>
    </row>
    <row r="9" spans="1:16">
      <c r="A9" s="1645"/>
      <c r="B9" s="1646"/>
      <c r="C9" s="45" t="s">
        <v>1119</v>
      </c>
      <c r="D9" s="45">
        <f t="shared" si="0"/>
        <v>0</v>
      </c>
      <c r="E9" s="49">
        <v>0</v>
      </c>
      <c r="F9" s="2657"/>
      <c r="G9" s="2658"/>
      <c r="H9" s="2658"/>
      <c r="I9" s="2657"/>
      <c r="J9" s="2657"/>
      <c r="K9" s="2657"/>
      <c r="L9" s="2657"/>
      <c r="M9" s="2657"/>
      <c r="N9" s="2657"/>
      <c r="O9" s="2657"/>
      <c r="P9" s="2657"/>
    </row>
    <row r="10" spans="1:16">
      <c r="A10" s="1645"/>
      <c r="B10" s="1646"/>
      <c r="C10" s="45" t="s">
        <v>1128</v>
      </c>
      <c r="D10" s="45">
        <f t="shared" si="0"/>
        <v>0</v>
      </c>
      <c r="E10" s="48">
        <f>SUMPRODUCT(('数据-基础表'!BB10:BK10="地下")*('数据-基础表'!BB11:BK11="商业")*('数据-基础表'!BB5:BK5))</f>
        <v>96.61</v>
      </c>
      <c r="F10" s="2657"/>
      <c r="G10" s="2658"/>
      <c r="H10" s="2658"/>
      <c r="I10" s="2657"/>
      <c r="J10" s="2657"/>
      <c r="K10" s="2657"/>
      <c r="L10" s="2657"/>
      <c r="M10" s="2657"/>
      <c r="N10" s="2657"/>
      <c r="O10" s="2657"/>
      <c r="P10" s="2657"/>
    </row>
    <row r="11" spans="1:16">
      <c r="A11" s="1645"/>
      <c r="B11" s="1646"/>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5"/>
      <c r="B12" s="1646"/>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5"/>
      <c r="B13" s="1646"/>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5"/>
      <c r="B14" s="1646"/>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5"/>
      <c r="B15" s="1646"/>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3"/>
      <c r="B16" s="1646"/>
      <c r="C16" s="47" t="s">
        <v>1123</v>
      </c>
      <c r="D16" s="47">
        <f>SUM(D8:D15)</f>
        <v>0</v>
      </c>
      <c r="E16" s="50">
        <f>SUM(E8:E15)</f>
        <v>314.25</v>
      </c>
      <c r="F16" s="2657"/>
      <c r="G16" s="2658"/>
      <c r="H16" s="1647" t="s">
        <v>1135</v>
      </c>
      <c r="I16" s="1648"/>
      <c r="J16" s="1138"/>
      <c r="K16" s="3544" t="s">
        <v>1135</v>
      </c>
      <c r="L16" s="3545"/>
      <c r="M16" s="3545"/>
      <c r="N16" s="3545"/>
      <c r="O16" s="3545"/>
      <c r="P16" s="3546"/>
    </row>
    <row r="17" spans="1:19" ht="15">
      <c r="A17" s="1649" t="s">
        <v>1136</v>
      </c>
      <c r="B17" s="1650" t="s">
        <v>1137</v>
      </c>
      <c r="C17" s="1651" t="s">
        <v>1138</v>
      </c>
      <c r="D17" s="1652" t="s">
        <v>1126</v>
      </c>
      <c r="E17" s="1653" t="s">
        <v>1127</v>
      </c>
      <c r="F17" s="1654"/>
      <c r="G17" s="1655"/>
      <c r="H17" s="1656" t="s">
        <v>1139</v>
      </c>
      <c r="I17" s="1657" t="s">
        <v>1124</v>
      </c>
      <c r="J17" s="1138"/>
      <c r="K17" s="3541" t="s">
        <v>1140</v>
      </c>
      <c r="L17" s="3542"/>
      <c r="M17" s="3543"/>
      <c r="N17" s="3541" t="s">
        <v>1141</v>
      </c>
      <c r="O17" s="3542"/>
      <c r="P17" s="3543"/>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5" t="s">
        <v>3444</v>
      </c>
      <c r="D19" s="45">
        <f>ROUND($D$3*E19/$E$3,2)</f>
        <v>0</v>
      </c>
      <c r="E19" s="53">
        <f t="shared" ref="E19:E26" si="1">SUM(F19:G19)</f>
        <v>314.25</v>
      </c>
      <c r="F19" s="2793">
        <f>'数据-基础表'!I5</f>
        <v>217.64</v>
      </c>
      <c r="G19" s="2794">
        <f>'数据-基础表'!K5+'数据-基础表'!AA5</f>
        <v>96.61</v>
      </c>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314.25</v>
      </c>
    </row>
    <row r="20" spans="1:19">
      <c r="A20" s="1669"/>
      <c r="B20" s="47" t="s">
        <v>1153</v>
      </c>
      <c r="C20" s="3415"/>
      <c r="D20" s="45">
        <f t="shared" ref="D20:D26" si="6">ROUND($D$3*E20/$E$3,2)</f>
        <v>0</v>
      </c>
      <c r="E20" s="53">
        <f t="shared" si="1"/>
        <v>0</v>
      </c>
      <c r="F20" s="2793"/>
      <c r="G20" s="2794"/>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5"/>
      <c r="D21" s="45">
        <f t="shared" si="6"/>
        <v>0</v>
      </c>
      <c r="E21" s="53">
        <f t="shared" si="1"/>
        <v>0</v>
      </c>
      <c r="F21" s="2793"/>
      <c r="G21" s="2794"/>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6"/>
      <c r="D22" s="45">
        <f t="shared" si="6"/>
        <v>0</v>
      </c>
      <c r="E22" s="53">
        <f t="shared" si="1"/>
        <v>0</v>
      </c>
      <c r="F22" s="2795"/>
      <c r="G22" s="2796"/>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6"/>
      <c r="D23" s="45">
        <f>ROUND($D$3*E23/$E$3,2)</f>
        <v>0</v>
      </c>
      <c r="E23" s="53">
        <f>SUM(F23:G23)</f>
        <v>0</v>
      </c>
      <c r="F23" s="2795"/>
      <c r="G23" s="2796"/>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6"/>
      <c r="D24" s="45">
        <f>ROUND($D$3*E24/$E$3,2)</f>
        <v>0</v>
      </c>
      <c r="E24" s="53">
        <f>SUM(F24:G24)</f>
        <v>0</v>
      </c>
      <c r="F24" s="2795"/>
      <c r="G24" s="2796"/>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6"/>
      <c r="D25" s="45">
        <f t="shared" si="6"/>
        <v>0</v>
      </c>
      <c r="E25" s="53">
        <f t="shared" si="1"/>
        <v>0</v>
      </c>
      <c r="F25" s="2795"/>
      <c r="G25" s="2796"/>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5"/>
      <c r="G26" s="2796"/>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0</v>
      </c>
      <c r="E27" s="1140">
        <f>IF(SUM(E19:E26)='数据-基础表'!BA5,SUM(E19:E26),IF(F27="地上面积有误","面积有误","地下面积有误"))</f>
        <v>314.25</v>
      </c>
      <c r="F27" s="1139">
        <f>IF(SUM(F19:F26)=E8,SUM(F19:F26),"地上面积有误")</f>
        <v>217.64</v>
      </c>
      <c r="G27" s="1141">
        <f>SUM(G19:G26)</f>
        <v>96.61</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314.25</v>
      </c>
    </row>
    <row r="28" spans="1:19">
      <c r="A28" s="1669"/>
      <c r="B28" s="47" t="s">
        <v>1155</v>
      </c>
      <c r="C28" s="1037"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9"/>
      <c r="B29" s="47" t="s">
        <v>1155</v>
      </c>
      <c r="C29" s="1673"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9"/>
      <c r="B30" s="47"/>
      <c r="C30" s="1674" t="s">
        <v>1154</v>
      </c>
      <c r="D30" s="1139">
        <f>SUM(D28:D29)</f>
        <v>0</v>
      </c>
      <c r="E30" s="1139">
        <f>SUM(E28:E29)</f>
        <v>0</v>
      </c>
      <c r="F30" s="1139">
        <f>SUM(F28:F29)</f>
        <v>0</v>
      </c>
      <c r="G30" s="1141">
        <f>SUM(G28:G29)</f>
        <v>0</v>
      </c>
      <c r="H30" s="2657"/>
      <c r="I30" s="2657"/>
      <c r="J30" s="2657"/>
      <c r="K30" s="2657"/>
      <c r="L30" s="2657"/>
      <c r="M30" s="2657"/>
      <c r="N30" s="2657"/>
      <c r="O30" s="2657"/>
      <c r="P30" s="2657"/>
    </row>
    <row r="31" spans="1:19" ht="15.75" thickBot="1">
      <c r="A31" s="1675"/>
      <c r="B31" s="1676"/>
      <c r="C31" s="834" t="s">
        <v>1158</v>
      </c>
      <c r="D31" s="675">
        <f>D27+D30</f>
        <v>0</v>
      </c>
      <c r="E31" s="675">
        <f>E27+E30</f>
        <v>314.25</v>
      </c>
      <c r="F31" s="676">
        <f>F27+F30</f>
        <v>217.64</v>
      </c>
      <c r="G31" s="677">
        <f>G27+G30</f>
        <v>96.61</v>
      </c>
      <c r="H31" s="2657"/>
      <c r="I31" s="2657"/>
      <c r="J31" s="2657"/>
      <c r="K31" s="2657"/>
      <c r="L31" s="2657"/>
      <c r="M31" s="2657"/>
      <c r="N31" s="2657"/>
      <c r="O31" s="2657"/>
      <c r="P31" s="2657"/>
    </row>
    <row r="32" spans="1:19">
      <c r="A32" s="1642"/>
      <c r="B32" s="1642" t="s">
        <v>1159</v>
      </c>
      <c r="C32" s="1642"/>
      <c r="D32" s="1642"/>
      <c r="E32" s="1052">
        <f>SUMIF(C19:C26,"*住宅*",E19:E26)</f>
        <v>0</v>
      </c>
      <c r="F32" s="1642"/>
      <c r="G32" s="1642"/>
      <c r="H32" s="2657"/>
      <c r="I32" s="2657"/>
      <c r="J32" s="2657"/>
      <c r="K32" s="2657"/>
      <c r="L32" s="2657"/>
      <c r="M32" s="2657"/>
      <c r="N32" s="2657"/>
      <c r="O32" s="2657"/>
      <c r="P32" s="2657"/>
    </row>
    <row r="33" spans="4:7">
      <c r="D33" s="1677"/>
    </row>
    <row r="35" spans="4:7">
      <c r="F35" s="1637">
        <v>1.5</v>
      </c>
      <c r="G35" s="1637">
        <v>0.5</v>
      </c>
    </row>
    <row r="36" spans="4:7">
      <c r="F36" s="1637">
        <f>F35*F31</f>
        <v>326.45999999999998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36" sqref="K3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29" width="6.75" style="1681" customWidth="1"/>
    <col min="30" max="30" width="8.2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9"/>
      <c r="AO1" s="2669"/>
      <c r="AP1" s="2669"/>
      <c r="AQ1" s="2669"/>
      <c r="AR1" s="2669"/>
    </row>
    <row r="2" spans="1:67" s="1558" customFormat="1" ht="15.75" thickBot="1">
      <c r="A2" s="1682" t="s">
        <v>1161</v>
      </c>
      <c r="B2" s="1044">
        <f>项目基本情况!D3</f>
        <v>45435</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1"/>
      <c r="AO2" s="2671"/>
      <c r="AP2" s="2671"/>
      <c r="AQ2" s="2671"/>
      <c r="AR2" s="2671"/>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1"/>
      <c r="AO3" s="2671"/>
      <c r="AP3" s="2671"/>
      <c r="AQ3" s="2671"/>
      <c r="AR3" s="2671"/>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6"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1"/>
      <c r="AO4" s="2671"/>
      <c r="AP4" s="2671"/>
      <c r="AQ4" s="2671"/>
      <c r="AR4" s="2671"/>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3395</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51276</v>
      </c>
      <c r="F6" s="64">
        <f>SUMIF(项目基本情况!C$12:I$12,C6,项目基本情况!C$15:I$15)</f>
        <v>16</v>
      </c>
      <c r="G6" s="65">
        <f>IF(ISERROR(ROUND(POWER(1+H6,D6-F6)*(POWER(1+H6,F6)-1)/(POWER(1+H6,D6)-1),3)),0,ROUND(POWER(1+H6,D6-F6)*(POWER(1+H6,F6)-1)/(POWER(1+H6,D6)-1),3))</f>
        <v>0.65200000000000002</v>
      </c>
      <c r="H6" s="3817">
        <v>5.5E-2</v>
      </c>
      <c r="I6" s="3818">
        <v>0.06</v>
      </c>
      <c r="J6" s="66">
        <v>7.0000000000000007E-2</v>
      </c>
      <c r="K6" s="1029">
        <f>SUMIF('数据-汇总表'!C$19:C$33,A6,'数据-汇总表'!E$19:E$33)</f>
        <v>314.25</v>
      </c>
      <c r="L6" s="732">
        <v>3500</v>
      </c>
      <c r="M6" s="67">
        <f t="shared" ref="M6:M14" si="0">ROUND(K6*L6/10000,0)</f>
        <v>110</v>
      </c>
      <c r="N6" s="730">
        <f>N20</f>
        <v>0.74</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1">
        <f>ROUND($L$14*S6/10000,0)</f>
        <v>0</v>
      </c>
      <c r="U6" s="3814">
        <v>6</v>
      </c>
      <c r="V6" s="70">
        <v>2.5000000000000001E-2</v>
      </c>
      <c r="W6" s="70">
        <v>0.1</v>
      </c>
      <c r="X6" s="1039"/>
      <c r="Y6" s="71">
        <f>N6</f>
        <v>0.74</v>
      </c>
      <c r="Z6" s="3463"/>
      <c r="AA6" s="3464"/>
      <c r="AB6" s="3464"/>
      <c r="AC6" s="1039"/>
      <c r="AD6" s="73"/>
      <c r="AE6" s="1040">
        <f ca="1">IF(AN6="",0,SUMIF(INDIRECT("'"&amp;AN6&amp;"'"&amp;"!E:E"),$AE$5,INDIRECT("'"&amp;AN6&amp;"'"&amp;"!F:F")))</f>
        <v>16</v>
      </c>
      <c r="AF6" s="1347"/>
      <c r="AG6" s="138">
        <f>IF(AF6="",0,AE6-AF6)</f>
        <v>0</v>
      </c>
      <c r="AH6" s="74"/>
      <c r="AI6" s="76">
        <v>365</v>
      </c>
      <c r="AJ6" s="77"/>
      <c r="AK6" s="3815">
        <v>0.01</v>
      </c>
      <c r="AL6" s="79">
        <v>1.5E-3</v>
      </c>
      <c r="AM6" s="3816">
        <v>0.01</v>
      </c>
      <c r="AN6" s="1714" t="s">
        <v>3445</v>
      </c>
      <c r="AO6" s="52">
        <f ca="1">SUMIF(INDIRECT("'"&amp;AN6&amp;"'"&amp;"!A:A"),"总价",INDIRECT("'"&amp;AN6&amp;"'"&amp;"!B:B"))</f>
        <v>679</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5"/>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6"/>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5"/>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5"/>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5"/>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5"/>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7"/>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3454"/>
      <c r="M14" s="67">
        <f t="shared" si="0"/>
        <v>0</v>
      </c>
      <c r="N14" s="3455"/>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69"/>
      <c r="AO14" s="2671"/>
      <c r="AP14" s="2671"/>
      <c r="AQ14" s="2671"/>
      <c r="AR14" s="2671"/>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69"/>
      <c r="AO15" s="2671"/>
      <c r="AP15" s="2671"/>
      <c r="AQ15" s="2671"/>
      <c r="AR15" s="2671"/>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0.65200000000000002</v>
      </c>
      <c r="H16" s="90">
        <f>ROUND(SUMPRODUCT(H6:H13,K6:K13)/SUMPRODUCT((H6:H13&gt;0)*(K6:K13)),3)</f>
        <v>5.5E-2</v>
      </c>
      <c r="I16" s="91"/>
      <c r="J16" s="91"/>
      <c r="K16" s="92">
        <f>SUM(K6:K15)</f>
        <v>314.25</v>
      </c>
      <c r="L16" s="93">
        <f>ROUND(M16*10000/SUM(K6:K14),0)</f>
        <v>3500</v>
      </c>
      <c r="M16" s="93">
        <f>SUM(M6:M14)</f>
        <v>110</v>
      </c>
      <c r="N16" s="94">
        <f>ROUND(SUMPRODUCT(M6:M14,N6:N14)/M16,3)</f>
        <v>0.74</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0"/>
      <c r="C17" s="2669"/>
      <c r="D17" s="2673"/>
      <c r="E17" s="2673"/>
      <c r="F17" s="2669"/>
      <c r="G17" s="2669"/>
      <c r="H17" s="2669"/>
      <c r="I17" s="2669"/>
      <c r="J17" s="2669"/>
      <c r="K17" s="2670"/>
      <c r="L17" s="2670"/>
      <c r="M17" s="2669"/>
      <c r="N17" s="2669">
        <f>项目基本情况!G21</f>
        <v>2002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ROUND(1-(1-0%)*(2024-'数据-取费表'!N17)/60,2)</f>
        <v>0.63</v>
      </c>
      <c r="O18" s="2669">
        <v>0.5</v>
      </c>
      <c r="P18" s="2669"/>
      <c r="Q18" s="2669"/>
      <c r="R18" s="2669"/>
      <c r="S18" s="2669"/>
      <c r="T18" s="2669"/>
      <c r="U18" s="2669"/>
      <c r="V18" s="2669"/>
      <c r="W18" s="2669"/>
      <c r="X18" s="2669"/>
      <c r="Y18" s="2669"/>
      <c r="Z18" s="3465">
        <v>1.1000000000000001</v>
      </c>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1" t="s">
        <v>1211</v>
      </c>
      <c r="B19" s="103"/>
      <c r="C19" s="2797" t="s">
        <v>2305</v>
      </c>
      <c r="D19" s="2674"/>
      <c r="E19" s="2671"/>
      <c r="F19" s="2671"/>
      <c r="G19" s="2671"/>
      <c r="H19" s="2671"/>
      <c r="I19" s="2671"/>
      <c r="J19" s="2671"/>
      <c r="K19" s="3460" t="s">
        <v>3457</v>
      </c>
      <c r="L19" s="2670">
        <f>L20+L21</f>
        <v>314.25</v>
      </c>
      <c r="M19" s="2670">
        <f>ROUND((L20*M20+L21*M21+L22*M22)/L19,0)</f>
        <v>3346</v>
      </c>
      <c r="N19" s="2669">
        <f>0.85</f>
        <v>0.85</v>
      </c>
      <c r="O19" s="2669">
        <f>1-O18</f>
        <v>0.5</v>
      </c>
      <c r="P19" s="2669"/>
      <c r="Q19" s="2669"/>
      <c r="R19" s="2669"/>
      <c r="S19" s="2669"/>
      <c r="T19" s="2669"/>
      <c r="U19" s="2669"/>
      <c r="V19" s="2669"/>
      <c r="W19" s="2669"/>
      <c r="X19" s="2669"/>
      <c r="Y19" s="2669"/>
      <c r="Z19" s="2669"/>
      <c r="AA19" s="2669"/>
      <c r="AB19" s="2669"/>
      <c r="AC19" s="2669"/>
      <c r="AD19" s="2669">
        <f>ROUND(1-(1-0%)*(2033-N17)/60,2)</f>
        <v>0.48</v>
      </c>
      <c r="AE19" s="2669"/>
      <c r="AF19" s="2669"/>
      <c r="AG19" s="2669"/>
      <c r="AH19" s="2669"/>
      <c r="AI19" s="2669"/>
      <c r="AJ19" s="2669"/>
      <c r="AK19" s="2669"/>
      <c r="AL19" s="2669"/>
      <c r="AM19" s="2669"/>
      <c r="AN19" s="2669"/>
      <c r="AO19" s="2669"/>
      <c r="AP19" s="2669"/>
      <c r="AQ19" s="2669"/>
      <c r="AR19" s="2669"/>
    </row>
    <row r="20" spans="1:67" ht="14.25">
      <c r="A20" s="1722" t="s">
        <v>1212</v>
      </c>
      <c r="B20" s="104">
        <v>2</v>
      </c>
      <c r="C20" s="2798" t="s">
        <v>2303</v>
      </c>
      <c r="D20" s="2674"/>
      <c r="E20" s="2671"/>
      <c r="F20" s="2671"/>
      <c r="G20" s="2671"/>
      <c r="H20" s="2671"/>
      <c r="I20" s="2671"/>
      <c r="J20" s="2671"/>
      <c r="K20" s="3461" t="s">
        <v>3394</v>
      </c>
      <c r="L20" s="2670">
        <f>'数据-汇总表'!F19</f>
        <v>217.64</v>
      </c>
      <c r="M20" s="2670">
        <v>3500</v>
      </c>
      <c r="N20" s="2669">
        <f>ROUND(N18*O18+N19*O19,2)</f>
        <v>0.74</v>
      </c>
      <c r="O20" s="2669"/>
      <c r="P20" s="2669"/>
      <c r="Q20" s="2669"/>
      <c r="R20" s="2669"/>
      <c r="S20" s="2669"/>
      <c r="T20" s="2669"/>
      <c r="U20" s="2669"/>
      <c r="V20" s="2669"/>
      <c r="W20" s="2669"/>
      <c r="X20" s="2669"/>
      <c r="Y20" s="2669"/>
      <c r="Z20" s="2669"/>
      <c r="AA20" s="2669"/>
      <c r="AB20" s="2669"/>
      <c r="AC20" s="2669"/>
      <c r="AD20" s="2669">
        <v>0.78</v>
      </c>
      <c r="AE20" s="2669"/>
      <c r="AF20" s="2669"/>
      <c r="AG20" s="2669"/>
      <c r="AH20" s="2669"/>
      <c r="AI20" s="2669"/>
      <c r="AJ20" s="2669"/>
      <c r="AK20" s="2669"/>
      <c r="AL20" s="2669"/>
      <c r="AM20" s="2669"/>
      <c r="AN20" s="2669"/>
      <c r="AO20" s="2669"/>
      <c r="AP20" s="2669"/>
      <c r="AQ20" s="2669"/>
      <c r="AR20" s="2669"/>
    </row>
    <row r="21" spans="1:67" ht="14.25">
      <c r="A21" s="1723" t="s">
        <v>1213</v>
      </c>
      <c r="B21" s="104">
        <v>2</v>
      </c>
      <c r="C21" s="2671"/>
      <c r="D21" s="2674"/>
      <c r="E21" s="2671"/>
      <c r="F21" s="2671"/>
      <c r="G21" s="2671"/>
      <c r="H21" s="2671"/>
      <c r="I21" s="2671"/>
      <c r="J21" s="2671"/>
      <c r="K21" s="3461" t="s">
        <v>3443</v>
      </c>
      <c r="L21" s="2670">
        <f>'数据-汇总表'!G31</f>
        <v>96.61</v>
      </c>
      <c r="M21" s="2670">
        <v>3000</v>
      </c>
      <c r="N21" s="2669"/>
      <c r="O21" s="2669"/>
      <c r="P21" s="2669"/>
      <c r="Q21" s="2669"/>
      <c r="R21" s="2669"/>
      <c r="S21" s="2669"/>
      <c r="T21" s="2669"/>
      <c r="U21" s="2669"/>
      <c r="V21" s="2669"/>
      <c r="W21" s="2669"/>
      <c r="X21" s="2669"/>
      <c r="Y21" s="2669"/>
      <c r="Z21" s="2669"/>
      <c r="AA21" s="2669"/>
      <c r="AB21" s="2669"/>
      <c r="AC21" s="2669"/>
      <c r="AD21" s="2669">
        <f>(AD19+AD20)/2</f>
        <v>0.63</v>
      </c>
      <c r="AE21" s="2669"/>
      <c r="AF21" s="2669"/>
      <c r="AG21" s="2669"/>
      <c r="AH21" s="2669"/>
      <c r="AI21" s="2669"/>
      <c r="AJ21" s="2669"/>
      <c r="AK21" s="2669"/>
      <c r="AL21" s="2669"/>
      <c r="AM21" s="2669"/>
      <c r="AN21" s="2669"/>
      <c r="AO21" s="2669"/>
      <c r="AP21" s="2669"/>
      <c r="AQ21" s="2669"/>
      <c r="AR21" s="2669"/>
    </row>
    <row r="22" spans="1:67" ht="14.25">
      <c r="A22" s="1722" t="s">
        <v>1214</v>
      </c>
      <c r="B22" s="105">
        <f>B19+B20</f>
        <v>2</v>
      </c>
      <c r="C22" s="2671"/>
      <c r="D22" s="2674"/>
      <c r="E22" s="2671"/>
      <c r="F22" s="2671"/>
      <c r="G22" s="2671"/>
      <c r="H22" s="2671"/>
      <c r="I22" s="2671"/>
      <c r="J22" s="2671"/>
      <c r="K22" s="3461" t="s">
        <v>3458</v>
      </c>
      <c r="L22" s="24">
        <f>'[2]数据-基础表'!AV16+'[2]数据-基础表'!AV17</f>
        <v>0</v>
      </c>
      <c r="M22" s="24">
        <f>M21</f>
        <v>3000</v>
      </c>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3" t="s">
        <v>1215</v>
      </c>
      <c r="B23" s="105">
        <f>B19+B21</f>
        <v>2</v>
      </c>
      <c r="C23" s="2671"/>
      <c r="D23" s="2674"/>
      <c r="E23" s="2671"/>
      <c r="F23" s="2671"/>
      <c r="G23" s="2671"/>
      <c r="H23" s="2671"/>
      <c r="I23" s="2671"/>
      <c r="J23" s="2671"/>
      <c r="K23" s="3460" t="s">
        <v>3459</v>
      </c>
      <c r="L23" s="2670"/>
      <c r="M23" s="2670">
        <v>600</v>
      </c>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4" t="s">
        <v>1216</v>
      </c>
      <c r="B24" s="106">
        <f>B20-B21</f>
        <v>0</v>
      </c>
      <c r="C24" s="2671"/>
      <c r="D24" s="2674"/>
      <c r="E24" s="2671"/>
      <c r="F24" s="2671"/>
      <c r="G24" s="2671"/>
      <c r="H24" s="2671"/>
      <c r="I24" s="2671"/>
      <c r="J24" s="2671"/>
      <c r="K24" s="3460" t="s">
        <v>3460</v>
      </c>
      <c r="L24" s="2670"/>
      <c r="M24" s="2670">
        <v>1200</v>
      </c>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6"/>
      <c r="B25" s="1686"/>
      <c r="C25" s="2671"/>
      <c r="D25" s="2674"/>
      <c r="E25" s="2671"/>
      <c r="F25" s="2671"/>
      <c r="G25" s="2671"/>
      <c r="H25" s="2671"/>
      <c r="I25" s="2671"/>
      <c r="J25" s="2671"/>
      <c r="K25" s="3460" t="s">
        <v>3461</v>
      </c>
      <c r="L25" s="3462">
        <v>0.05</v>
      </c>
      <c r="M25" s="2670">
        <f>(M19+M23+M24)*L25</f>
        <v>257.3</v>
      </c>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2" t="s">
        <v>1217</v>
      </c>
      <c r="B26" s="1725" t="s">
        <v>1218</v>
      </c>
      <c r="C26" s="2675" t="s">
        <v>1219</v>
      </c>
      <c r="D26" s="2674"/>
      <c r="E26" s="2671"/>
      <c r="F26" s="2671"/>
      <c r="G26" s="2671"/>
      <c r="H26" s="2671"/>
      <c r="I26" s="2671"/>
      <c r="J26" s="2671"/>
      <c r="K26" s="2671"/>
      <c r="L26" s="2670"/>
      <c r="M26" s="2670">
        <f>M19+M23+M24+M25</f>
        <v>5403.3</v>
      </c>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7" customFormat="1" ht="27.75">
      <c r="A27" s="1726" t="s">
        <v>1220</v>
      </c>
      <c r="B27" s="107"/>
      <c r="C27" s="2799" t="s">
        <v>2307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ROUND(B28*K16,0)</f>
        <v>62850</v>
      </c>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1" t="s">
        <v>2295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1" t="s">
        <v>2296</v>
      </c>
      <c r="D34" s="2682" t="s">
        <v>2304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1" t="s">
        <v>2297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0.02</v>
      </c>
      <c r="C36" s="2801" t="s">
        <v>2298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0" t="s">
        <v>1230</v>
      </c>
      <c r="B37" s="115">
        <v>0.02</v>
      </c>
      <c r="C37" s="2801" t="s">
        <v>2299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8" t="s">
        <v>1231</v>
      </c>
      <c r="B38" s="113">
        <v>0.02</v>
      </c>
      <c r="C38" s="2801" t="s">
        <v>2299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1"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2314</v>
      </c>
      <c r="B40" s="1077">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6"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2"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2"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3" t="s">
        <v>1236</v>
      </c>
      <c r="B44" s="119">
        <v>7.0000000000000007E-2</v>
      </c>
      <c r="C44" s="2801" t="s">
        <v>2308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3" t="s">
        <v>1237</v>
      </c>
      <c r="B45" s="117">
        <v>0.03</v>
      </c>
      <c r="C45" s="2800" t="s">
        <v>2300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3" t="s">
        <v>1238</v>
      </c>
      <c r="B46" s="117">
        <v>0.02</v>
      </c>
      <c r="C46" s="2800" t="s">
        <v>2301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4" t="s">
        <v>1239</v>
      </c>
      <c r="B47" s="120"/>
      <c r="C47" s="2803" t="s">
        <v>2309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5" t="s">
        <v>1240</v>
      </c>
      <c r="B48" s="121">
        <v>0.03</v>
      </c>
      <c r="C48" s="2800" t="s">
        <v>2300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1" t="s">
        <v>1241</v>
      </c>
      <c r="B49" s="117">
        <v>5.0000000000000001E-4</v>
      </c>
      <c r="C49" s="2800" t="s">
        <v>2302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6"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9"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6" t="s">
        <v>1244</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8" t="s">
        <v>1245</v>
      </c>
      <c r="B53" s="1737" t="s">
        <v>29</v>
      </c>
      <c r="C53" s="2659" t="s">
        <v>1246</v>
      </c>
      <c r="D53" s="2802" t="s">
        <v>2306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8"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8"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8"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8"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8"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8" t="s">
        <v>1252</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8"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8"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8"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9"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2"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2"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2"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2"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2"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8"/>
    <col min="30" max="16384" width="9" style="1685"/>
  </cols>
  <sheetData>
    <row r="1" spans="1:29" s="2455" customFormat="1" ht="18.75" thickBot="1">
      <c r="A1" s="3556" t="s">
        <v>2286</v>
      </c>
      <c r="B1" s="3557"/>
      <c r="C1" s="3557"/>
      <c r="D1" s="3557"/>
      <c r="E1" s="3557"/>
      <c r="F1" s="3557"/>
      <c r="G1" s="3557"/>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2281</v>
      </c>
      <c r="D2" s="2459"/>
      <c r="E2" s="2456"/>
      <c r="F2" s="2460"/>
      <c r="G2" s="2458" t="s">
        <v>2282</v>
      </c>
      <c r="H2" s="798"/>
      <c r="I2" s="798"/>
      <c r="J2" s="798"/>
      <c r="K2" s="798"/>
      <c r="L2" s="798"/>
      <c r="M2" s="798"/>
      <c r="N2" s="798"/>
      <c r="O2" s="798"/>
      <c r="P2" s="798"/>
      <c r="Q2" s="798"/>
      <c r="R2" s="798"/>
    </row>
    <row r="3" spans="1:29" ht="48">
      <c r="A3" s="2439" t="s">
        <v>2283</v>
      </c>
      <c r="B3" s="2461" t="s">
        <v>2252</v>
      </c>
      <c r="C3" s="2462" t="s">
        <v>2284</v>
      </c>
      <c r="D3" s="2463"/>
      <c r="E3" s="2440" t="s">
        <v>2283</v>
      </c>
      <c r="F3" s="2464" t="s">
        <v>2253</v>
      </c>
      <c r="G3" s="2465" t="s">
        <v>2285</v>
      </c>
      <c r="H3" s="798"/>
      <c r="I3" s="798"/>
      <c r="J3" s="798"/>
      <c r="K3" s="798"/>
      <c r="L3" s="798"/>
      <c r="M3" s="798"/>
      <c r="N3" s="798"/>
      <c r="O3" s="798"/>
      <c r="P3" s="798"/>
      <c r="Q3" s="798"/>
      <c r="R3" s="798"/>
    </row>
    <row r="4" spans="1:29" ht="36.75">
      <c r="A4" s="2440"/>
      <c r="B4" s="323" t="s">
        <v>2254</v>
      </c>
      <c r="C4" s="2466" t="s">
        <v>2255</v>
      </c>
      <c r="D4" s="2463"/>
      <c r="E4" s="2467"/>
      <c r="F4" s="1372" t="s">
        <v>2256</v>
      </c>
      <c r="G4" s="2468" t="s">
        <v>2257</v>
      </c>
      <c r="H4" s="798"/>
      <c r="I4" s="798"/>
      <c r="J4" s="798"/>
      <c r="K4" s="798"/>
      <c r="L4" s="798"/>
      <c r="M4" s="798"/>
      <c r="N4" s="798"/>
      <c r="O4" s="798"/>
      <c r="P4" s="798"/>
      <c r="Q4" s="798"/>
      <c r="R4" s="798"/>
    </row>
    <row r="5" spans="1:29" ht="36.75">
      <c r="A5" s="2440"/>
      <c r="B5" s="323" t="s">
        <v>2258</v>
      </c>
      <c r="C5" s="2466" t="s">
        <v>2259</v>
      </c>
      <c r="D5" s="2463"/>
      <c r="E5" s="2467"/>
      <c r="F5" s="323" t="s">
        <v>2260</v>
      </c>
      <c r="G5" s="2468" t="s">
        <v>2261</v>
      </c>
      <c r="H5" s="798"/>
      <c r="I5" s="798"/>
      <c r="J5" s="798"/>
      <c r="K5" s="798"/>
      <c r="L5" s="798"/>
      <c r="M5" s="798"/>
      <c r="N5" s="798"/>
      <c r="O5" s="798"/>
      <c r="P5" s="798"/>
      <c r="Q5" s="798"/>
      <c r="R5" s="798"/>
    </row>
    <row r="6" spans="1:29" ht="36">
      <c r="A6" s="2440"/>
      <c r="B6" s="323" t="s">
        <v>2262</v>
      </c>
      <c r="C6" s="2468" t="s">
        <v>2257</v>
      </c>
      <c r="D6" s="2463"/>
      <c r="E6" s="2467"/>
      <c r="F6" s="323" t="s">
        <v>2263</v>
      </c>
      <c r="G6" s="2468" t="s">
        <v>2264</v>
      </c>
      <c r="H6" s="798"/>
      <c r="I6" s="798"/>
      <c r="J6" s="798"/>
      <c r="K6" s="798"/>
      <c r="L6" s="798"/>
      <c r="M6" s="798"/>
      <c r="N6" s="798"/>
      <c r="O6" s="798"/>
      <c r="P6" s="798"/>
      <c r="Q6" s="798"/>
      <c r="R6" s="798"/>
    </row>
    <row r="7" spans="1:29" ht="24.75" thickBot="1">
      <c r="A7" s="2440"/>
      <c r="B7" s="323" t="s">
        <v>2260</v>
      </c>
      <c r="C7" s="2468" t="s">
        <v>2261</v>
      </c>
      <c r="D7" s="2469"/>
      <c r="E7" s="2470"/>
      <c r="F7" s="2471" t="s">
        <v>2265</v>
      </c>
      <c r="G7" s="2472" t="s">
        <v>2266</v>
      </c>
      <c r="H7" s="798"/>
      <c r="I7" s="798"/>
      <c r="J7" s="798"/>
      <c r="K7" s="798"/>
      <c r="L7" s="798"/>
      <c r="M7" s="798"/>
      <c r="N7" s="798"/>
      <c r="O7" s="798"/>
      <c r="P7" s="798"/>
      <c r="Q7" s="798"/>
      <c r="R7" s="798"/>
    </row>
    <row r="8" spans="1:29">
      <c r="A8" s="2440"/>
      <c r="B8" s="323" t="s">
        <v>2263</v>
      </c>
      <c r="C8" s="2468" t="s">
        <v>2264</v>
      </c>
      <c r="D8" s="2469"/>
      <c r="E8" s="2469"/>
      <c r="F8" s="2473"/>
      <c r="G8" s="2473"/>
      <c r="H8" s="798"/>
      <c r="I8" s="798"/>
      <c r="J8" s="798"/>
      <c r="K8" s="798"/>
      <c r="L8" s="798"/>
      <c r="M8" s="798"/>
      <c r="N8" s="798"/>
      <c r="O8" s="798"/>
      <c r="P8" s="798"/>
      <c r="Q8" s="798"/>
      <c r="R8" s="798"/>
    </row>
    <row r="9" spans="1:29" ht="24">
      <c r="A9" s="2440"/>
      <c r="B9" s="323" t="s">
        <v>2267</v>
      </c>
      <c r="C9" s="2466" t="s">
        <v>2268</v>
      </c>
      <c r="D9" s="2463"/>
      <c r="E9" s="2469"/>
      <c r="F9" s="2473"/>
      <c r="G9" s="2473"/>
      <c r="H9" s="798"/>
      <c r="I9" s="798"/>
      <c r="J9" s="798"/>
      <c r="K9" s="798"/>
      <c r="L9" s="798"/>
      <c r="M9" s="798"/>
      <c r="N9" s="798"/>
      <c r="O9" s="798"/>
      <c r="P9" s="798"/>
      <c r="Q9" s="798"/>
      <c r="R9" s="798"/>
    </row>
    <row r="10" spans="1:29" s="2479" customFormat="1" ht="15" thickBot="1">
      <c r="A10" s="2441"/>
      <c r="B10" s="2474" t="s">
        <v>2269</v>
      </c>
      <c r="C10" s="2475"/>
      <c r="D10" s="2463"/>
      <c r="E10" s="2463"/>
      <c r="F10" s="2473"/>
      <c r="G10" s="2473"/>
      <c r="H10" s="2476"/>
      <c r="I10" s="2477"/>
      <c r="J10" s="2478"/>
      <c r="K10" s="2476"/>
      <c r="L10" s="2477"/>
      <c r="M10" s="2478"/>
      <c r="N10" s="2476"/>
      <c r="O10" s="2477"/>
      <c r="P10" s="2478"/>
      <c r="Q10" s="2476"/>
      <c r="R10" s="2477"/>
      <c r="S10" s="798"/>
      <c r="T10" s="798"/>
      <c r="U10" s="798"/>
      <c r="V10" s="798"/>
      <c r="W10" s="798"/>
      <c r="X10" s="798"/>
      <c r="Y10" s="798"/>
      <c r="Z10" s="798"/>
      <c r="AA10" s="798"/>
      <c r="AB10" s="798"/>
      <c r="AC10" s="798"/>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8"/>
      <c r="T11" s="798"/>
      <c r="U11" s="798"/>
      <c r="V11" s="798"/>
      <c r="W11" s="798"/>
      <c r="X11" s="798"/>
      <c r="Y11" s="798"/>
      <c r="Z11" s="798"/>
      <c r="AA11" s="798"/>
      <c r="AB11" s="798"/>
      <c r="AC11" s="798"/>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2287</v>
      </c>
      <c r="B13" s="2482"/>
      <c r="C13" s="2482"/>
      <c r="D13" s="2480"/>
      <c r="E13" s="2482"/>
      <c r="F13" s="2482"/>
      <c r="G13" s="2482"/>
    </row>
    <row r="14" spans="1:29" ht="15" thickBot="1">
      <c r="A14" s="2492"/>
      <c r="B14" s="2492"/>
      <c r="C14" s="2493" t="s">
        <v>2270</v>
      </c>
      <c r="D14" s="2463"/>
      <c r="E14" s="2494"/>
      <c r="F14" s="2494"/>
      <c r="G14" s="2458" t="s">
        <v>2271</v>
      </c>
    </row>
    <row r="15" spans="1:29" ht="51">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8.25">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8.25">
      <c r="A17" s="2444"/>
      <c r="B17" s="2498" t="s">
        <v>2258</v>
      </c>
      <c r="C17" s="2499" t="str">
        <f>C5</f>
        <v>估价对象位于XX商圈，周边办公楼项目较多，入驻率高，办公集聚程度较好</v>
      </c>
      <c r="D17" s="2469"/>
      <c r="E17" s="2445"/>
      <c r="F17" s="2500" t="s">
        <v>2275</v>
      </c>
      <c r="G17" s="2502"/>
    </row>
    <row r="18" spans="1:18" ht="38.25">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5.5">
      <c r="A19" s="2444"/>
      <c r="B19" s="2500" t="s">
        <v>2276</v>
      </c>
      <c r="C19" s="2502"/>
      <c r="D19" s="2463"/>
      <c r="E19" s="2445"/>
      <c r="F19" s="323" t="s">
        <v>2260</v>
      </c>
      <c r="G19" s="2501" t="str">
        <f>G5</f>
        <v>估价对象所在区域公共配套设施齐备情况</v>
      </c>
    </row>
    <row r="20" spans="1:18" ht="25.5">
      <c r="A20" s="2444"/>
      <c r="B20" s="2500" t="s">
        <v>2277</v>
      </c>
      <c r="C20" s="2499" t="str">
        <f>C9</f>
        <v>区域自然环境：；人文环境；综合评价环境状况一般</v>
      </c>
      <c r="D20" s="2469"/>
      <c r="E20" s="2445"/>
      <c r="F20" s="323" t="s">
        <v>2263</v>
      </c>
      <c r="G20" s="2501" t="str">
        <f>G6</f>
        <v>估价对象所在区域基础设施水平</v>
      </c>
    </row>
    <row r="21" spans="1:18" ht="25.5">
      <c r="A21" s="2444"/>
      <c r="B21" s="323" t="s">
        <v>2260</v>
      </c>
      <c r="C21" s="2501" t="str">
        <f>C7</f>
        <v>估价对象所在区域公共配套设施齐备情况</v>
      </c>
      <c r="D21" s="2463"/>
      <c r="E21" s="2445"/>
      <c r="F21" s="2500" t="s">
        <v>2278</v>
      </c>
      <c r="G21" s="2503"/>
    </row>
    <row r="22" spans="1:18" ht="13.5" customHeight="1">
      <c r="A22" s="2444"/>
      <c r="B22" s="323" t="s">
        <v>2263</v>
      </c>
      <c r="C22" s="2501" t="str">
        <f>C8</f>
        <v>估价对象所在区域基础设施水平</v>
      </c>
      <c r="D22" s="2463"/>
      <c r="E22" s="2445"/>
      <c r="F22" s="2500" t="s">
        <v>2269</v>
      </c>
      <c r="G22" s="2502"/>
    </row>
    <row r="23" spans="1:18" s="798" customFormat="1" ht="15" thickBot="1">
      <c r="A23" s="2444"/>
      <c r="B23" s="2500" t="s">
        <v>2278</v>
      </c>
      <c r="C23" s="2503"/>
      <c r="D23" s="1740"/>
      <c r="E23" s="2446"/>
      <c r="F23" s="2504" t="s">
        <v>2279</v>
      </c>
      <c r="G23" s="2505"/>
      <c r="H23" s="2489"/>
      <c r="I23" s="2490"/>
      <c r="J23" s="2489"/>
      <c r="K23" s="2489"/>
      <c r="L23" s="2490"/>
      <c r="M23" s="2489"/>
      <c r="N23" s="2489"/>
      <c r="O23" s="2490"/>
      <c r="P23" s="2489"/>
      <c r="Q23" s="2489"/>
      <c r="R23" s="2491"/>
    </row>
    <row r="24" spans="1:18" s="798" customFormat="1" ht="15" thickBot="1">
      <c r="A24" s="2447"/>
      <c r="B24" s="2504" t="s">
        <v>2280</v>
      </c>
      <c r="C24" s="2506">
        <f>C10</f>
        <v>0</v>
      </c>
      <c r="D24" s="1740"/>
      <c r="E24" s="2437"/>
      <c r="F24" s="2437"/>
      <c r="G24" s="2507"/>
      <c r="H24" s="2489"/>
      <c r="I24" s="2490"/>
      <c r="J24" s="2489"/>
      <c r="K24" s="2489"/>
      <c r="L24" s="2490"/>
      <c r="M24" s="2489"/>
      <c r="N24" s="2489"/>
      <c r="O24" s="2490"/>
      <c r="P24" s="2489"/>
      <c r="Q24" s="2489"/>
      <c r="R24" s="2491"/>
    </row>
    <row r="25" spans="1:18" s="798" customFormat="1">
      <c r="B25" s="2489"/>
      <c r="C25" s="2489"/>
      <c r="D25" s="2489"/>
      <c r="H25" s="2489"/>
      <c r="I25" s="2490"/>
      <c r="J25" s="2489"/>
      <c r="K25" s="2489"/>
      <c r="L25" s="2490"/>
      <c r="M25" s="2489"/>
      <c r="N25" s="2489"/>
      <c r="O25" s="2490"/>
      <c r="P25" s="2489"/>
      <c r="Q25" s="2489"/>
      <c r="R25" s="2491"/>
    </row>
    <row r="26" spans="1:18" s="798" customFormat="1">
      <c r="B26" s="2489"/>
      <c r="C26" s="2489"/>
      <c r="D26" s="2489"/>
      <c r="H26" s="2489"/>
      <c r="I26" s="2490"/>
      <c r="J26" s="2489"/>
      <c r="K26" s="2489"/>
      <c r="L26" s="2490"/>
      <c r="M26" s="2489"/>
      <c r="N26" s="2489"/>
      <c r="O26" s="2490"/>
      <c r="P26" s="2489"/>
      <c r="Q26" s="2489"/>
      <c r="R26" s="2491"/>
    </row>
    <row r="27" spans="1:18" s="798" customFormat="1">
      <c r="B27" s="2489"/>
      <c r="C27" s="2489"/>
      <c r="D27" s="2489"/>
      <c r="H27" s="2489"/>
      <c r="I27" s="2490"/>
      <c r="J27" s="2489"/>
      <c r="K27" s="2489"/>
      <c r="L27" s="2490"/>
      <c r="M27" s="2489"/>
      <c r="N27" s="2489"/>
      <c r="O27" s="2490"/>
      <c r="P27" s="2489"/>
      <c r="Q27" s="2489"/>
      <c r="R27" s="2491"/>
    </row>
    <row r="28" spans="1:18" s="798" customFormat="1">
      <c r="B28" s="2489"/>
      <c r="C28" s="2489"/>
      <c r="D28" s="2489"/>
      <c r="H28" s="2489"/>
      <c r="I28" s="2490"/>
      <c r="J28" s="2489"/>
      <c r="K28" s="2489"/>
      <c r="L28" s="2490"/>
      <c r="M28" s="2489"/>
      <c r="N28" s="2489"/>
      <c r="O28" s="2490"/>
      <c r="P28" s="2489"/>
      <c r="Q28" s="2489"/>
      <c r="R28" s="2491"/>
    </row>
    <row r="29" spans="1:18" s="798" customFormat="1">
      <c r="B29" s="2489"/>
      <c r="C29" s="2489"/>
      <c r="D29" s="2489"/>
      <c r="H29" s="2489"/>
      <c r="I29" s="2490"/>
      <c r="J29" s="2489"/>
      <c r="K29" s="2489"/>
      <c r="L29" s="2490"/>
      <c r="M29" s="2489"/>
      <c r="N29" s="2489"/>
      <c r="O29" s="2490"/>
      <c r="P29" s="2489"/>
      <c r="Q29" s="2489"/>
      <c r="R29" s="2491"/>
    </row>
    <row r="30" spans="1:18" s="798" customFormat="1">
      <c r="B30" s="2489"/>
      <c r="C30" s="2489"/>
      <c r="D30" s="2489"/>
      <c r="H30" s="2489"/>
      <c r="I30" s="2490"/>
      <c r="J30" s="2489"/>
      <c r="K30" s="2489"/>
      <c r="L30" s="2490"/>
      <c r="M30" s="2489"/>
      <c r="N30" s="2489"/>
      <c r="O30" s="2490"/>
      <c r="P30" s="2489"/>
      <c r="Q30" s="2489"/>
      <c r="R30" s="2491"/>
    </row>
    <row r="31" spans="1:18" s="798" customFormat="1">
      <c r="B31" s="2489"/>
      <c r="C31" s="2489"/>
      <c r="D31" s="2489"/>
      <c r="H31" s="2489"/>
      <c r="I31" s="2490"/>
      <c r="J31" s="2489"/>
      <c r="K31" s="2489"/>
      <c r="L31" s="2490"/>
      <c r="M31" s="2489"/>
      <c r="N31" s="2489"/>
      <c r="O31" s="2490"/>
      <c r="P31" s="2489"/>
      <c r="Q31" s="2489"/>
      <c r="R31" s="2491"/>
    </row>
    <row r="32" spans="1:18" s="798" customFormat="1">
      <c r="B32" s="2489"/>
      <c r="C32" s="2489"/>
      <c r="D32" s="2489"/>
      <c r="H32" s="2489"/>
      <c r="I32" s="2490"/>
      <c r="J32" s="2489"/>
      <c r="K32" s="2489"/>
      <c r="L32" s="2490"/>
      <c r="M32" s="2489"/>
      <c r="N32" s="2489"/>
      <c r="O32" s="2490"/>
      <c r="P32" s="2489"/>
      <c r="Q32" s="2489"/>
      <c r="R32" s="2491"/>
    </row>
    <row r="33" spans="2:18" s="798" customFormat="1">
      <c r="B33" s="2489"/>
      <c r="C33" s="2489"/>
      <c r="D33" s="2489"/>
      <c r="H33" s="2489"/>
      <c r="I33" s="2490"/>
      <c r="J33" s="2489"/>
      <c r="K33" s="2489"/>
      <c r="L33" s="2490"/>
      <c r="M33" s="2489"/>
      <c r="N33" s="2489"/>
      <c r="O33" s="2490"/>
      <c r="P33" s="2489"/>
      <c r="Q33" s="2489"/>
      <c r="R33" s="2491"/>
    </row>
    <row r="34" spans="2:18" s="798" customFormat="1">
      <c r="B34" s="2489"/>
      <c r="C34" s="2489"/>
      <c r="D34" s="2489"/>
      <c r="H34" s="2489"/>
      <c r="I34" s="2490"/>
      <c r="J34" s="2489"/>
      <c r="K34" s="2489"/>
      <c r="L34" s="2490"/>
      <c r="M34" s="2489"/>
      <c r="N34" s="2489"/>
      <c r="O34" s="2490"/>
      <c r="P34" s="2489"/>
      <c r="Q34" s="2489"/>
      <c r="R34" s="2491"/>
    </row>
    <row r="35" spans="2:18" s="798" customFormat="1">
      <c r="B35" s="2489"/>
      <c r="C35" s="2489"/>
      <c r="D35" s="2489"/>
      <c r="H35" s="2489"/>
      <c r="I35" s="2490"/>
      <c r="J35" s="2489"/>
      <c r="K35" s="2489"/>
      <c r="L35" s="2490"/>
      <c r="M35" s="2489"/>
      <c r="N35" s="2489"/>
      <c r="O35" s="2490"/>
      <c r="P35" s="2489"/>
      <c r="Q35" s="2489"/>
      <c r="R35" s="2491"/>
    </row>
    <row r="36" spans="2:18" s="798" customFormat="1">
      <c r="B36" s="2489"/>
      <c r="C36" s="2489"/>
      <c r="D36" s="2489"/>
      <c r="H36" s="2489"/>
      <c r="I36" s="2490"/>
      <c r="J36" s="2489"/>
      <c r="K36" s="2489"/>
      <c r="L36" s="2490"/>
      <c r="M36" s="2489"/>
      <c r="N36" s="2489"/>
      <c r="O36" s="2490"/>
      <c r="P36" s="2489"/>
      <c r="Q36" s="2489"/>
      <c r="R36" s="2491"/>
    </row>
    <row r="37" spans="2:18" s="798" customFormat="1">
      <c r="B37" s="2489"/>
      <c r="C37" s="2489"/>
      <c r="D37" s="2489"/>
      <c r="H37" s="2489"/>
      <c r="I37" s="2490"/>
      <c r="J37" s="2489"/>
      <c r="K37" s="2489"/>
      <c r="L37" s="2490"/>
      <c r="M37" s="2489"/>
      <c r="N37" s="2489"/>
      <c r="O37" s="2490"/>
      <c r="P37" s="2489"/>
      <c r="Q37" s="2489"/>
      <c r="R37" s="2491"/>
    </row>
    <row r="38" spans="2:18" s="798" customFormat="1">
      <c r="B38" s="2489"/>
      <c r="C38" s="2489"/>
      <c r="D38" s="2489"/>
      <c r="E38" s="2489"/>
      <c r="F38" s="2489"/>
      <c r="G38" s="2490"/>
      <c r="H38" s="2489"/>
      <c r="I38" s="2490"/>
      <c r="J38" s="2489"/>
      <c r="K38" s="2489"/>
      <c r="L38" s="2490"/>
      <c r="M38" s="2489"/>
      <c r="N38" s="2489"/>
      <c r="O38" s="2490"/>
      <c r="P38" s="2489"/>
      <c r="Q38" s="2489"/>
      <c r="R38" s="2491"/>
    </row>
    <row r="39" spans="2:18" s="798" customFormat="1">
      <c r="B39" s="2489"/>
      <c r="C39" s="2489"/>
      <c r="D39" s="2489"/>
      <c r="E39" s="2489"/>
      <c r="F39" s="2489"/>
      <c r="G39" s="2490"/>
      <c r="H39" s="2489"/>
      <c r="I39" s="2490"/>
      <c r="J39" s="2489"/>
      <c r="K39" s="2489"/>
      <c r="L39" s="2490"/>
      <c r="M39" s="2489"/>
      <c r="N39" s="2489"/>
      <c r="O39" s="2490"/>
      <c r="P39" s="2489"/>
      <c r="Q39" s="2489"/>
      <c r="R39" s="2491"/>
    </row>
    <row r="40" spans="2:18" s="798" customFormat="1">
      <c r="B40" s="2489"/>
      <c r="C40" s="2489"/>
      <c r="D40" s="2489"/>
      <c r="E40" s="2489"/>
      <c r="F40" s="2489"/>
      <c r="G40" s="2490"/>
      <c r="H40" s="2489"/>
      <c r="I40" s="2490"/>
      <c r="J40" s="2489"/>
      <c r="K40" s="2489"/>
      <c r="L40" s="2490"/>
      <c r="M40" s="2489"/>
      <c r="N40" s="2489"/>
      <c r="O40" s="2490"/>
      <c r="P40" s="2489"/>
      <c r="Q40" s="2489"/>
      <c r="R40" s="2491"/>
    </row>
    <row r="41" spans="2:18" s="798" customFormat="1">
      <c r="B41" s="2489"/>
      <c r="C41" s="2489"/>
      <c r="D41" s="2489"/>
      <c r="E41" s="2489"/>
      <c r="F41" s="2489"/>
      <c r="G41" s="2490"/>
      <c r="H41" s="2489"/>
      <c r="I41" s="2490"/>
      <c r="J41" s="2489"/>
      <c r="K41" s="2489"/>
      <c r="L41" s="2490"/>
      <c r="M41" s="2489"/>
      <c r="N41" s="2489"/>
      <c r="O41" s="2490"/>
      <c r="P41" s="2489"/>
      <c r="Q41" s="2489"/>
      <c r="R41" s="2491"/>
    </row>
    <row r="42" spans="2:18" s="798" customFormat="1">
      <c r="B42" s="2489"/>
      <c r="C42" s="2489"/>
      <c r="D42" s="2489"/>
      <c r="E42" s="2489"/>
      <c r="F42" s="2489"/>
      <c r="G42" s="2490"/>
      <c r="H42" s="2489"/>
      <c r="I42" s="2490"/>
      <c r="J42" s="2489"/>
      <c r="K42" s="2489"/>
      <c r="L42" s="2490"/>
      <c r="M42" s="2489"/>
      <c r="N42" s="2489"/>
      <c r="O42" s="2490"/>
      <c r="P42" s="2489"/>
      <c r="Q42" s="2489"/>
      <c r="R42" s="2491"/>
    </row>
    <row r="43" spans="2:18" s="798" customFormat="1">
      <c r="B43" s="2489"/>
      <c r="C43" s="2489"/>
      <c r="D43" s="2489"/>
      <c r="E43" s="2489"/>
      <c r="F43" s="2489"/>
      <c r="G43" s="2490"/>
      <c r="H43" s="2489"/>
      <c r="I43" s="2490"/>
      <c r="J43" s="2489"/>
      <c r="K43" s="2489"/>
      <c r="L43" s="2490"/>
      <c r="M43" s="2489"/>
      <c r="N43" s="2489"/>
      <c r="O43" s="2490"/>
      <c r="P43" s="2489"/>
      <c r="Q43" s="2489"/>
      <c r="R43" s="2491"/>
    </row>
    <row r="44" spans="2:18" s="798" customFormat="1">
      <c r="B44" s="2489"/>
      <c r="C44" s="2489"/>
      <c r="D44" s="2489"/>
      <c r="E44" s="2489"/>
      <c r="F44" s="2489"/>
      <c r="G44" s="2490"/>
      <c r="H44" s="2489"/>
      <c r="I44" s="2490"/>
      <c r="J44" s="2489"/>
      <c r="K44" s="2489"/>
      <c r="L44" s="2490"/>
      <c r="M44" s="2489"/>
      <c r="N44" s="2489"/>
      <c r="O44" s="2490"/>
      <c r="P44" s="2489"/>
      <c r="Q44" s="2489"/>
      <c r="R44" s="2491"/>
    </row>
    <row r="45" spans="2:18" s="798" customFormat="1">
      <c r="B45" s="2489"/>
      <c r="C45" s="2489"/>
      <c r="D45" s="2489"/>
      <c r="E45" s="2489"/>
      <c r="F45" s="2489"/>
      <c r="G45" s="2490"/>
      <c r="H45" s="2489"/>
      <c r="I45" s="2490"/>
      <c r="J45" s="2489"/>
      <c r="K45" s="2489"/>
      <c r="L45" s="2490"/>
      <c r="M45" s="2489"/>
      <c r="N45" s="2489"/>
      <c r="O45" s="2490"/>
      <c r="P45" s="2489"/>
      <c r="Q45" s="2489"/>
      <c r="R45" s="2491"/>
    </row>
    <row r="46" spans="2:18" s="798" customFormat="1">
      <c r="B46" s="2489"/>
      <c r="C46" s="2489"/>
      <c r="D46" s="2489"/>
      <c r="E46" s="2489"/>
      <c r="F46" s="2489"/>
      <c r="G46" s="2490"/>
      <c r="H46" s="2489"/>
      <c r="I46" s="2490"/>
      <c r="J46" s="2489"/>
      <c r="K46" s="2489"/>
      <c r="L46" s="2490"/>
      <c r="M46" s="2489"/>
      <c r="N46" s="2489"/>
      <c r="O46" s="2490"/>
      <c r="P46" s="2489"/>
      <c r="Q46" s="2489"/>
      <c r="R46" s="2491"/>
    </row>
    <row r="47" spans="2:18" s="798" customFormat="1">
      <c r="B47" s="2489"/>
      <c r="C47" s="2489"/>
      <c r="D47" s="2489"/>
      <c r="E47" s="2489"/>
      <c r="F47" s="2489"/>
      <c r="G47" s="2490"/>
      <c r="H47" s="2489"/>
      <c r="I47" s="2490"/>
      <c r="J47" s="2489"/>
      <c r="K47" s="2489"/>
      <c r="L47" s="2490"/>
      <c r="M47" s="2489"/>
      <c r="N47" s="2489"/>
      <c r="O47" s="2490"/>
      <c r="P47" s="2489"/>
      <c r="Q47" s="2489"/>
      <c r="R47" s="2491"/>
    </row>
    <row r="48" spans="2:18" s="798" customFormat="1">
      <c r="B48" s="2489"/>
      <c r="C48" s="2489"/>
      <c r="D48" s="2489"/>
      <c r="E48" s="2489"/>
      <c r="F48" s="2489"/>
      <c r="G48" s="2490"/>
      <c r="H48" s="2489"/>
      <c r="I48" s="2490"/>
      <c r="J48" s="2489"/>
      <c r="K48" s="2489"/>
      <c r="L48" s="2490"/>
      <c r="M48" s="2489"/>
      <c r="N48" s="2489"/>
      <c r="O48" s="2490"/>
      <c r="P48" s="2489"/>
      <c r="Q48" s="2489"/>
      <c r="R48" s="2491"/>
    </row>
    <row r="49" spans="2:18" s="798" customFormat="1">
      <c r="B49" s="2489"/>
      <c r="C49" s="2489"/>
      <c r="D49" s="2489"/>
      <c r="E49" s="2489"/>
      <c r="F49" s="2489"/>
      <c r="G49" s="2490"/>
      <c r="H49" s="2489"/>
      <c r="I49" s="2490"/>
      <c r="J49" s="2489"/>
      <c r="K49" s="2489"/>
      <c r="L49" s="2490"/>
      <c r="M49" s="2489"/>
      <c r="N49" s="2489"/>
      <c r="O49" s="2490"/>
      <c r="P49" s="2489"/>
      <c r="Q49" s="2489"/>
      <c r="R49" s="2491"/>
    </row>
    <row r="50" spans="2:18" s="798" customFormat="1">
      <c r="B50" s="2489"/>
      <c r="C50" s="2489"/>
      <c r="D50" s="2489"/>
      <c r="E50" s="2489"/>
      <c r="F50" s="2489"/>
      <c r="G50" s="2490"/>
      <c r="H50" s="2489"/>
      <c r="I50" s="2490"/>
      <c r="J50" s="2489"/>
      <c r="K50" s="2489"/>
      <c r="L50" s="2490"/>
      <c r="M50" s="2489"/>
      <c r="N50" s="2489"/>
      <c r="O50" s="2490"/>
      <c r="P50" s="2489"/>
      <c r="Q50" s="2489"/>
      <c r="R50" s="2491"/>
    </row>
    <row r="51" spans="2:18" s="798" customFormat="1">
      <c r="B51" s="2489"/>
      <c r="C51" s="2489"/>
      <c r="D51" s="2489"/>
      <c r="E51" s="2489"/>
      <c r="F51" s="2489"/>
      <c r="G51" s="2490"/>
      <c r="H51" s="2489"/>
      <c r="I51" s="2490"/>
      <c r="J51" s="2489"/>
      <c r="K51" s="2489"/>
      <c r="L51" s="2490"/>
      <c r="M51" s="2489"/>
      <c r="N51" s="2489"/>
      <c r="O51" s="2490"/>
      <c r="P51" s="2489"/>
      <c r="Q51" s="2489"/>
      <c r="R51" s="2491"/>
    </row>
    <row r="52" spans="2:18" s="798" customFormat="1">
      <c r="B52" s="2489"/>
      <c r="C52" s="2489"/>
      <c r="D52" s="2489"/>
      <c r="E52" s="2489"/>
      <c r="F52" s="2489"/>
      <c r="G52" s="2490"/>
      <c r="H52" s="2489"/>
      <c r="I52" s="2490"/>
      <c r="J52" s="2489"/>
      <c r="K52" s="2489"/>
      <c r="L52" s="2490"/>
      <c r="M52" s="2489"/>
      <c r="N52" s="2489"/>
      <c r="O52" s="2490"/>
      <c r="P52" s="2489"/>
      <c r="Q52" s="2489"/>
      <c r="R52" s="2491"/>
    </row>
    <row r="53" spans="2:18" s="798" customFormat="1">
      <c r="B53" s="2489"/>
      <c r="C53" s="2489"/>
      <c r="D53" s="2489"/>
      <c r="E53" s="2489"/>
      <c r="F53" s="2489"/>
      <c r="G53" s="2490"/>
      <c r="H53" s="2489"/>
      <c r="I53" s="2490"/>
      <c r="J53" s="2489"/>
      <c r="K53" s="2489"/>
      <c r="L53" s="2490"/>
      <c r="M53" s="2489"/>
      <c r="N53" s="2489"/>
      <c r="O53" s="2490"/>
      <c r="P53" s="2489"/>
      <c r="Q53" s="2489"/>
      <c r="R53" s="2491"/>
    </row>
    <row r="54" spans="2:18" s="798" customFormat="1">
      <c r="B54" s="2489"/>
      <c r="C54" s="2489"/>
      <c r="D54" s="2489"/>
      <c r="E54" s="2489"/>
      <c r="F54" s="2489"/>
      <c r="G54" s="2490"/>
      <c r="H54" s="2489"/>
      <c r="I54" s="2490"/>
      <c r="J54" s="2489"/>
      <c r="K54" s="2489"/>
      <c r="L54" s="2490"/>
      <c r="M54" s="2489"/>
      <c r="N54" s="2489"/>
      <c r="O54" s="2490"/>
      <c r="P54" s="2489"/>
      <c r="Q54" s="2489"/>
      <c r="R54" s="2491"/>
    </row>
    <row r="55" spans="2:18" s="798" customFormat="1">
      <c r="B55" s="2489"/>
      <c r="C55" s="2489"/>
      <c r="D55" s="2489"/>
      <c r="E55" s="2489"/>
      <c r="F55" s="2489"/>
      <c r="G55" s="2490"/>
      <c r="H55" s="2489"/>
      <c r="I55" s="2490"/>
      <c r="J55" s="2489"/>
      <c r="K55" s="2489"/>
      <c r="L55" s="2490"/>
      <c r="M55" s="2489"/>
      <c r="N55" s="2489"/>
      <c r="O55" s="2490"/>
      <c r="P55" s="2489"/>
      <c r="Q55" s="2489"/>
      <c r="R55" s="2491"/>
    </row>
    <row r="56" spans="2:18" s="798" customFormat="1">
      <c r="B56" s="2489"/>
      <c r="C56" s="2489"/>
      <c r="D56" s="2489"/>
      <c r="E56" s="2489"/>
      <c r="F56" s="2489"/>
      <c r="G56" s="2490"/>
      <c r="H56" s="2489"/>
      <c r="I56" s="2490"/>
      <c r="J56" s="2489"/>
      <c r="K56" s="2489"/>
      <c r="L56" s="2490"/>
      <c r="M56" s="2489"/>
      <c r="N56" s="2489"/>
      <c r="O56" s="2490"/>
      <c r="P56" s="2489"/>
      <c r="Q56" s="2489"/>
      <c r="R56" s="2491"/>
    </row>
    <row r="57" spans="2:18" s="798" customFormat="1">
      <c r="B57" s="2489"/>
      <c r="C57" s="2489"/>
      <c r="D57" s="2489"/>
      <c r="E57" s="2489"/>
      <c r="F57" s="2489"/>
      <c r="G57" s="2490"/>
      <c r="H57" s="2489"/>
      <c r="I57" s="2490"/>
      <c r="J57" s="2489"/>
      <c r="K57" s="2489"/>
      <c r="L57" s="2490"/>
      <c r="M57" s="2489"/>
      <c r="N57" s="2489"/>
      <c r="O57" s="2490"/>
      <c r="P57" s="2489"/>
      <c r="Q57" s="2489"/>
      <c r="R57" s="2491"/>
    </row>
    <row r="58" spans="2:18" s="798" customFormat="1">
      <c r="B58" s="2489"/>
      <c r="C58" s="2489"/>
      <c r="D58" s="2489"/>
      <c r="E58" s="2489"/>
      <c r="F58" s="2489"/>
      <c r="G58" s="2490"/>
      <c r="H58" s="2489"/>
      <c r="I58" s="2490"/>
      <c r="J58" s="2489"/>
      <c r="K58" s="2489"/>
      <c r="L58" s="2490"/>
      <c r="M58" s="2489"/>
      <c r="N58" s="2489"/>
      <c r="O58" s="2490"/>
      <c r="P58" s="2489"/>
      <c r="Q58" s="2489"/>
      <c r="R58" s="2491"/>
    </row>
    <row r="59" spans="2:18" s="798" customFormat="1">
      <c r="B59" s="2489"/>
      <c r="C59" s="2489"/>
      <c r="D59" s="2489"/>
      <c r="E59" s="2489"/>
      <c r="F59" s="2489"/>
      <c r="G59" s="2490"/>
      <c r="H59" s="2489"/>
      <c r="I59" s="2490"/>
      <c r="J59" s="2489"/>
      <c r="K59" s="2489"/>
      <c r="L59" s="2490"/>
      <c r="M59" s="2489"/>
      <c r="N59" s="2489"/>
      <c r="O59" s="2490"/>
      <c r="P59" s="2489"/>
      <c r="Q59" s="2489"/>
      <c r="R59" s="2491"/>
    </row>
    <row r="60" spans="2:18" s="798" customFormat="1">
      <c r="B60" s="2489"/>
      <c r="C60" s="2489"/>
      <c r="D60" s="2489"/>
      <c r="E60" s="2489"/>
      <c r="F60" s="2489"/>
      <c r="G60" s="2490"/>
      <c r="H60" s="2489"/>
      <c r="I60" s="2490"/>
      <c r="J60" s="2489"/>
      <c r="K60" s="2489"/>
      <c r="L60" s="2490"/>
      <c r="M60" s="2489"/>
      <c r="N60" s="2489"/>
      <c r="O60" s="2490"/>
      <c r="P60" s="2489"/>
      <c r="Q60" s="2489"/>
      <c r="R60" s="2491"/>
    </row>
    <row r="61" spans="2:18" s="798" customFormat="1">
      <c r="B61" s="2489"/>
      <c r="C61" s="2489"/>
      <c r="D61" s="2489"/>
      <c r="E61" s="2489"/>
      <c r="F61" s="2489"/>
      <c r="G61" s="2490"/>
      <c r="H61" s="2489"/>
      <c r="I61" s="2490"/>
      <c r="J61" s="2489"/>
      <c r="K61" s="2489"/>
      <c r="L61" s="2490"/>
      <c r="M61" s="2489"/>
      <c r="N61" s="2489"/>
      <c r="O61" s="2490"/>
      <c r="P61" s="2489"/>
      <c r="Q61" s="2489"/>
      <c r="R61" s="2491"/>
    </row>
    <row r="62" spans="2:18" s="798" customFormat="1">
      <c r="B62" s="2489"/>
      <c r="C62" s="2489"/>
      <c r="D62" s="2489"/>
      <c r="E62" s="2489"/>
      <c r="F62" s="2489"/>
      <c r="G62" s="2490"/>
      <c r="H62" s="2489"/>
      <c r="I62" s="2490"/>
      <c r="J62" s="2489"/>
      <c r="K62" s="2489"/>
      <c r="L62" s="2490"/>
      <c r="M62" s="2489"/>
      <c r="N62" s="2489"/>
      <c r="O62" s="2490"/>
      <c r="P62" s="2489"/>
      <c r="Q62" s="2489"/>
      <c r="R62" s="2491"/>
    </row>
    <row r="63" spans="2:18" s="798" customFormat="1">
      <c r="B63" s="2489"/>
      <c r="C63" s="2489"/>
      <c r="D63" s="2489"/>
      <c r="E63" s="2489"/>
      <c r="F63" s="2489"/>
      <c r="G63" s="2490"/>
      <c r="H63" s="2489"/>
      <c r="I63" s="2490"/>
      <c r="J63" s="2489"/>
      <c r="K63" s="2489"/>
      <c r="L63" s="2490"/>
      <c r="M63" s="2489"/>
      <c r="N63" s="2489"/>
      <c r="O63" s="2490"/>
      <c r="P63" s="2489"/>
      <c r="Q63" s="2489"/>
      <c r="R63" s="2491"/>
    </row>
    <row r="64" spans="2:18" s="798" customFormat="1">
      <c r="B64" s="2489"/>
      <c r="C64" s="2489"/>
      <c r="D64" s="2489"/>
      <c r="E64" s="2489"/>
      <c r="F64" s="2489"/>
      <c r="G64" s="2490"/>
      <c r="H64" s="2489"/>
      <c r="I64" s="2490"/>
      <c r="J64" s="2489"/>
      <c r="K64" s="2489"/>
      <c r="L64" s="2490"/>
      <c r="M64" s="2489"/>
      <c r="N64" s="2489"/>
      <c r="O64" s="2490"/>
      <c r="P64" s="2489"/>
      <c r="Q64" s="2489"/>
      <c r="R64" s="2491"/>
    </row>
    <row r="65" spans="2:18" s="798" customFormat="1">
      <c r="B65" s="2489"/>
      <c r="C65" s="2489"/>
      <c r="D65" s="2489"/>
      <c r="E65" s="2489"/>
      <c r="F65" s="2489"/>
      <c r="G65" s="2490"/>
      <c r="H65" s="2489"/>
      <c r="I65" s="2490"/>
      <c r="J65" s="2489"/>
      <c r="K65" s="2489"/>
      <c r="L65" s="2490"/>
      <c r="M65" s="2489"/>
      <c r="N65" s="2489"/>
      <c r="O65" s="2490"/>
      <c r="P65" s="2489"/>
      <c r="Q65" s="2489"/>
      <c r="R65" s="2491"/>
    </row>
    <row r="66" spans="2:18" s="798" customFormat="1">
      <c r="B66" s="2489"/>
      <c r="C66" s="2489"/>
      <c r="D66" s="2489"/>
      <c r="E66" s="2489"/>
      <c r="F66" s="2489"/>
      <c r="G66" s="2490"/>
      <c r="H66" s="2489"/>
      <c r="I66" s="2490"/>
      <c r="J66" s="2489"/>
      <c r="K66" s="2489"/>
      <c r="L66" s="2490"/>
      <c r="M66" s="2489"/>
      <c r="N66" s="2489"/>
      <c r="O66" s="2490"/>
      <c r="P66" s="2489"/>
      <c r="Q66" s="2489"/>
      <c r="R66" s="2491"/>
    </row>
    <row r="67" spans="2:18" s="798" customFormat="1">
      <c r="B67" s="2489"/>
      <c r="C67" s="2489"/>
      <c r="D67" s="2489"/>
      <c r="E67" s="2489"/>
      <c r="F67" s="2489"/>
      <c r="G67" s="2490"/>
      <c r="H67" s="2489"/>
      <c r="I67" s="2490"/>
      <c r="J67" s="2489"/>
      <c r="K67" s="2489"/>
      <c r="L67" s="2490"/>
      <c r="M67" s="2489"/>
      <c r="N67" s="2489"/>
      <c r="O67" s="2490"/>
      <c r="P67" s="2489"/>
      <c r="Q67" s="2489"/>
      <c r="R67" s="2491"/>
    </row>
    <row r="68" spans="2:18" s="798" customFormat="1">
      <c r="B68" s="2489"/>
      <c r="C68" s="2489"/>
      <c r="D68" s="2489"/>
      <c r="E68" s="2489"/>
      <c r="F68" s="2489"/>
      <c r="G68" s="2490"/>
      <c r="H68" s="2489"/>
      <c r="I68" s="2490"/>
      <c r="J68" s="2489"/>
      <c r="K68" s="2489"/>
      <c r="L68" s="2490"/>
      <c r="M68" s="2489"/>
      <c r="N68" s="2489"/>
      <c r="O68" s="2490"/>
      <c r="P68" s="2489"/>
      <c r="Q68" s="2489"/>
      <c r="R68" s="2491"/>
    </row>
    <row r="69" spans="2:18" s="798" customFormat="1">
      <c r="B69" s="2489"/>
      <c r="C69" s="2489"/>
      <c r="D69" s="2489"/>
      <c r="E69" s="2489"/>
      <c r="F69" s="2489"/>
      <c r="G69" s="2490"/>
      <c r="H69" s="2489"/>
      <c r="I69" s="2490"/>
      <c r="J69" s="2489"/>
      <c r="K69" s="2489"/>
      <c r="L69" s="2490"/>
      <c r="M69" s="2489"/>
      <c r="N69" s="2489"/>
      <c r="O69" s="2490"/>
      <c r="P69" s="2489"/>
      <c r="Q69" s="2489"/>
      <c r="R69" s="2491"/>
    </row>
    <row r="70" spans="2:18" s="798" customFormat="1">
      <c r="B70" s="2489"/>
      <c r="C70" s="2489"/>
      <c r="D70" s="2489"/>
      <c r="E70" s="2489"/>
      <c r="F70" s="2489"/>
      <c r="G70" s="2490"/>
      <c r="H70" s="2489"/>
      <c r="I70" s="2490"/>
      <c r="J70" s="2489"/>
      <c r="K70" s="2489"/>
      <c r="L70" s="2490"/>
      <c r="M70" s="2489"/>
      <c r="N70" s="2489"/>
      <c r="O70" s="2490"/>
      <c r="P70" s="2489"/>
      <c r="Q70" s="2489"/>
      <c r="R70" s="2491"/>
    </row>
    <row r="71" spans="2:18" s="798" customFormat="1">
      <c r="B71" s="2489"/>
      <c r="C71" s="2489"/>
      <c r="D71" s="2489"/>
      <c r="E71" s="2489"/>
      <c r="F71" s="2489"/>
      <c r="G71" s="2490"/>
      <c r="H71" s="2489"/>
      <c r="I71" s="2490"/>
      <c r="J71" s="2489"/>
      <c r="K71" s="2489"/>
      <c r="L71" s="2490"/>
      <c r="M71" s="2489"/>
      <c r="N71" s="2489"/>
      <c r="O71" s="2490"/>
      <c r="P71" s="2489"/>
      <c r="Q71" s="2489"/>
      <c r="R71" s="2491"/>
    </row>
    <row r="72" spans="2:18" s="798" customFormat="1">
      <c r="B72" s="2489"/>
      <c r="C72" s="2489"/>
      <c r="D72" s="2489"/>
      <c r="E72" s="2489"/>
      <c r="F72" s="2489"/>
      <c r="G72" s="2490"/>
      <c r="H72" s="2489"/>
      <c r="I72" s="2490"/>
      <c r="J72" s="2489"/>
      <c r="K72" s="2489"/>
      <c r="L72" s="2490"/>
      <c r="M72" s="2489"/>
      <c r="N72" s="2489"/>
      <c r="O72" s="2490"/>
      <c r="P72" s="2489"/>
      <c r="Q72" s="2489"/>
      <c r="R72" s="2491"/>
    </row>
    <row r="73" spans="2:18" s="798" customFormat="1">
      <c r="B73" s="2489"/>
      <c r="C73" s="2489"/>
      <c r="D73" s="2489"/>
      <c r="E73" s="2489"/>
      <c r="F73" s="2489"/>
      <c r="G73" s="2490"/>
      <c r="H73" s="2489"/>
      <c r="I73" s="2490"/>
      <c r="J73" s="2489"/>
      <c r="K73" s="2489"/>
      <c r="L73" s="2490"/>
      <c r="M73" s="2489"/>
      <c r="N73" s="2489"/>
      <c r="O73" s="2490"/>
      <c r="P73" s="2489"/>
      <c r="Q73" s="2489"/>
      <c r="R73" s="2491"/>
    </row>
    <row r="74" spans="2:18" s="798" customFormat="1">
      <c r="B74" s="2489"/>
      <c r="C74" s="2489"/>
      <c r="D74" s="2489"/>
      <c r="E74" s="2489"/>
      <c r="F74" s="2489"/>
      <c r="G74" s="2490"/>
      <c r="H74" s="2489"/>
      <c r="I74" s="2490"/>
      <c r="J74" s="2489"/>
      <c r="K74" s="2489"/>
      <c r="L74" s="2490"/>
      <c r="M74" s="2489"/>
      <c r="N74" s="2489"/>
      <c r="O74" s="2490"/>
      <c r="P74" s="2489"/>
      <c r="Q74" s="2489"/>
      <c r="R74" s="2491"/>
    </row>
    <row r="75" spans="2:18" s="798" customFormat="1">
      <c r="B75" s="2489"/>
      <c r="C75" s="2489"/>
      <c r="D75" s="2489"/>
      <c r="E75" s="2489"/>
      <c r="F75" s="2489"/>
      <c r="G75" s="2490"/>
      <c r="H75" s="2489"/>
      <c r="I75" s="2490"/>
      <c r="J75" s="2489"/>
      <c r="K75" s="2489"/>
      <c r="L75" s="2490"/>
      <c r="M75" s="2489"/>
      <c r="N75" s="2489"/>
      <c r="O75" s="2490"/>
      <c r="P75" s="2489"/>
      <c r="Q75" s="2489"/>
      <c r="R75" s="2491"/>
    </row>
    <row r="76" spans="2:18" s="798" customFormat="1">
      <c r="B76" s="2489"/>
      <c r="C76" s="2489"/>
      <c r="D76" s="2489"/>
      <c r="E76" s="2489"/>
      <c r="F76" s="2489"/>
      <c r="G76" s="2490"/>
      <c r="H76" s="2489"/>
      <c r="I76" s="2490"/>
      <c r="J76" s="2489"/>
      <c r="K76" s="2489"/>
      <c r="L76" s="2490"/>
      <c r="M76" s="2489"/>
      <c r="N76" s="2489"/>
      <c r="O76" s="2490"/>
      <c r="P76" s="2489"/>
      <c r="Q76" s="2489"/>
      <c r="R76" s="2491"/>
    </row>
    <row r="77" spans="2:18" s="798" customFormat="1">
      <c r="B77" s="2489"/>
      <c r="C77" s="2489"/>
      <c r="D77" s="2489"/>
      <c r="E77" s="2489"/>
      <c r="F77" s="2489"/>
      <c r="G77" s="2490"/>
      <c r="H77" s="2489"/>
      <c r="I77" s="2490"/>
      <c r="J77" s="2489"/>
      <c r="K77" s="2489"/>
      <c r="L77" s="2490"/>
      <c r="M77" s="2489"/>
      <c r="N77" s="2489"/>
      <c r="O77" s="2490"/>
      <c r="P77" s="2489"/>
      <c r="Q77" s="2489"/>
      <c r="R77" s="2491"/>
    </row>
    <row r="78" spans="2:18" s="798" customFormat="1">
      <c r="B78" s="2489"/>
      <c r="C78" s="2489"/>
      <c r="D78" s="2489"/>
      <c r="E78" s="2489"/>
      <c r="F78" s="2489"/>
      <c r="G78" s="2490"/>
      <c r="H78" s="2489"/>
      <c r="I78" s="2490"/>
      <c r="J78" s="2489"/>
      <c r="K78" s="2489"/>
      <c r="L78" s="2490"/>
      <c r="M78" s="2489"/>
      <c r="N78" s="2489"/>
      <c r="O78" s="2490"/>
      <c r="P78" s="2489"/>
      <c r="Q78" s="2489"/>
      <c r="R78" s="2491"/>
    </row>
    <row r="79" spans="2:18" s="798" customFormat="1">
      <c r="B79" s="2489"/>
      <c r="C79" s="2489"/>
      <c r="D79" s="2489"/>
      <c r="E79" s="2489"/>
      <c r="F79" s="2489"/>
      <c r="G79" s="2490"/>
      <c r="H79" s="2489"/>
      <c r="I79" s="2490"/>
      <c r="J79" s="2489"/>
      <c r="K79" s="2489"/>
      <c r="L79" s="2490"/>
      <c r="M79" s="2489"/>
      <c r="N79" s="2489"/>
      <c r="O79" s="2490"/>
      <c r="P79" s="2489"/>
      <c r="Q79" s="2489"/>
      <c r="R79" s="2491"/>
    </row>
    <row r="80" spans="2:18" s="798" customFormat="1">
      <c r="B80" s="2489"/>
      <c r="C80" s="2489"/>
      <c r="D80" s="2489"/>
      <c r="E80" s="2489"/>
      <c r="F80" s="2489"/>
      <c r="G80" s="2490"/>
      <c r="H80" s="2489"/>
      <c r="I80" s="2490"/>
      <c r="J80" s="2489"/>
      <c r="K80" s="2489"/>
      <c r="L80" s="2490"/>
      <c r="M80" s="2489"/>
      <c r="N80" s="2489"/>
      <c r="O80" s="2490"/>
      <c r="P80" s="2489"/>
      <c r="Q80" s="2489"/>
      <c r="R80" s="2491"/>
    </row>
    <row r="81" spans="2:18" s="798" customFormat="1">
      <c r="B81" s="2489"/>
      <c r="C81" s="2489"/>
      <c r="D81" s="2489"/>
      <c r="E81" s="2489"/>
      <c r="F81" s="2489"/>
      <c r="G81" s="2490"/>
      <c r="H81" s="2489"/>
      <c r="I81" s="2490"/>
      <c r="J81" s="2489"/>
      <c r="K81" s="2489"/>
      <c r="L81" s="2490"/>
      <c r="M81" s="2489"/>
      <c r="N81" s="2489"/>
      <c r="O81" s="2490"/>
      <c r="P81" s="2489"/>
      <c r="Q81" s="2489"/>
      <c r="R81" s="2491"/>
    </row>
    <row r="82" spans="2:18" s="798" customFormat="1">
      <c r="B82" s="2489"/>
      <c r="C82" s="2489"/>
      <c r="D82" s="2489"/>
      <c r="E82" s="2489"/>
      <c r="F82" s="2489"/>
      <c r="G82" s="2490"/>
      <c r="H82" s="2489"/>
      <c r="I82" s="2490"/>
      <c r="J82" s="2489"/>
      <c r="K82" s="2489"/>
      <c r="L82" s="2490"/>
      <c r="M82" s="2489"/>
      <c r="N82" s="2489"/>
      <c r="O82" s="2490"/>
      <c r="P82" s="2489"/>
      <c r="Q82" s="2489"/>
      <c r="R82" s="2491"/>
    </row>
    <row r="83" spans="2:18" s="798" customFormat="1">
      <c r="B83" s="2489"/>
      <c r="C83" s="2489"/>
      <c r="D83" s="2489"/>
      <c r="E83" s="2489"/>
      <c r="F83" s="2489"/>
      <c r="G83" s="2490"/>
      <c r="H83" s="2489"/>
      <c r="I83" s="2490"/>
      <c r="J83" s="2489"/>
      <c r="K83" s="2489"/>
      <c r="L83" s="2490"/>
      <c r="M83" s="2489"/>
      <c r="N83" s="2489"/>
      <c r="O83" s="2490"/>
      <c r="P83" s="2489"/>
      <c r="Q83" s="2489"/>
      <c r="R83" s="2491"/>
    </row>
    <row r="84" spans="2:18" s="798" customFormat="1">
      <c r="B84" s="2489"/>
      <c r="C84" s="2489"/>
      <c r="D84" s="2489"/>
      <c r="E84" s="2489"/>
      <c r="F84" s="2489"/>
      <c r="G84" s="2490"/>
      <c r="H84" s="2489"/>
      <c r="I84" s="2490"/>
      <c r="J84" s="2489"/>
      <c r="K84" s="2489"/>
      <c r="L84" s="2490"/>
      <c r="M84" s="2489"/>
      <c r="N84" s="2489"/>
      <c r="O84" s="2490"/>
      <c r="P84" s="2489"/>
      <c r="Q84" s="2489"/>
      <c r="R84" s="2491"/>
    </row>
    <row r="85" spans="2:18" s="798" customFormat="1">
      <c r="B85" s="2489"/>
      <c r="C85" s="2489"/>
      <c r="D85" s="2489"/>
      <c r="E85" s="2489"/>
      <c r="F85" s="2489"/>
      <c r="G85" s="2490"/>
      <c r="H85" s="2489"/>
      <c r="I85" s="2490"/>
      <c r="J85" s="2489"/>
      <c r="K85" s="2489"/>
      <c r="L85" s="2490"/>
      <c r="M85" s="2489"/>
      <c r="N85" s="2489"/>
      <c r="O85" s="2490"/>
      <c r="P85" s="2489"/>
      <c r="Q85" s="2489"/>
      <c r="R85" s="2491"/>
    </row>
    <row r="86" spans="2:18" s="798" customFormat="1">
      <c r="B86" s="2489"/>
      <c r="C86" s="2489"/>
      <c r="D86" s="2489"/>
      <c r="E86" s="2489"/>
      <c r="F86" s="2489"/>
      <c r="G86" s="2490"/>
      <c r="H86" s="2489"/>
      <c r="I86" s="2490"/>
      <c r="J86" s="2489"/>
      <c r="K86" s="2489"/>
      <c r="L86" s="2490"/>
      <c r="M86" s="2489"/>
      <c r="N86" s="2489"/>
      <c r="O86" s="2490"/>
      <c r="P86" s="2489"/>
      <c r="Q86" s="2489"/>
      <c r="R86" s="2491"/>
    </row>
    <row r="87" spans="2:18" s="798" customFormat="1">
      <c r="B87" s="2489"/>
      <c r="C87" s="2489"/>
      <c r="D87" s="2489"/>
      <c r="E87" s="2489"/>
      <c r="F87" s="2489"/>
      <c r="G87" s="2490"/>
      <c r="H87" s="2489"/>
      <c r="I87" s="2490"/>
      <c r="J87" s="2489"/>
      <c r="K87" s="2489"/>
      <c r="L87" s="2490"/>
      <c r="M87" s="2489"/>
      <c r="N87" s="2489"/>
      <c r="O87" s="2490"/>
      <c r="P87" s="2489"/>
      <c r="Q87" s="2489"/>
      <c r="R87" s="2491"/>
    </row>
    <row r="88" spans="2:18" s="798" customFormat="1">
      <c r="B88" s="2489"/>
      <c r="C88" s="2489"/>
      <c r="D88" s="2489"/>
      <c r="E88" s="2489"/>
      <c r="F88" s="2489"/>
      <c r="G88" s="2490"/>
      <c r="H88" s="2489"/>
      <c r="I88" s="2490"/>
      <c r="J88" s="2489"/>
      <c r="K88" s="2489"/>
      <c r="L88" s="2490"/>
      <c r="M88" s="2489"/>
      <c r="N88" s="2489"/>
      <c r="O88" s="2490"/>
      <c r="P88" s="2489"/>
      <c r="Q88" s="2489"/>
      <c r="R88" s="2491"/>
    </row>
    <row r="89" spans="2:18" s="798" customFormat="1">
      <c r="B89" s="2489"/>
      <c r="C89" s="2489"/>
      <c r="D89" s="2489"/>
      <c r="E89" s="2489"/>
      <c r="F89" s="2489"/>
      <c r="G89" s="2490"/>
      <c r="H89" s="2489"/>
      <c r="I89" s="2490"/>
      <c r="J89" s="2489"/>
      <c r="K89" s="2489"/>
      <c r="L89" s="2490"/>
      <c r="M89" s="2489"/>
      <c r="N89" s="2489"/>
      <c r="O89" s="2490"/>
      <c r="P89" s="2489"/>
      <c r="Q89" s="2489"/>
      <c r="R89" s="2491"/>
    </row>
    <row r="90" spans="2:18" s="798" customFormat="1">
      <c r="B90" s="2489"/>
      <c r="C90" s="2489"/>
      <c r="D90" s="2489"/>
      <c r="E90" s="2489"/>
      <c r="F90" s="2489"/>
      <c r="G90" s="2490"/>
      <c r="H90" s="2489"/>
      <c r="I90" s="2490"/>
      <c r="J90" s="2489"/>
      <c r="K90" s="2489"/>
      <c r="L90" s="2490"/>
      <c r="M90" s="2489"/>
      <c r="N90" s="2489"/>
      <c r="O90" s="2490"/>
      <c r="P90" s="2489"/>
      <c r="Q90" s="2489"/>
      <c r="R90" s="2491"/>
    </row>
    <row r="91" spans="2:18" s="798" customFormat="1">
      <c r="B91" s="2489"/>
      <c r="C91" s="2489"/>
      <c r="D91" s="2489"/>
      <c r="E91" s="2489"/>
      <c r="F91" s="2489"/>
      <c r="G91" s="2490"/>
      <c r="H91" s="2489"/>
      <c r="I91" s="2490"/>
      <c r="J91" s="2489"/>
      <c r="K91" s="2489"/>
      <c r="L91" s="2490"/>
      <c r="M91" s="2489"/>
      <c r="N91" s="2489"/>
      <c r="O91" s="2490"/>
      <c r="P91" s="2489"/>
      <c r="Q91" s="2489"/>
      <c r="R91" s="2491"/>
    </row>
    <row r="92" spans="2:18" s="798" customFormat="1">
      <c r="B92" s="2489"/>
      <c r="C92" s="2489"/>
      <c r="D92" s="2489"/>
      <c r="E92" s="2489"/>
      <c r="F92" s="2489"/>
      <c r="G92" s="2490"/>
      <c r="H92" s="2489"/>
      <c r="I92" s="2490"/>
      <c r="J92" s="2489"/>
      <c r="K92" s="2489"/>
      <c r="L92" s="2490"/>
      <c r="M92" s="2489"/>
      <c r="N92" s="2489"/>
      <c r="O92" s="2490"/>
      <c r="P92" s="2489"/>
      <c r="Q92" s="2489"/>
      <c r="R92" s="2491"/>
    </row>
    <row r="93" spans="2:18" s="798" customFormat="1">
      <c r="B93" s="2489"/>
      <c r="C93" s="2489"/>
      <c r="D93" s="2489"/>
      <c r="E93" s="2489"/>
      <c r="F93" s="2489"/>
      <c r="G93" s="2490"/>
      <c r="H93" s="2489"/>
      <c r="I93" s="2490"/>
      <c r="J93" s="2489"/>
      <c r="K93" s="2489"/>
      <c r="L93" s="2490"/>
      <c r="M93" s="2489"/>
      <c r="N93" s="2489"/>
      <c r="O93" s="2490"/>
      <c r="P93" s="2489"/>
      <c r="Q93" s="2489"/>
      <c r="R93" s="2491"/>
    </row>
    <row r="94" spans="2:18" s="798" customFormat="1">
      <c r="B94" s="2489"/>
      <c r="C94" s="2489"/>
      <c r="D94" s="2489"/>
      <c r="E94" s="2489"/>
      <c r="F94" s="2489"/>
      <c r="G94" s="2490"/>
      <c r="H94" s="2489"/>
      <c r="I94" s="2490"/>
      <c r="J94" s="2489"/>
      <c r="K94" s="2489"/>
      <c r="L94" s="2490"/>
      <c r="M94" s="2489"/>
      <c r="N94" s="2489"/>
      <c r="O94" s="2490"/>
      <c r="P94" s="2489"/>
      <c r="Q94" s="2489"/>
      <c r="R94" s="2491"/>
    </row>
    <row r="95" spans="2:18" s="798" customFormat="1">
      <c r="B95" s="2489"/>
      <c r="C95" s="2489"/>
      <c r="D95" s="2489"/>
      <c r="E95" s="2489"/>
      <c r="F95" s="2489"/>
      <c r="G95" s="2490"/>
      <c r="H95" s="2489"/>
      <c r="I95" s="2490"/>
      <c r="J95" s="2489"/>
      <c r="K95" s="2489"/>
      <c r="L95" s="2490"/>
      <c r="M95" s="2489"/>
      <c r="N95" s="2489"/>
      <c r="O95" s="2490"/>
      <c r="P95" s="2489"/>
      <c r="Q95" s="2489"/>
      <c r="R95" s="2491"/>
    </row>
    <row r="96" spans="2:18" s="798" customFormat="1">
      <c r="B96" s="2489"/>
      <c r="C96" s="2489"/>
      <c r="D96" s="2489"/>
      <c r="E96" s="2489"/>
      <c r="F96" s="2489"/>
      <c r="G96" s="2490"/>
      <c r="H96" s="2489"/>
      <c r="I96" s="2490"/>
      <c r="J96" s="2489"/>
      <c r="K96" s="2489"/>
      <c r="L96" s="2490"/>
      <c r="M96" s="2489"/>
      <c r="N96" s="2489"/>
      <c r="O96" s="2490"/>
      <c r="P96" s="2489"/>
      <c r="Q96" s="2489"/>
      <c r="R96" s="2491"/>
    </row>
    <row r="97" spans="2:18" s="798" customFormat="1">
      <c r="B97" s="2489"/>
      <c r="C97" s="2489"/>
      <c r="D97" s="2489"/>
      <c r="E97" s="2489"/>
      <c r="F97" s="2489"/>
      <c r="G97" s="2490"/>
      <c r="H97" s="2489"/>
      <c r="I97" s="2490"/>
      <c r="J97" s="2489"/>
      <c r="K97" s="2489"/>
      <c r="L97" s="2490"/>
      <c r="M97" s="2489"/>
      <c r="N97" s="2489"/>
      <c r="O97" s="2490"/>
      <c r="P97" s="2489"/>
      <c r="Q97" s="2489"/>
      <c r="R97" s="2491"/>
    </row>
    <row r="98" spans="2:18" s="798" customFormat="1">
      <c r="B98" s="2489"/>
      <c r="C98" s="2489"/>
      <c r="D98" s="2489"/>
      <c r="E98" s="2489"/>
      <c r="F98" s="2489"/>
      <c r="G98" s="2490"/>
      <c r="H98" s="2489"/>
      <c r="I98" s="2490"/>
      <c r="J98" s="2489"/>
      <c r="K98" s="2489"/>
      <c r="L98" s="2490"/>
      <c r="M98" s="2489"/>
      <c r="N98" s="2489"/>
      <c r="O98" s="2490"/>
      <c r="P98" s="2489"/>
      <c r="Q98" s="2489"/>
      <c r="R98" s="2491"/>
    </row>
    <row r="99" spans="2:18" s="798" customFormat="1">
      <c r="B99" s="2489"/>
      <c r="C99" s="2489"/>
      <c r="D99" s="2489"/>
      <c r="E99" s="2489"/>
      <c r="F99" s="2489"/>
      <c r="G99" s="2490"/>
      <c r="H99" s="2489"/>
      <c r="I99" s="2490"/>
      <c r="J99" s="2489"/>
      <c r="K99" s="2489"/>
      <c r="L99" s="2490"/>
      <c r="M99" s="2489"/>
      <c r="N99" s="2489"/>
      <c r="O99" s="2490"/>
      <c r="P99" s="2489"/>
      <c r="Q99" s="2489"/>
      <c r="R99" s="2491"/>
    </row>
    <row r="100" spans="2:18" s="798" customFormat="1">
      <c r="B100" s="2489"/>
      <c r="C100" s="2489"/>
      <c r="D100" s="2489"/>
      <c r="E100" s="2489"/>
      <c r="F100" s="2489"/>
      <c r="G100" s="2490"/>
      <c r="H100" s="2489"/>
      <c r="I100" s="2490"/>
      <c r="J100" s="2489"/>
      <c r="K100" s="2489"/>
      <c r="L100" s="2490"/>
      <c r="M100" s="2489"/>
      <c r="N100" s="2489"/>
      <c r="O100" s="2490"/>
      <c r="P100" s="2489"/>
      <c r="Q100" s="2489"/>
      <c r="R100" s="2491"/>
    </row>
    <row r="101" spans="2:18" s="798" customFormat="1">
      <c r="B101" s="2489"/>
      <c r="C101" s="2489"/>
      <c r="D101" s="2489"/>
      <c r="E101" s="2489"/>
      <c r="F101" s="2489"/>
      <c r="G101" s="2490"/>
      <c r="H101" s="2489"/>
      <c r="I101" s="2490"/>
      <c r="J101" s="2489"/>
      <c r="K101" s="2489"/>
      <c r="L101" s="2490"/>
      <c r="M101" s="2489"/>
      <c r="N101" s="2489"/>
      <c r="O101" s="2490"/>
      <c r="P101" s="2489"/>
      <c r="Q101" s="2489"/>
      <c r="R101" s="2491"/>
    </row>
    <row r="102" spans="2:18" s="798" customFormat="1">
      <c r="B102" s="2489"/>
      <c r="C102" s="2489"/>
      <c r="D102" s="2489"/>
      <c r="E102" s="2489"/>
      <c r="F102" s="2489"/>
      <c r="G102" s="2490"/>
      <c r="H102" s="2489"/>
      <c r="I102" s="2490"/>
      <c r="J102" s="2489"/>
      <c r="K102" s="2489"/>
      <c r="L102" s="2490"/>
      <c r="M102" s="2489"/>
      <c r="N102" s="2489"/>
      <c r="O102" s="2490"/>
      <c r="P102" s="2489"/>
      <c r="Q102" s="2489"/>
      <c r="R102" s="2491"/>
    </row>
    <row r="103" spans="2:18" s="798" customFormat="1">
      <c r="B103" s="2489"/>
      <c r="C103" s="2489"/>
      <c r="D103" s="2489"/>
      <c r="E103" s="2489"/>
      <c r="F103" s="2489"/>
      <c r="G103" s="2490"/>
      <c r="H103" s="2489"/>
      <c r="I103" s="2490"/>
      <c r="J103" s="2489"/>
      <c r="K103" s="2489"/>
      <c r="L103" s="2490"/>
      <c r="M103" s="2489"/>
      <c r="N103" s="2489"/>
      <c r="O103" s="2490"/>
      <c r="P103" s="2489"/>
      <c r="Q103" s="2489"/>
      <c r="R103" s="2491"/>
    </row>
    <row r="104" spans="2:18" s="798" customFormat="1">
      <c r="B104" s="2489"/>
      <c r="C104" s="2489"/>
      <c r="D104" s="2489"/>
      <c r="E104" s="2489"/>
      <c r="F104" s="2489"/>
      <c r="G104" s="2490"/>
      <c r="H104" s="2489"/>
      <c r="I104" s="2490"/>
      <c r="J104" s="2489"/>
      <c r="K104" s="2489"/>
      <c r="L104" s="2490"/>
      <c r="M104" s="2489"/>
      <c r="N104" s="2489"/>
      <c r="O104" s="2490"/>
      <c r="P104" s="2489"/>
      <c r="Q104" s="2489"/>
      <c r="R104" s="2491"/>
    </row>
    <row r="105" spans="2:18" s="798" customFormat="1">
      <c r="B105" s="2489"/>
      <c r="C105" s="2489"/>
      <c r="D105" s="2489"/>
      <c r="E105" s="2489"/>
      <c r="F105" s="2489"/>
      <c r="G105" s="2490"/>
      <c r="H105" s="2489"/>
      <c r="I105" s="2490"/>
      <c r="J105" s="2489"/>
      <c r="K105" s="2489"/>
      <c r="L105" s="2490"/>
      <c r="M105" s="2489"/>
      <c r="N105" s="2489"/>
      <c r="O105" s="2490"/>
      <c r="P105" s="2489"/>
      <c r="Q105" s="2489"/>
      <c r="R105" s="2491"/>
    </row>
    <row r="106" spans="2:18" s="798" customFormat="1">
      <c r="B106" s="2489"/>
      <c r="C106" s="2489"/>
      <c r="D106" s="2489"/>
      <c r="E106" s="2489"/>
      <c r="F106" s="2489"/>
      <c r="G106" s="2490"/>
      <c r="H106" s="2489"/>
      <c r="I106" s="2490"/>
      <c r="J106" s="2489"/>
      <c r="K106" s="2489"/>
      <c r="L106" s="2490"/>
      <c r="M106" s="2489"/>
      <c r="N106" s="2489"/>
      <c r="O106" s="2490"/>
      <c r="P106" s="2489"/>
      <c r="Q106" s="2489"/>
      <c r="R106" s="2491"/>
    </row>
    <row r="107" spans="2:18" s="798" customFormat="1">
      <c r="B107" s="2489"/>
      <c r="C107" s="2489"/>
      <c r="D107" s="2489"/>
      <c r="E107" s="2489"/>
      <c r="F107" s="2489"/>
      <c r="G107" s="2490"/>
      <c r="H107" s="2489"/>
      <c r="I107" s="2490"/>
      <c r="J107" s="2489"/>
      <c r="K107" s="2489"/>
      <c r="L107" s="2490"/>
      <c r="M107" s="2489"/>
      <c r="N107" s="2489"/>
      <c r="O107" s="2490"/>
      <c r="P107" s="2489"/>
      <c r="Q107" s="2489"/>
      <c r="R107" s="2491"/>
    </row>
    <row r="108" spans="2:18" s="798" customFormat="1">
      <c r="B108" s="2489"/>
      <c r="C108" s="2489"/>
      <c r="D108" s="2489"/>
      <c r="E108" s="2489"/>
      <c r="F108" s="2489"/>
      <c r="G108" s="2490"/>
      <c r="H108" s="2489"/>
      <c r="I108" s="2490"/>
      <c r="J108" s="2489"/>
      <c r="K108" s="2489"/>
      <c r="L108" s="2490"/>
      <c r="M108" s="2489"/>
      <c r="N108" s="2489"/>
      <c r="O108" s="2490"/>
      <c r="P108" s="2489"/>
      <c r="Q108" s="2489"/>
      <c r="R108" s="2491"/>
    </row>
    <row r="109" spans="2:18" s="798" customFormat="1">
      <c r="B109" s="2489"/>
      <c r="C109" s="2489"/>
      <c r="D109" s="2489"/>
      <c r="E109" s="2489"/>
      <c r="F109" s="2489"/>
      <c r="G109" s="2490"/>
      <c r="H109" s="2489"/>
      <c r="I109" s="2490"/>
      <c r="J109" s="2489"/>
      <c r="K109" s="2489"/>
      <c r="L109" s="2490"/>
      <c r="M109" s="2489"/>
      <c r="N109" s="2489"/>
      <c r="O109" s="2490"/>
      <c r="P109" s="2489"/>
      <c r="Q109" s="2489"/>
      <c r="R109" s="2491"/>
    </row>
    <row r="110" spans="2:18" s="798" customFormat="1">
      <c r="B110" s="2489"/>
      <c r="C110" s="2489"/>
      <c r="D110" s="2489"/>
      <c r="E110" s="2489"/>
      <c r="F110" s="2489"/>
      <c r="G110" s="2490"/>
      <c r="H110" s="2489"/>
      <c r="I110" s="2490"/>
      <c r="J110" s="2489"/>
      <c r="K110" s="2489"/>
      <c r="L110" s="2490"/>
      <c r="M110" s="2489"/>
      <c r="N110" s="2489"/>
      <c r="O110" s="2490"/>
      <c r="P110" s="2489"/>
      <c r="Q110" s="2489"/>
      <c r="R110" s="2491"/>
    </row>
    <row r="111" spans="2:18" s="798" customFormat="1">
      <c r="B111" s="2489"/>
      <c r="C111" s="2489"/>
      <c r="D111" s="2489"/>
      <c r="E111" s="2489"/>
      <c r="F111" s="2489"/>
      <c r="G111" s="2490"/>
      <c r="H111" s="2489"/>
      <c r="I111" s="2490"/>
      <c r="J111" s="2489"/>
      <c r="K111" s="2489"/>
      <c r="L111" s="2490"/>
      <c r="M111" s="2489"/>
      <c r="N111" s="2489"/>
      <c r="O111" s="2490"/>
      <c r="P111" s="2489"/>
      <c r="Q111" s="2489"/>
      <c r="R111" s="2491"/>
    </row>
    <row r="112" spans="2:18" s="798" customFormat="1">
      <c r="B112" s="2489"/>
      <c r="C112" s="2489"/>
      <c r="D112" s="2489"/>
      <c r="E112" s="2489"/>
      <c r="F112" s="2489"/>
      <c r="G112" s="2490"/>
      <c r="H112" s="2489"/>
      <c r="I112" s="2490"/>
      <c r="J112" s="2489"/>
      <c r="K112" s="2489"/>
      <c r="L112" s="2490"/>
      <c r="M112" s="2489"/>
      <c r="N112" s="2489"/>
      <c r="O112" s="2490"/>
      <c r="P112" s="2489"/>
      <c r="Q112" s="2489"/>
      <c r="R112" s="2491"/>
    </row>
    <row r="113" spans="2:18" s="798" customFormat="1">
      <c r="B113" s="2489"/>
      <c r="C113" s="2489"/>
      <c r="D113" s="2489"/>
      <c r="E113" s="2489"/>
      <c r="F113" s="2489"/>
      <c r="G113" s="2490"/>
      <c r="H113" s="2489"/>
      <c r="I113" s="2490"/>
      <c r="J113" s="2489"/>
      <c r="K113" s="2489"/>
      <c r="L113" s="2490"/>
      <c r="M113" s="2489"/>
      <c r="N113" s="2489"/>
      <c r="O113" s="2490"/>
      <c r="P113" s="2489"/>
      <c r="Q113" s="2489"/>
      <c r="R113" s="2491"/>
    </row>
    <row r="114" spans="2:18" s="798" customFormat="1">
      <c r="B114" s="2489"/>
      <c r="C114" s="2489"/>
      <c r="D114" s="2489"/>
      <c r="E114" s="2489"/>
      <c r="F114" s="2489"/>
      <c r="G114" s="2490"/>
      <c r="H114" s="2489"/>
      <c r="I114" s="2490"/>
      <c r="J114" s="2489"/>
      <c r="K114" s="2489"/>
      <c r="L114" s="2490"/>
      <c r="M114" s="2489"/>
      <c r="N114" s="2489"/>
      <c r="O114" s="2490"/>
      <c r="P114" s="2489"/>
      <c r="Q114" s="2489"/>
      <c r="R114" s="2491"/>
    </row>
    <row r="115" spans="2:18" s="798" customFormat="1">
      <c r="B115" s="2489"/>
      <c r="C115" s="2489"/>
      <c r="D115" s="2489"/>
      <c r="E115" s="2489"/>
      <c r="F115" s="2489"/>
      <c r="G115" s="2490"/>
      <c r="H115" s="2489"/>
      <c r="I115" s="2490"/>
      <c r="J115" s="2489"/>
      <c r="K115" s="2489"/>
      <c r="L115" s="2490"/>
      <c r="M115" s="2489"/>
      <c r="N115" s="2489"/>
      <c r="O115" s="2490"/>
      <c r="P115" s="2489"/>
      <c r="Q115" s="2489"/>
      <c r="R115" s="2491"/>
    </row>
    <row r="116" spans="2:18" s="798" customFormat="1">
      <c r="B116" s="2489"/>
      <c r="C116" s="2489"/>
      <c r="D116" s="2489"/>
      <c r="E116" s="2489"/>
      <c r="F116" s="2489"/>
      <c r="G116" s="2490"/>
      <c r="H116" s="2489"/>
      <c r="I116" s="2490"/>
      <c r="J116" s="2489"/>
      <c r="K116" s="2489"/>
      <c r="L116" s="2490"/>
      <c r="M116" s="2489"/>
      <c r="N116" s="2489"/>
      <c r="O116" s="2490"/>
      <c r="P116" s="2489"/>
      <c r="Q116" s="2489"/>
      <c r="R116" s="2491"/>
    </row>
    <row r="117" spans="2:18" s="798" customFormat="1">
      <c r="B117" s="2489"/>
      <c r="C117" s="2489"/>
      <c r="D117" s="2489"/>
      <c r="E117" s="2489"/>
      <c r="F117" s="2489"/>
      <c r="G117" s="2490"/>
      <c r="H117" s="2489"/>
      <c r="I117" s="2490"/>
      <c r="J117" s="2489"/>
      <c r="K117" s="2489"/>
      <c r="L117" s="2490"/>
      <c r="M117" s="2489"/>
      <c r="N117" s="2489"/>
      <c r="O117" s="2490"/>
      <c r="P117" s="2489"/>
      <c r="Q117" s="2489"/>
      <c r="R117" s="2491"/>
    </row>
    <row r="118" spans="2:18" s="798" customFormat="1">
      <c r="B118" s="2489"/>
      <c r="C118" s="2489"/>
      <c r="D118" s="2489"/>
      <c r="E118" s="2489"/>
      <c r="F118" s="2489"/>
      <c r="G118" s="2490"/>
      <c r="H118" s="2489"/>
      <c r="I118" s="2490"/>
      <c r="J118" s="2489"/>
      <c r="K118" s="2489"/>
      <c r="L118" s="2490"/>
      <c r="M118" s="2489"/>
      <c r="N118" s="2489"/>
      <c r="O118" s="2490"/>
      <c r="P118" s="2489"/>
      <c r="Q118" s="2489"/>
      <c r="R118" s="2491"/>
    </row>
    <row r="119" spans="2:18" s="798" customFormat="1">
      <c r="B119" s="2489"/>
      <c r="C119" s="2489"/>
      <c r="D119" s="2489"/>
      <c r="E119" s="2489"/>
      <c r="F119" s="2489"/>
      <c r="G119" s="2490"/>
      <c r="H119" s="2489"/>
      <c r="I119" s="2490"/>
      <c r="J119" s="2489"/>
      <c r="K119" s="2489"/>
      <c r="L119" s="2490"/>
      <c r="M119" s="2489"/>
      <c r="N119" s="2489"/>
      <c r="O119" s="2490"/>
      <c r="P119" s="2489"/>
      <c r="Q119" s="2489"/>
      <c r="R119" s="2491"/>
    </row>
    <row r="120" spans="2:18" s="798" customFormat="1">
      <c r="B120" s="2489"/>
      <c r="C120" s="2489"/>
      <c r="D120" s="2489"/>
      <c r="E120" s="2489"/>
      <c r="F120" s="2489"/>
      <c r="G120" s="2490"/>
      <c r="H120" s="2489"/>
      <c r="I120" s="2490"/>
      <c r="J120" s="2489"/>
      <c r="K120" s="2489"/>
      <c r="L120" s="2490"/>
      <c r="M120" s="2489"/>
      <c r="N120" s="2489"/>
      <c r="O120" s="2490"/>
      <c r="P120" s="2489"/>
      <c r="Q120" s="2489"/>
      <c r="R120" s="2491"/>
    </row>
    <row r="121" spans="2:18" s="798" customFormat="1">
      <c r="B121" s="2489"/>
      <c r="C121" s="2489"/>
      <c r="D121" s="2489"/>
      <c r="E121" s="2489"/>
      <c r="F121" s="2489"/>
      <c r="G121" s="2490"/>
      <c r="H121" s="2489"/>
      <c r="I121" s="2490"/>
      <c r="J121" s="2489"/>
      <c r="K121" s="2489"/>
      <c r="L121" s="2490"/>
      <c r="M121" s="2489"/>
      <c r="N121" s="2489"/>
      <c r="O121" s="2490"/>
      <c r="P121" s="2489"/>
      <c r="Q121" s="2489"/>
      <c r="R121" s="2491"/>
    </row>
    <row r="122" spans="2:18" s="798" customFormat="1">
      <c r="B122" s="2489"/>
      <c r="C122" s="2489"/>
      <c r="D122" s="2489"/>
      <c r="E122" s="2489"/>
      <c r="F122" s="2489"/>
      <c r="G122" s="2490"/>
      <c r="H122" s="2489"/>
      <c r="I122" s="2490"/>
      <c r="J122" s="2489"/>
      <c r="K122" s="2489"/>
      <c r="L122" s="2490"/>
      <c r="M122" s="2489"/>
      <c r="N122" s="2489"/>
      <c r="O122" s="2490"/>
      <c r="P122" s="2489"/>
      <c r="Q122" s="2489"/>
      <c r="R122" s="2491"/>
    </row>
    <row r="123" spans="2:18" s="798" customFormat="1">
      <c r="B123" s="2489"/>
      <c r="C123" s="2489"/>
      <c r="D123" s="2489"/>
      <c r="E123" s="2489"/>
      <c r="F123" s="2489"/>
      <c r="G123" s="2490"/>
      <c r="H123" s="2489"/>
      <c r="I123" s="2490"/>
      <c r="J123" s="2489"/>
      <c r="K123" s="2489"/>
      <c r="L123" s="2490"/>
      <c r="M123" s="2489"/>
      <c r="N123" s="2489"/>
      <c r="O123" s="2490"/>
      <c r="P123" s="2489"/>
      <c r="Q123" s="2489"/>
      <c r="R123" s="2491"/>
    </row>
    <row r="124" spans="2:18" s="798" customFormat="1">
      <c r="B124" s="2489"/>
      <c r="C124" s="2489"/>
      <c r="D124" s="2489"/>
      <c r="E124" s="2489"/>
      <c r="F124" s="2489"/>
      <c r="G124" s="2490"/>
      <c r="H124" s="2489"/>
      <c r="I124" s="2490"/>
      <c r="J124" s="2489"/>
      <c r="K124" s="2489"/>
      <c r="L124" s="2490"/>
      <c r="M124" s="2489"/>
      <c r="N124" s="2489"/>
      <c r="O124" s="2490"/>
      <c r="P124" s="2489"/>
      <c r="Q124" s="2489"/>
      <c r="R124" s="2491"/>
    </row>
    <row r="125" spans="2:18" s="798" customFormat="1">
      <c r="B125" s="2489"/>
      <c r="C125" s="2489"/>
      <c r="D125" s="2489"/>
      <c r="E125" s="2489"/>
      <c r="F125" s="2489"/>
      <c r="G125" s="2490"/>
      <c r="H125" s="2489"/>
      <c r="I125" s="2490"/>
      <c r="J125" s="2489"/>
      <c r="K125" s="2489"/>
      <c r="L125" s="2490"/>
      <c r="M125" s="2489"/>
      <c r="N125" s="2489"/>
      <c r="O125" s="2490"/>
      <c r="P125" s="2489"/>
      <c r="Q125" s="2489"/>
      <c r="R125" s="2491"/>
    </row>
    <row r="126" spans="2:18" s="798" customFormat="1">
      <c r="B126" s="2489"/>
      <c r="C126" s="2489"/>
      <c r="D126" s="2489"/>
      <c r="E126" s="2489"/>
      <c r="F126" s="2489"/>
      <c r="G126" s="2490"/>
      <c r="H126" s="2489"/>
      <c r="I126" s="2490"/>
      <c r="J126" s="2489"/>
      <c r="K126" s="2489"/>
      <c r="L126" s="2490"/>
      <c r="M126" s="2489"/>
      <c r="N126" s="2489"/>
      <c r="O126" s="2490"/>
      <c r="P126" s="2489"/>
      <c r="Q126" s="2489"/>
      <c r="R126" s="2491"/>
    </row>
    <row r="127" spans="2:18" s="798" customFormat="1">
      <c r="B127" s="2489"/>
      <c r="C127" s="2489"/>
      <c r="D127" s="2489"/>
      <c r="E127" s="2489"/>
      <c r="F127" s="2489"/>
      <c r="G127" s="2490"/>
      <c r="H127" s="2489"/>
      <c r="I127" s="2490"/>
      <c r="J127" s="2489"/>
      <c r="K127" s="2489"/>
      <c r="L127" s="2490"/>
      <c r="M127" s="2489"/>
      <c r="N127" s="2489"/>
      <c r="O127" s="2490"/>
      <c r="P127" s="2489"/>
      <c r="Q127" s="2489"/>
      <c r="R127" s="2491"/>
    </row>
    <row r="128" spans="2:18" s="798" customFormat="1">
      <c r="B128" s="2489"/>
      <c r="C128" s="2489"/>
      <c r="D128" s="2489"/>
      <c r="E128" s="2489"/>
      <c r="F128" s="2489"/>
      <c r="G128" s="2490"/>
      <c r="H128" s="2489"/>
      <c r="I128" s="2490"/>
      <c r="J128" s="2489"/>
      <c r="K128" s="2489"/>
      <c r="L128" s="2490"/>
      <c r="M128" s="2489"/>
      <c r="N128" s="2489"/>
      <c r="O128" s="2490"/>
      <c r="P128" s="2489"/>
      <c r="Q128" s="2489"/>
      <c r="R128" s="2491"/>
    </row>
    <row r="129" spans="2:18" s="798" customFormat="1">
      <c r="B129" s="2489"/>
      <c r="C129" s="2489"/>
      <c r="D129" s="2489"/>
      <c r="E129" s="2489"/>
      <c r="F129" s="2489"/>
      <c r="G129" s="2490"/>
      <c r="H129" s="2489"/>
      <c r="I129" s="2490"/>
      <c r="J129" s="2489"/>
      <c r="K129" s="2489"/>
      <c r="L129" s="2490"/>
      <c r="M129" s="2489"/>
      <c r="N129" s="2489"/>
      <c r="O129" s="2490"/>
      <c r="P129" s="2489"/>
      <c r="Q129" s="2489"/>
      <c r="R129" s="2491"/>
    </row>
    <row r="130" spans="2:18" s="798" customFormat="1">
      <c r="B130" s="2489"/>
      <c r="C130" s="2489"/>
      <c r="D130" s="2489"/>
      <c r="E130" s="2489"/>
      <c r="F130" s="2489"/>
      <c r="G130" s="2490"/>
      <c r="H130" s="2489"/>
      <c r="I130" s="2490"/>
      <c r="J130" s="2489"/>
      <c r="K130" s="2489"/>
      <c r="L130" s="2490"/>
      <c r="M130" s="2489"/>
      <c r="N130" s="2489"/>
      <c r="O130" s="2490"/>
      <c r="P130" s="2489"/>
      <c r="Q130" s="2489"/>
      <c r="R130" s="2491"/>
    </row>
    <row r="131" spans="2:18" s="798" customFormat="1">
      <c r="B131" s="2489"/>
      <c r="C131" s="2489"/>
      <c r="D131" s="2489"/>
      <c r="E131" s="2489"/>
      <c r="F131" s="2489"/>
      <c r="G131" s="2490"/>
      <c r="H131" s="2489"/>
      <c r="I131" s="2490"/>
      <c r="J131" s="2489"/>
      <c r="K131" s="2489"/>
      <c r="L131" s="2490"/>
      <c r="M131" s="2489"/>
      <c r="N131" s="2489"/>
      <c r="O131" s="2490"/>
      <c r="P131" s="2489"/>
      <c r="Q131" s="2489"/>
      <c r="R131" s="2491"/>
    </row>
    <row r="132" spans="2:18" s="798" customFormat="1">
      <c r="B132" s="2489"/>
      <c r="C132" s="2489"/>
      <c r="D132" s="2489"/>
      <c r="E132" s="2489"/>
      <c r="F132" s="2489"/>
      <c r="G132" s="2490"/>
      <c r="H132" s="2489"/>
      <c r="I132" s="2490"/>
      <c r="J132" s="2489"/>
      <c r="K132" s="2489"/>
      <c r="L132" s="2490"/>
      <c r="M132" s="2489"/>
      <c r="N132" s="2489"/>
      <c r="O132" s="2490"/>
      <c r="P132" s="2489"/>
      <c r="Q132" s="2489"/>
      <c r="R132" s="2491"/>
    </row>
    <row r="133" spans="2:18" s="798" customFormat="1">
      <c r="B133" s="2489"/>
      <c r="C133" s="2489"/>
      <c r="D133" s="2489"/>
      <c r="E133" s="2489"/>
      <c r="F133" s="2489"/>
      <c r="G133" s="2490"/>
      <c r="H133" s="2489"/>
      <c r="I133" s="2490"/>
      <c r="J133" s="2489"/>
      <c r="K133" s="2489"/>
      <c r="L133" s="2490"/>
      <c r="M133" s="2489"/>
      <c r="N133" s="2489"/>
      <c r="O133" s="2490"/>
      <c r="P133" s="2489"/>
      <c r="Q133" s="2489"/>
      <c r="R133" s="2491"/>
    </row>
    <row r="134" spans="2:18" s="798" customFormat="1">
      <c r="B134" s="2489"/>
      <c r="C134" s="2489"/>
      <c r="D134" s="2489"/>
      <c r="E134" s="2489"/>
      <c r="F134" s="2489"/>
      <c r="G134" s="2490"/>
      <c r="H134" s="2489"/>
      <c r="I134" s="2490"/>
      <c r="J134" s="2489"/>
      <c r="K134" s="2489"/>
      <c r="L134" s="2490"/>
      <c r="M134" s="2489"/>
      <c r="N134" s="2489"/>
      <c r="O134" s="2490"/>
      <c r="P134" s="2489"/>
      <c r="Q134" s="2489"/>
      <c r="R134" s="2491"/>
    </row>
    <row r="135" spans="2:18" s="798" customFormat="1">
      <c r="B135" s="2489"/>
      <c r="C135" s="2489"/>
      <c r="D135" s="2489"/>
      <c r="E135" s="2489"/>
      <c r="F135" s="2489"/>
      <c r="G135" s="2490"/>
      <c r="H135" s="2489"/>
      <c r="I135" s="2490"/>
      <c r="J135" s="2489"/>
      <c r="K135" s="2489"/>
      <c r="L135" s="2490"/>
      <c r="M135" s="2489"/>
      <c r="N135" s="2489"/>
      <c r="O135" s="2490"/>
      <c r="P135" s="2489"/>
      <c r="Q135" s="2489"/>
      <c r="R135" s="2491"/>
    </row>
    <row r="136" spans="2:18" s="798" customFormat="1">
      <c r="B136" s="2489"/>
      <c r="C136" s="2489"/>
      <c r="D136" s="2489"/>
      <c r="E136" s="2489"/>
      <c r="F136" s="2489"/>
      <c r="G136" s="2490"/>
      <c r="H136" s="2489"/>
      <c r="I136" s="2490"/>
      <c r="J136" s="2489"/>
      <c r="K136" s="2489"/>
      <c r="L136" s="2490"/>
      <c r="M136" s="2489"/>
      <c r="N136" s="2489"/>
      <c r="O136" s="2490"/>
      <c r="P136" s="2489"/>
      <c r="Q136" s="2489"/>
      <c r="R136" s="2491"/>
    </row>
    <row r="137" spans="2:18" s="798" customFormat="1">
      <c r="B137" s="2489"/>
      <c r="C137" s="2489"/>
      <c r="D137" s="2489"/>
      <c r="E137" s="2489"/>
      <c r="F137" s="2489"/>
      <c r="G137" s="2490"/>
      <c r="H137" s="2489"/>
      <c r="I137" s="2490"/>
      <c r="J137" s="2489"/>
      <c r="K137" s="2489"/>
      <c r="L137" s="2490"/>
      <c r="M137" s="2489"/>
      <c r="N137" s="2489"/>
      <c r="O137" s="2490"/>
      <c r="P137" s="2489"/>
      <c r="Q137" s="2489"/>
      <c r="R137" s="2491"/>
    </row>
    <row r="138" spans="2:18" s="798" customFormat="1">
      <c r="B138" s="2489"/>
      <c r="C138" s="2489"/>
      <c r="D138" s="2489"/>
      <c r="E138" s="2489"/>
      <c r="F138" s="2489"/>
      <c r="G138" s="2490"/>
      <c r="H138" s="2489"/>
      <c r="I138" s="2490"/>
      <c r="J138" s="2489"/>
      <c r="K138" s="2489"/>
      <c r="L138" s="2490"/>
      <c r="M138" s="2489"/>
      <c r="N138" s="2489"/>
      <c r="O138" s="2490"/>
      <c r="P138" s="2489"/>
      <c r="Q138" s="2489"/>
      <c r="R138" s="2491"/>
    </row>
    <row r="139" spans="2:18" s="798" customFormat="1">
      <c r="B139" s="2489"/>
      <c r="C139" s="2489"/>
      <c r="D139" s="2489"/>
      <c r="E139" s="2489"/>
      <c r="F139" s="2489"/>
      <c r="G139" s="2490"/>
      <c r="H139" s="2489"/>
      <c r="I139" s="2490"/>
      <c r="J139" s="2489"/>
      <c r="K139" s="2489"/>
      <c r="L139" s="2490"/>
      <c r="M139" s="2489"/>
      <c r="N139" s="2489"/>
      <c r="O139" s="2490"/>
      <c r="P139" s="2489"/>
      <c r="Q139" s="2489"/>
      <c r="R139" s="2491"/>
    </row>
    <row r="140" spans="2:18" s="798" customFormat="1">
      <c r="B140" s="2489"/>
      <c r="C140" s="2489"/>
      <c r="D140" s="2489"/>
      <c r="E140" s="2489"/>
      <c r="F140" s="2489"/>
      <c r="G140" s="2490"/>
      <c r="H140" s="2489"/>
      <c r="I140" s="2490"/>
      <c r="J140" s="2489"/>
      <c r="K140" s="2489"/>
      <c r="L140" s="2490"/>
      <c r="M140" s="2489"/>
      <c r="N140" s="2489"/>
      <c r="O140" s="2490"/>
      <c r="P140" s="2489"/>
      <c r="Q140" s="2489"/>
      <c r="R140" s="2491"/>
    </row>
    <row r="141" spans="2:18" s="798" customFormat="1">
      <c r="B141" s="2489"/>
      <c r="C141" s="2489"/>
      <c r="D141" s="2489"/>
      <c r="E141" s="2489"/>
      <c r="F141" s="2489"/>
      <c r="G141" s="2490"/>
      <c r="H141" s="2489"/>
      <c r="I141" s="2490"/>
      <c r="J141" s="2489"/>
      <c r="K141" s="2489"/>
      <c r="L141" s="2490"/>
      <c r="M141" s="2489"/>
      <c r="N141" s="2489"/>
      <c r="O141" s="2490"/>
      <c r="P141" s="2489"/>
      <c r="Q141" s="2489"/>
      <c r="R141" s="2491"/>
    </row>
    <row r="142" spans="2:18" s="798" customFormat="1">
      <c r="B142" s="2489"/>
      <c r="C142" s="2489"/>
      <c r="D142" s="2489"/>
      <c r="E142" s="2489"/>
      <c r="F142" s="2489"/>
      <c r="G142" s="2490"/>
      <c r="H142" s="2489"/>
      <c r="I142" s="2490"/>
      <c r="J142" s="2489"/>
      <c r="K142" s="2489"/>
      <c r="L142" s="2490"/>
      <c r="M142" s="2489"/>
      <c r="N142" s="2489"/>
      <c r="O142" s="2490"/>
      <c r="P142" s="2489"/>
      <c r="Q142" s="2489"/>
      <c r="R142" s="2491"/>
    </row>
    <row r="143" spans="2:18" s="798" customFormat="1">
      <c r="B143" s="2489"/>
      <c r="C143" s="2489"/>
      <c r="D143" s="2489"/>
      <c r="E143" s="2489"/>
      <c r="F143" s="2489"/>
      <c r="G143" s="2490"/>
      <c r="H143" s="2489"/>
      <c r="I143" s="2490"/>
      <c r="J143" s="2489"/>
      <c r="K143" s="2489"/>
      <c r="L143" s="2490"/>
      <c r="M143" s="2489"/>
      <c r="N143" s="2489"/>
      <c r="O143" s="2490"/>
      <c r="P143" s="2489"/>
      <c r="Q143" s="2489"/>
      <c r="R143" s="2491"/>
    </row>
    <row r="144" spans="2:18" s="798" customFormat="1">
      <c r="B144" s="2489"/>
      <c r="C144" s="2489"/>
      <c r="D144" s="2489"/>
      <c r="E144" s="2489"/>
      <c r="F144" s="2489"/>
      <c r="G144" s="2490"/>
      <c r="H144" s="2489"/>
      <c r="I144" s="2490"/>
      <c r="J144" s="2489"/>
      <c r="K144" s="2489"/>
      <c r="L144" s="2490"/>
      <c r="M144" s="2489"/>
      <c r="N144" s="2489"/>
      <c r="O144" s="2490"/>
      <c r="P144" s="2489"/>
      <c r="Q144" s="2489"/>
      <c r="R144" s="2491"/>
    </row>
    <row r="145" spans="2:18" s="798" customFormat="1">
      <c r="B145" s="2489"/>
      <c r="C145" s="2489"/>
      <c r="D145" s="2489"/>
      <c r="E145" s="2489"/>
      <c r="F145" s="2489"/>
      <c r="G145" s="2490"/>
      <c r="H145" s="2489"/>
      <c r="I145" s="2490"/>
      <c r="J145" s="2489"/>
      <c r="K145" s="2489"/>
      <c r="L145" s="2490"/>
      <c r="M145" s="2489"/>
      <c r="N145" s="2489"/>
      <c r="O145" s="2490"/>
      <c r="P145" s="2489"/>
      <c r="Q145" s="2489"/>
      <c r="R145" s="2491"/>
    </row>
    <row r="146" spans="2:18" s="798" customFormat="1">
      <c r="B146" s="2489"/>
      <c r="C146" s="2489"/>
      <c r="D146" s="2489"/>
      <c r="E146" s="2489"/>
      <c r="F146" s="2489"/>
      <c r="G146" s="2490"/>
      <c r="H146" s="2489"/>
      <c r="I146" s="2490"/>
      <c r="J146" s="2489"/>
      <c r="K146" s="2489"/>
      <c r="L146" s="2490"/>
      <c r="M146" s="2489"/>
      <c r="N146" s="2489"/>
      <c r="O146" s="2490"/>
      <c r="P146" s="2489"/>
      <c r="Q146" s="2489"/>
      <c r="R146" s="2491"/>
    </row>
    <row r="147" spans="2:18" s="798" customFormat="1">
      <c r="B147" s="2489"/>
      <c r="C147" s="2489"/>
      <c r="D147" s="2489"/>
      <c r="E147" s="2489"/>
      <c r="F147" s="2489"/>
      <c r="G147" s="2490"/>
      <c r="H147" s="2489"/>
      <c r="I147" s="2490"/>
      <c r="J147" s="2489"/>
      <c r="K147" s="2489"/>
      <c r="L147" s="2490"/>
      <c r="M147" s="2489"/>
      <c r="N147" s="2489"/>
      <c r="O147" s="2490"/>
      <c r="P147" s="2489"/>
      <c r="Q147" s="2489"/>
      <c r="R147" s="2491"/>
    </row>
    <row r="148" spans="2:18" s="798" customFormat="1">
      <c r="B148" s="2489"/>
      <c r="C148" s="2489"/>
      <c r="D148" s="2489"/>
      <c r="E148" s="2489"/>
      <c r="F148" s="2489"/>
      <c r="G148" s="2490"/>
      <c r="H148" s="2489"/>
      <c r="I148" s="2490"/>
      <c r="J148" s="2489"/>
      <c r="K148" s="2489"/>
      <c r="L148" s="2490"/>
      <c r="M148" s="2489"/>
      <c r="N148" s="2489"/>
      <c r="O148" s="2490"/>
      <c r="P148" s="2489"/>
      <c r="Q148" s="2489"/>
      <c r="R148" s="2491"/>
    </row>
    <row r="149" spans="2:18" s="798" customFormat="1">
      <c r="B149" s="2489"/>
      <c r="C149" s="2489"/>
      <c r="D149" s="2489"/>
      <c r="E149" s="2489"/>
      <c r="F149" s="2489"/>
      <c r="G149" s="2490"/>
      <c r="H149" s="2489"/>
      <c r="I149" s="2490"/>
      <c r="J149" s="2489"/>
      <c r="K149" s="2489"/>
      <c r="L149" s="2490"/>
      <c r="M149" s="2489"/>
      <c r="N149" s="2489"/>
      <c r="O149" s="2490"/>
      <c r="P149" s="2489"/>
      <c r="Q149" s="2489"/>
      <c r="R149" s="2491"/>
    </row>
    <row r="150" spans="2:18" s="798" customFormat="1">
      <c r="B150" s="2489"/>
      <c r="C150" s="2489"/>
      <c r="D150" s="2489"/>
      <c r="E150" s="2489"/>
      <c r="F150" s="2489"/>
      <c r="G150" s="2490"/>
      <c r="H150" s="2489"/>
      <c r="I150" s="2490"/>
      <c r="J150" s="2489"/>
      <c r="K150" s="2489"/>
      <c r="L150" s="2490"/>
      <c r="M150" s="2489"/>
      <c r="N150" s="2489"/>
      <c r="O150" s="2490"/>
      <c r="P150" s="2489"/>
      <c r="Q150" s="2489"/>
      <c r="R150" s="2491"/>
    </row>
    <row r="151" spans="2:18" s="798" customFormat="1">
      <c r="B151" s="2489"/>
      <c r="C151" s="2489"/>
      <c r="D151" s="2489"/>
      <c r="E151" s="2489"/>
      <c r="F151" s="2489"/>
      <c r="G151" s="2490"/>
      <c r="H151" s="2489"/>
      <c r="I151" s="2490"/>
      <c r="J151" s="2489"/>
      <c r="K151" s="2489"/>
      <c r="L151" s="2490"/>
      <c r="M151" s="2489"/>
      <c r="N151" s="2489"/>
      <c r="O151" s="2490"/>
      <c r="P151" s="2489"/>
      <c r="Q151" s="2489"/>
      <c r="R151" s="2491"/>
    </row>
    <row r="152" spans="2:18" s="798" customFormat="1">
      <c r="B152" s="2489"/>
      <c r="C152" s="2489"/>
      <c r="D152" s="2489"/>
      <c r="E152" s="2489"/>
      <c r="F152" s="2489"/>
      <c r="G152" s="2490"/>
      <c r="H152" s="2489"/>
      <c r="I152" s="2490"/>
      <c r="J152" s="2489"/>
      <c r="K152" s="2489"/>
      <c r="L152" s="2490"/>
      <c r="M152" s="2489"/>
      <c r="N152" s="2489"/>
      <c r="O152" s="2490"/>
      <c r="P152" s="2489"/>
      <c r="Q152" s="2489"/>
      <c r="R152" s="2491"/>
    </row>
    <row r="153" spans="2:18" s="798" customFormat="1">
      <c r="B153" s="2489"/>
      <c r="C153" s="2489"/>
      <c r="D153" s="2489"/>
      <c r="E153" s="2489"/>
      <c r="F153" s="2489"/>
      <c r="G153" s="2490"/>
      <c r="H153" s="2489"/>
      <c r="I153" s="2490"/>
      <c r="J153" s="2489"/>
      <c r="K153" s="2489"/>
      <c r="L153" s="2490"/>
      <c r="M153" s="2489"/>
      <c r="N153" s="2489"/>
      <c r="O153" s="2490"/>
      <c r="P153" s="2489"/>
      <c r="Q153" s="2489"/>
      <c r="R153" s="2491"/>
    </row>
    <row r="154" spans="2:18" s="798" customFormat="1">
      <c r="B154" s="2489"/>
      <c r="C154" s="2489"/>
      <c r="D154" s="2489"/>
      <c r="E154" s="2489"/>
      <c r="F154" s="2489"/>
      <c r="G154" s="2490"/>
      <c r="H154" s="2489"/>
      <c r="I154" s="2490"/>
      <c r="J154" s="2489"/>
      <c r="K154" s="2489"/>
      <c r="L154" s="2490"/>
      <c r="M154" s="2489"/>
      <c r="N154" s="2489"/>
      <c r="O154" s="2490"/>
      <c r="P154" s="2489"/>
      <c r="Q154" s="2489"/>
      <c r="R154" s="2491"/>
    </row>
    <row r="155" spans="2:18" s="798" customFormat="1">
      <c r="B155" s="2489"/>
      <c r="C155" s="2489"/>
      <c r="D155" s="2489"/>
      <c r="E155" s="2489"/>
      <c r="F155" s="2489"/>
      <c r="G155" s="2490"/>
      <c r="H155" s="2489"/>
      <c r="I155" s="2490"/>
      <c r="J155" s="2489"/>
      <c r="K155" s="2489"/>
      <c r="L155" s="2490"/>
      <c r="M155" s="2489"/>
      <c r="N155" s="2489"/>
      <c r="O155" s="2490"/>
      <c r="P155" s="2489"/>
      <c r="Q155" s="2489"/>
      <c r="R155" s="2491"/>
    </row>
    <row r="156" spans="2:18" s="798" customFormat="1">
      <c r="B156" s="2489"/>
      <c r="C156" s="2489"/>
      <c r="D156" s="2489"/>
      <c r="E156" s="2489"/>
      <c r="F156" s="2489"/>
      <c r="G156" s="2490"/>
      <c r="H156" s="2489"/>
      <c r="I156" s="2490"/>
      <c r="J156" s="2489"/>
      <c r="K156" s="2489"/>
      <c r="L156" s="2490"/>
      <c r="M156" s="2489"/>
      <c r="N156" s="2489"/>
      <c r="O156" s="2490"/>
      <c r="P156" s="2489"/>
      <c r="Q156" s="2489"/>
      <c r="R156" s="2491"/>
    </row>
    <row r="157" spans="2:18" s="798" customFormat="1">
      <c r="B157" s="2489"/>
      <c r="C157" s="2489"/>
      <c r="D157" s="2489"/>
      <c r="E157" s="2489"/>
      <c r="F157" s="2489"/>
      <c r="G157" s="2490"/>
      <c r="H157" s="2489"/>
      <c r="I157" s="2490"/>
      <c r="J157" s="2489"/>
      <c r="K157" s="2489"/>
      <c r="L157" s="2490"/>
      <c r="M157" s="2489"/>
      <c r="N157" s="2489"/>
      <c r="O157" s="2490"/>
      <c r="P157" s="2489"/>
      <c r="Q157" s="2489"/>
      <c r="R157" s="2491"/>
    </row>
    <row r="158" spans="2:18" s="798" customFormat="1">
      <c r="B158" s="2489"/>
      <c r="C158" s="2489"/>
      <c r="D158" s="2489"/>
      <c r="E158" s="2489"/>
      <c r="F158" s="2489"/>
      <c r="G158" s="2490"/>
      <c r="H158" s="2489"/>
      <c r="I158" s="2490"/>
      <c r="J158" s="2489"/>
      <c r="K158" s="2489"/>
      <c r="L158" s="2490"/>
      <c r="M158" s="2489"/>
      <c r="N158" s="2489"/>
      <c r="O158" s="2490"/>
      <c r="P158" s="2489"/>
      <c r="Q158" s="2489"/>
      <c r="R158" s="2491"/>
    </row>
    <row r="159" spans="2:18" s="798" customFormat="1">
      <c r="B159" s="2489"/>
      <c r="C159" s="2489"/>
      <c r="D159" s="2489"/>
      <c r="E159" s="2489"/>
      <c r="F159" s="2489"/>
      <c r="G159" s="2490"/>
      <c r="H159" s="2489"/>
      <c r="I159" s="2490"/>
      <c r="J159" s="2489"/>
      <c r="K159" s="2489"/>
      <c r="L159" s="2490"/>
      <c r="M159" s="2489"/>
      <c r="N159" s="2489"/>
      <c r="O159" s="2490"/>
      <c r="P159" s="2489"/>
      <c r="Q159" s="2489"/>
      <c r="R159" s="2491"/>
    </row>
    <row r="160" spans="2:18" s="798" customFormat="1">
      <c r="B160" s="2489"/>
      <c r="C160" s="2489"/>
      <c r="D160" s="2489"/>
      <c r="E160" s="2489"/>
      <c r="F160" s="2489"/>
      <c r="G160" s="2490"/>
      <c r="H160" s="2489"/>
      <c r="I160" s="2490"/>
      <c r="J160" s="2489"/>
      <c r="K160" s="2489"/>
      <c r="L160" s="2490"/>
      <c r="M160" s="2489"/>
      <c r="N160" s="2489"/>
      <c r="O160" s="2490"/>
      <c r="P160" s="2489"/>
      <c r="Q160" s="2489"/>
      <c r="R160" s="2491"/>
    </row>
    <row r="161" spans="2:18" s="798" customFormat="1">
      <c r="B161" s="2489"/>
      <c r="C161" s="2489"/>
      <c r="D161" s="2489"/>
      <c r="E161" s="2489"/>
      <c r="F161" s="2489"/>
      <c r="G161" s="2490"/>
      <c r="H161" s="2489"/>
      <c r="I161" s="2490"/>
      <c r="J161" s="2489"/>
      <c r="K161" s="2489"/>
      <c r="L161" s="2490"/>
      <c r="M161" s="2489"/>
      <c r="N161" s="2489"/>
      <c r="O161" s="2490"/>
      <c r="P161" s="2489"/>
      <c r="Q161" s="2489"/>
      <c r="R161" s="2491"/>
    </row>
    <row r="162" spans="2:18" s="798" customFormat="1">
      <c r="B162" s="2489"/>
      <c r="C162" s="2489"/>
      <c r="D162" s="2489"/>
      <c r="E162" s="2489"/>
      <c r="F162" s="2489"/>
      <c r="G162" s="2490"/>
      <c r="H162" s="2489"/>
      <c r="I162" s="2490"/>
      <c r="J162" s="2489"/>
      <c r="K162" s="2489"/>
      <c r="L162" s="2490"/>
      <c r="M162" s="2489"/>
      <c r="N162" s="2489"/>
      <c r="O162" s="2490"/>
      <c r="P162" s="2489"/>
      <c r="Q162" s="2489"/>
      <c r="R162" s="2491"/>
    </row>
    <row r="163" spans="2:18" s="798" customFormat="1">
      <c r="B163" s="2489"/>
      <c r="C163" s="2489"/>
      <c r="D163" s="2489"/>
      <c r="E163" s="2489"/>
      <c r="F163" s="2489"/>
      <c r="G163" s="2490"/>
      <c r="H163" s="2489"/>
      <c r="I163" s="2490"/>
      <c r="J163" s="2489"/>
      <c r="K163" s="2489"/>
      <c r="L163" s="2490"/>
      <c r="M163" s="2489"/>
      <c r="N163" s="2489"/>
      <c r="O163" s="2490"/>
      <c r="P163" s="2489"/>
      <c r="Q163" s="2489"/>
      <c r="R163" s="2491"/>
    </row>
    <row r="164" spans="2:18" s="798" customFormat="1">
      <c r="B164" s="2489"/>
      <c r="C164" s="2489"/>
      <c r="D164" s="2489"/>
      <c r="E164" s="2489"/>
      <c r="F164" s="2489"/>
      <c r="G164" s="2490"/>
      <c r="H164" s="2489"/>
      <c r="I164" s="2490"/>
      <c r="J164" s="2489"/>
      <c r="K164" s="2489"/>
      <c r="L164" s="2490"/>
      <c r="M164" s="2489"/>
      <c r="N164" s="2489"/>
      <c r="O164" s="2490"/>
      <c r="P164" s="2489"/>
      <c r="Q164" s="2489"/>
      <c r="R164" s="2491"/>
    </row>
    <row r="165" spans="2:18" s="798" customFormat="1">
      <c r="B165" s="2489"/>
      <c r="C165" s="2489"/>
      <c r="D165" s="2489"/>
      <c r="E165" s="2489"/>
      <c r="F165" s="2489"/>
      <c r="G165" s="2490"/>
      <c r="H165" s="2489"/>
      <c r="I165" s="2490"/>
      <c r="J165" s="2489"/>
      <c r="K165" s="2489"/>
      <c r="L165" s="2490"/>
      <c r="M165" s="2489"/>
      <c r="N165" s="2489"/>
      <c r="O165" s="2490"/>
      <c r="P165" s="2489"/>
      <c r="Q165" s="2489"/>
      <c r="R165" s="2491"/>
    </row>
    <row r="166" spans="2:18" s="798" customFormat="1">
      <c r="B166" s="2489"/>
      <c r="C166" s="2489"/>
      <c r="D166" s="2489"/>
      <c r="E166" s="2489"/>
      <c r="F166" s="2489"/>
      <c r="G166" s="2490"/>
      <c r="H166" s="2489"/>
      <c r="I166" s="2490"/>
      <c r="J166" s="2489"/>
      <c r="K166" s="2489"/>
      <c r="L166" s="2490"/>
      <c r="M166" s="2489"/>
      <c r="N166" s="2489"/>
      <c r="O166" s="2490"/>
      <c r="P166" s="2489"/>
      <c r="Q166" s="2489"/>
      <c r="R166" s="2491"/>
    </row>
    <row r="167" spans="2:18" s="798" customFormat="1">
      <c r="B167" s="2489"/>
      <c r="C167" s="2489"/>
      <c r="D167" s="2489"/>
      <c r="E167" s="2489"/>
      <c r="F167" s="2489"/>
      <c r="G167" s="2490"/>
      <c r="H167" s="2489"/>
      <c r="I167" s="2490"/>
      <c r="J167" s="2489"/>
      <c r="K167" s="2489"/>
      <c r="L167" s="2490"/>
      <c r="M167" s="2489"/>
      <c r="N167" s="2489"/>
      <c r="O167" s="2490"/>
      <c r="P167" s="2489"/>
      <c r="Q167" s="2489"/>
      <c r="R167" s="2491"/>
    </row>
    <row r="168" spans="2:18" s="798" customFormat="1">
      <c r="B168" s="2489"/>
      <c r="C168" s="2489"/>
      <c r="D168" s="2489"/>
      <c r="E168" s="2489"/>
      <c r="F168" s="2489"/>
      <c r="G168" s="2490"/>
      <c r="H168" s="2489"/>
      <c r="I168" s="2490"/>
      <c r="J168" s="2489"/>
      <c r="K168" s="2489"/>
      <c r="L168" s="2490"/>
      <c r="M168" s="2489"/>
      <c r="N168" s="2489"/>
      <c r="O168" s="2490"/>
      <c r="P168" s="2489"/>
      <c r="Q168" s="2489"/>
      <c r="R168" s="2491"/>
    </row>
    <row r="169" spans="2:18" s="798" customFormat="1">
      <c r="B169" s="2489"/>
      <c r="C169" s="2489"/>
      <c r="D169" s="2489"/>
      <c r="E169" s="2489"/>
      <c r="F169" s="2489"/>
      <c r="G169" s="2490"/>
      <c r="H169" s="2489"/>
      <c r="I169" s="2490"/>
      <c r="J169" s="2489"/>
      <c r="K169" s="2489"/>
      <c r="L169" s="2490"/>
      <c r="M169" s="2489"/>
      <c r="N169" s="2489"/>
      <c r="O169" s="2490"/>
      <c r="P169" s="2489"/>
      <c r="Q169" s="2489"/>
      <c r="R169" s="2491"/>
    </row>
    <row r="170" spans="2:18" s="798" customFormat="1">
      <c r="B170" s="2489"/>
      <c r="C170" s="2489"/>
      <c r="D170" s="2489"/>
      <c r="E170" s="2489"/>
      <c r="F170" s="2489"/>
      <c r="G170" s="2490"/>
      <c r="H170" s="2489"/>
      <c r="I170" s="2490"/>
      <c r="J170" s="2489"/>
      <c r="K170" s="2489"/>
      <c r="L170" s="2490"/>
      <c r="M170" s="2489"/>
      <c r="N170" s="2489"/>
      <c r="O170" s="2490"/>
      <c r="P170" s="2489"/>
      <c r="Q170" s="2489"/>
      <c r="R170" s="2491"/>
    </row>
    <row r="171" spans="2:18" s="798" customFormat="1">
      <c r="B171" s="2489"/>
      <c r="C171" s="2489"/>
      <c r="D171" s="2489"/>
      <c r="E171" s="2489"/>
      <c r="F171" s="2489"/>
      <c r="G171" s="2490"/>
      <c r="H171" s="2489"/>
      <c r="I171" s="2490"/>
      <c r="J171" s="2489"/>
      <c r="K171" s="2489"/>
      <c r="L171" s="2490"/>
      <c r="M171" s="2489"/>
      <c r="N171" s="2489"/>
      <c r="O171" s="2490"/>
      <c r="P171" s="2489"/>
      <c r="Q171" s="2489"/>
      <c r="R171" s="2491"/>
    </row>
    <row r="172" spans="2:18" s="798" customFormat="1">
      <c r="B172" s="2489"/>
      <c r="C172" s="2489"/>
      <c r="D172" s="2489"/>
      <c r="E172" s="2489"/>
      <c r="F172" s="2489"/>
      <c r="G172" s="2490"/>
      <c r="H172" s="2489"/>
      <c r="I172" s="2490"/>
      <c r="J172" s="2489"/>
      <c r="K172" s="2489"/>
      <c r="L172" s="2490"/>
      <c r="M172" s="2489"/>
      <c r="N172" s="2489"/>
      <c r="O172" s="2490"/>
      <c r="P172" s="2489"/>
      <c r="Q172" s="2489"/>
      <c r="R172" s="2491"/>
    </row>
    <row r="173" spans="2:18" s="798" customFormat="1">
      <c r="B173" s="2489"/>
      <c r="C173" s="2489"/>
      <c r="D173" s="2489"/>
      <c r="E173" s="2489"/>
      <c r="F173" s="2489"/>
      <c r="G173" s="2490"/>
      <c r="H173" s="2489"/>
      <c r="I173" s="2490"/>
      <c r="J173" s="2489"/>
      <c r="K173" s="2489"/>
      <c r="L173" s="2490"/>
      <c r="M173" s="2489"/>
      <c r="N173" s="2489"/>
      <c r="O173" s="2490"/>
      <c r="P173" s="2489"/>
      <c r="Q173" s="2489"/>
      <c r="R173" s="2491"/>
    </row>
    <row r="174" spans="2:18" s="798" customFormat="1">
      <c r="B174" s="2489"/>
      <c r="C174" s="2489"/>
      <c r="D174" s="2489"/>
      <c r="E174" s="2489"/>
      <c r="F174" s="2489"/>
      <c r="G174" s="2490"/>
      <c r="H174" s="2489"/>
      <c r="I174" s="2490"/>
      <c r="J174" s="2489"/>
      <c r="K174" s="2489"/>
      <c r="L174" s="2490"/>
      <c r="M174" s="2489"/>
      <c r="N174" s="2489"/>
      <c r="O174" s="2490"/>
      <c r="P174" s="2489"/>
      <c r="Q174" s="2489"/>
      <c r="R174" s="2491"/>
    </row>
    <row r="175" spans="2:18" s="798" customFormat="1">
      <c r="B175" s="2489"/>
      <c r="C175" s="2489"/>
      <c r="D175" s="2489"/>
      <c r="E175" s="2489"/>
      <c r="F175" s="2489"/>
      <c r="G175" s="2490"/>
      <c r="H175" s="2489"/>
      <c r="I175" s="2490"/>
      <c r="J175" s="2489"/>
      <c r="K175" s="2489"/>
      <c r="L175" s="2490"/>
      <c r="M175" s="2489"/>
      <c r="N175" s="2489"/>
      <c r="O175" s="2490"/>
      <c r="P175" s="2489"/>
      <c r="Q175" s="2489"/>
      <c r="R175" s="2491"/>
    </row>
    <row r="176" spans="2:18" s="798" customFormat="1">
      <c r="B176" s="2489"/>
      <c r="C176" s="2489"/>
      <c r="D176" s="2489"/>
      <c r="E176" s="2489"/>
      <c r="F176" s="2489"/>
      <c r="G176" s="2490"/>
      <c r="H176" s="2489"/>
      <c r="I176" s="2490"/>
      <c r="J176" s="2489"/>
      <c r="K176" s="2489"/>
      <c r="L176" s="2490"/>
      <c r="M176" s="2489"/>
      <c r="N176" s="2489"/>
      <c r="O176" s="2490"/>
      <c r="P176" s="2489"/>
      <c r="Q176" s="2489"/>
      <c r="R176" s="2491"/>
    </row>
    <row r="177" spans="1:18" s="798" customFormat="1">
      <c r="B177" s="2489"/>
      <c r="C177" s="2489"/>
      <c r="D177" s="2489"/>
      <c r="E177" s="2489"/>
      <c r="F177" s="2489"/>
      <c r="G177" s="2490"/>
      <c r="H177" s="2489"/>
      <c r="I177" s="2490"/>
      <c r="J177" s="2489"/>
      <c r="K177" s="2489"/>
      <c r="L177" s="2490"/>
      <c r="M177" s="2489"/>
      <c r="N177" s="2489"/>
      <c r="O177" s="2490"/>
      <c r="P177" s="2489"/>
      <c r="Q177" s="2489"/>
      <c r="R177" s="2491"/>
    </row>
    <row r="178" spans="1:18" s="798" customFormat="1">
      <c r="B178" s="2489"/>
      <c r="C178" s="2489"/>
      <c r="D178" s="2489"/>
      <c r="E178" s="2489"/>
      <c r="F178" s="2489"/>
      <c r="G178" s="2490"/>
      <c r="H178" s="2489"/>
      <c r="I178" s="2490"/>
      <c r="J178" s="2489"/>
      <c r="K178" s="2489"/>
      <c r="L178" s="2490"/>
      <c r="M178" s="2489"/>
      <c r="N178" s="2489"/>
      <c r="O178" s="2490"/>
      <c r="P178" s="2489"/>
      <c r="Q178" s="2489"/>
      <c r="R178" s="2491"/>
    </row>
    <row r="179" spans="1:18" s="798" customFormat="1">
      <c r="B179" s="2489"/>
      <c r="C179" s="2489"/>
      <c r="D179" s="2489"/>
      <c r="E179" s="2489"/>
      <c r="F179" s="2489"/>
      <c r="G179" s="2490"/>
      <c r="H179" s="2489"/>
      <c r="I179" s="2490"/>
      <c r="J179" s="2489"/>
      <c r="K179" s="2489"/>
      <c r="L179" s="2490"/>
      <c r="M179" s="2489"/>
      <c r="N179" s="2489"/>
      <c r="O179" s="2490"/>
      <c r="P179" s="2489"/>
      <c r="Q179" s="2489"/>
      <c r="R179" s="2491"/>
    </row>
    <row r="180" spans="1:18" s="798" customFormat="1">
      <c r="B180" s="2489"/>
      <c r="C180" s="2489"/>
      <c r="D180" s="2489"/>
      <c r="E180" s="2489"/>
      <c r="F180" s="2489"/>
      <c r="G180" s="2490"/>
      <c r="H180" s="2489"/>
      <c r="I180" s="2490"/>
      <c r="J180" s="2489"/>
      <c r="K180" s="2489"/>
      <c r="L180" s="2490"/>
      <c r="M180" s="2489"/>
      <c r="N180" s="2489"/>
      <c r="O180" s="2490"/>
      <c r="P180" s="2489"/>
      <c r="Q180" s="2489"/>
      <c r="R180" s="2491"/>
    </row>
    <row r="181" spans="1:18" s="798" customFormat="1">
      <c r="B181" s="2489"/>
      <c r="C181" s="2489"/>
      <c r="D181" s="2489"/>
      <c r="E181" s="2489"/>
      <c r="F181" s="2489"/>
      <c r="G181" s="2490"/>
      <c r="H181" s="2489"/>
      <c r="I181" s="2490"/>
      <c r="J181" s="2489"/>
      <c r="K181" s="2489"/>
      <c r="L181" s="2490"/>
      <c r="M181" s="2489"/>
      <c r="N181" s="2489"/>
      <c r="O181" s="2490"/>
      <c r="P181" s="2489"/>
      <c r="Q181" s="2489"/>
      <c r="R181" s="2491"/>
    </row>
    <row r="182" spans="1:18" s="798" customFormat="1">
      <c r="B182" s="2489"/>
      <c r="C182" s="2489"/>
      <c r="D182" s="2489"/>
      <c r="E182" s="2489"/>
      <c r="F182" s="2489"/>
      <c r="G182" s="2490"/>
      <c r="H182" s="2489"/>
      <c r="I182" s="2490"/>
      <c r="J182" s="2489"/>
      <c r="K182" s="2489"/>
      <c r="L182" s="2490"/>
      <c r="M182" s="2489"/>
      <c r="N182" s="2489"/>
      <c r="O182" s="2490"/>
      <c r="P182" s="2489"/>
      <c r="Q182" s="2489"/>
      <c r="R182" s="2491"/>
    </row>
    <row r="183" spans="1:18" s="798" customFormat="1">
      <c r="B183" s="2489"/>
      <c r="C183" s="2489"/>
      <c r="D183" s="2489"/>
      <c r="E183" s="2489"/>
      <c r="F183" s="2489"/>
      <c r="G183" s="2490"/>
      <c r="H183" s="2489"/>
      <c r="I183" s="2490"/>
      <c r="J183" s="2489"/>
      <c r="K183" s="2489"/>
      <c r="L183" s="2490"/>
      <c r="M183" s="2489"/>
      <c r="N183" s="2489"/>
      <c r="O183" s="2490"/>
      <c r="P183" s="2489"/>
      <c r="Q183" s="2489"/>
      <c r="R183" s="2491"/>
    </row>
    <row r="184" spans="1:18" s="798" customFormat="1">
      <c r="B184" s="2489"/>
      <c r="C184" s="2489"/>
      <c r="D184" s="2489"/>
      <c r="E184" s="2489"/>
      <c r="F184" s="2489"/>
      <c r="G184" s="2490"/>
      <c r="H184" s="2489"/>
      <c r="I184" s="2490"/>
      <c r="J184" s="2489"/>
      <c r="K184" s="2489"/>
      <c r="L184" s="2490"/>
      <c r="M184" s="2489"/>
      <c r="N184" s="2489"/>
      <c r="O184" s="2490"/>
      <c r="P184" s="2489"/>
      <c r="Q184" s="2489"/>
      <c r="R184" s="2491"/>
    </row>
    <row r="185" spans="1:18" s="798"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8"/>
      <c r="B186" s="2489"/>
      <c r="C186" s="2489"/>
      <c r="E186" s="2489"/>
      <c r="F186" s="2489"/>
      <c r="G186" s="2490"/>
    </row>
    <row r="187" spans="1:18">
      <c r="A187" s="798"/>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H25" sqref="H2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314.25</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45435</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923</v>
      </c>
      <c r="C5" s="2510">
        <f ca="1">IF(B5=D14,结果表!H102,ROUND(B5*10000/$B$1,0))</f>
        <v>29365</v>
      </c>
      <c r="D5" s="2510" t="e">
        <f ca="1">ROUND(B5*10000/$B$2,0)</f>
        <v>#DIV/0!</v>
      </c>
      <c r="E5" s="2684"/>
      <c r="F5" s="2685"/>
      <c r="G5" s="2685"/>
      <c r="H5" s="2686"/>
      <c r="I5" s="2686"/>
      <c r="J5" s="2686"/>
      <c r="K5" s="2686"/>
    </row>
    <row r="6" spans="1:11" ht="16.5">
      <c r="A6" s="2510" t="s">
        <v>656</v>
      </c>
      <c r="B6" s="2510">
        <f ca="1">SUM(G14:G23)</f>
        <v>923</v>
      </c>
      <c r="C6" s="2510">
        <f ca="1">IF(B6=G14,结果表!H108,ROUND(B6*10000/$B$1,0))</f>
        <v>29365</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 ca="1">SUM(I14:I23)</f>
        <v>351</v>
      </c>
      <c r="C8" s="2510">
        <f ca="1">IF(B8=I14,结果表!H112,ROUND(B8*10000/$B$1,0))</f>
        <v>11169</v>
      </c>
      <c r="D8" s="2510" t="e">
        <f ca="1">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8"/>
      <c r="F10" s="3442" t="s">
        <v>3361</v>
      </c>
      <c r="G10" s="3439"/>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314.25</v>
      </c>
      <c r="C14" s="2516"/>
      <c r="D14" s="2516">
        <f ca="1">结果表!H118</f>
        <v>923</v>
      </c>
      <c r="E14" s="2516">
        <f ca="1">ROUND(D14*10000/B14,0)</f>
        <v>29372</v>
      </c>
      <c r="F14" s="2516" t="e">
        <f ca="1">ROUND(D14*10000/C14,0)</f>
        <v>#DIV/0!</v>
      </c>
      <c r="G14" s="2516">
        <f ca="1">D14</f>
        <v>923</v>
      </c>
      <c r="H14" s="2516"/>
      <c r="I14" s="2516">
        <f ca="1">结果表!H111</f>
        <v>351</v>
      </c>
      <c r="J14" s="2685"/>
      <c r="K14" s="2686"/>
    </row>
    <row r="15" spans="1:11" ht="16.5">
      <c r="A15" s="2515" t="s">
        <v>649</v>
      </c>
      <c r="B15" s="2517"/>
      <c r="C15" s="2517"/>
      <c r="D15" s="2517"/>
      <c r="E15" s="2516" t="e">
        <f t="shared" ref="E15:E23" si="0">ROUND(D15*10000/B15,0)</f>
        <v>#DIV/0!</v>
      </c>
      <c r="F15" s="2516" t="e">
        <f t="shared" ref="F15:F23" si="1">ROUND(D15*10000/C15,0)</f>
        <v>#DIV/0!</v>
      </c>
      <c r="G15" s="1330"/>
      <c r="H15" s="1330"/>
      <c r="I15" s="2517"/>
      <c r="J15" s="2685"/>
      <c r="K15" s="2686"/>
    </row>
    <row r="16" spans="1:11" ht="16.5">
      <c r="A16" s="2515" t="s">
        <v>648</v>
      </c>
      <c r="B16" s="2517"/>
      <c r="C16" s="2517"/>
      <c r="D16" s="2517"/>
      <c r="E16" s="2516" t="e">
        <f t="shared" si="0"/>
        <v>#DIV/0!</v>
      </c>
      <c r="F16" s="2516" t="e">
        <f t="shared" si="1"/>
        <v>#DIV/0!</v>
      </c>
      <c r="G16" s="1330"/>
      <c r="H16" s="1330"/>
      <c r="I16" s="2517"/>
      <c r="J16" s="2686"/>
      <c r="K16" s="2686"/>
    </row>
    <row r="17" spans="1:11" ht="16.5">
      <c r="A17" s="2515" t="s">
        <v>647</v>
      </c>
      <c r="B17" s="2517"/>
      <c r="C17" s="2517"/>
      <c r="D17" s="2517"/>
      <c r="E17" s="2516" t="e">
        <f t="shared" si="0"/>
        <v>#DIV/0!</v>
      </c>
      <c r="F17" s="2516" t="e">
        <f t="shared" si="1"/>
        <v>#DIV/0!</v>
      </c>
      <c r="G17" s="1330"/>
      <c r="H17" s="1330"/>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J41" sqref="J41"/>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592" t="str">
        <f>项目基本情况!S2</f>
        <v>北京市房地产</v>
      </c>
      <c r="B2" s="3593"/>
      <c r="C2" s="3593"/>
      <c r="D2" s="3593"/>
      <c r="E2" s="3593"/>
      <c r="F2" s="3593"/>
      <c r="G2" s="3593"/>
      <c r="H2" s="3593"/>
      <c r="I2" s="3594"/>
    </row>
    <row r="3" spans="1:12" ht="12.75">
      <c r="A3" s="3596" t="s">
        <v>1264</v>
      </c>
      <c r="B3" s="3597"/>
      <c r="C3" s="3597"/>
      <c r="D3" s="3597"/>
      <c r="E3" s="3597"/>
      <c r="F3" s="3597"/>
      <c r="G3" s="3597"/>
      <c r="H3" s="3597"/>
      <c r="I3" s="3597"/>
    </row>
    <row r="4" spans="1:12" ht="14.25">
      <c r="A4" s="1753" t="s">
        <v>1265</v>
      </c>
      <c r="B4" s="1754" t="s">
        <v>1266</v>
      </c>
      <c r="C4" s="1755" t="s">
        <v>3470</v>
      </c>
      <c r="D4" s="1755" t="s">
        <v>3480</v>
      </c>
      <c r="E4" s="3601" t="s">
        <v>1267</v>
      </c>
      <c r="F4" s="3602"/>
      <c r="G4" s="3602"/>
      <c r="H4" s="3602"/>
      <c r="I4" s="360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559">
        <v>25</v>
      </c>
      <c r="C5" s="3598"/>
      <c r="D5" s="3595"/>
      <c r="E5" s="131" t="s">
        <v>1269</v>
      </c>
      <c r="F5" s="1756"/>
      <c r="G5" s="1756"/>
      <c r="H5" s="1756"/>
      <c r="I5" s="1372"/>
    </row>
    <row r="6" spans="1:12" ht="12.75">
      <c r="A6" s="3572"/>
      <c r="B6" s="3559"/>
      <c r="C6" s="3600"/>
      <c r="D6" s="3595"/>
      <c r="E6" s="131" t="s">
        <v>1270</v>
      </c>
      <c r="F6" s="1756"/>
      <c r="G6" s="1756"/>
      <c r="H6" s="1756"/>
      <c r="I6" s="1372"/>
    </row>
    <row r="7" spans="1:12" ht="12.75">
      <c r="A7" s="3572"/>
      <c r="B7" s="3559"/>
      <c r="C7" s="3599"/>
      <c r="D7" s="3595"/>
      <c r="E7" s="131" t="s">
        <v>1271</v>
      </c>
      <c r="F7" s="1756"/>
      <c r="G7" s="1756"/>
      <c r="H7" s="1756"/>
      <c r="I7" s="1372"/>
    </row>
    <row r="8" spans="1:12" ht="12.75">
      <c r="A8" s="3572" t="s">
        <v>1272</v>
      </c>
      <c r="B8" s="3559">
        <v>15</v>
      </c>
      <c r="C8" s="3598"/>
      <c r="D8" s="3595"/>
      <c r="E8" s="131" t="s">
        <v>1273</v>
      </c>
      <c r="F8" s="1756"/>
      <c r="G8" s="1756"/>
      <c r="H8" s="1756"/>
      <c r="I8" s="1372"/>
    </row>
    <row r="9" spans="1:12" ht="12.75">
      <c r="A9" s="3572"/>
      <c r="B9" s="3559"/>
      <c r="C9" s="3599"/>
      <c r="D9" s="3595"/>
      <c r="E9" s="131" t="s">
        <v>1274</v>
      </c>
      <c r="F9" s="1756"/>
      <c r="G9" s="1756"/>
      <c r="H9" s="1756"/>
      <c r="I9" s="1372"/>
    </row>
    <row r="10" spans="1:12" ht="12.75">
      <c r="A10" s="3572" t="s">
        <v>1275</v>
      </c>
      <c r="B10" s="3559">
        <v>15</v>
      </c>
      <c r="C10" s="3598"/>
      <c r="D10" s="3595"/>
      <c r="E10" s="131" t="s">
        <v>1276</v>
      </c>
      <c r="F10" s="1756"/>
      <c r="G10" s="1756"/>
      <c r="H10" s="1756"/>
      <c r="I10" s="1372"/>
    </row>
    <row r="11" spans="1:12" ht="12.75">
      <c r="A11" s="3572"/>
      <c r="B11" s="3559"/>
      <c r="C11" s="3599"/>
      <c r="D11" s="3595"/>
      <c r="E11" s="131" t="s">
        <v>1277</v>
      </c>
      <c r="F11" s="1756"/>
      <c r="G11" s="1756"/>
      <c r="H11" s="1756"/>
      <c r="I11" s="1372"/>
    </row>
    <row r="12" spans="1:12" ht="12.75">
      <c r="A12" s="3572" t="s">
        <v>1278</v>
      </c>
      <c r="B12" s="3559">
        <v>15</v>
      </c>
      <c r="C12" s="3598"/>
      <c r="D12" s="3595"/>
      <c r="E12" s="131" t="s">
        <v>1279</v>
      </c>
      <c r="F12" s="1756"/>
      <c r="G12" s="1756"/>
      <c r="H12" s="1756"/>
      <c r="I12" s="1372"/>
    </row>
    <row r="13" spans="1:12" ht="12.75">
      <c r="A13" s="3572"/>
      <c r="B13" s="3559"/>
      <c r="C13" s="3599"/>
      <c r="D13" s="3595"/>
      <c r="E13" s="131" t="s">
        <v>1280</v>
      </c>
      <c r="F13" s="1756"/>
      <c r="G13" s="1756"/>
      <c r="H13" s="1756"/>
      <c r="I13" s="1372"/>
    </row>
    <row r="14" spans="1:12" ht="12.75">
      <c r="A14" s="3572" t="s">
        <v>1281</v>
      </c>
      <c r="B14" s="3559">
        <v>30</v>
      </c>
      <c r="C14" s="3575">
        <v>55</v>
      </c>
      <c r="D14" s="3622">
        <v>45</v>
      </c>
      <c r="E14" s="131" t="s">
        <v>1282</v>
      </c>
      <c r="F14" s="1756"/>
      <c r="G14" s="1756"/>
      <c r="H14" s="1756"/>
      <c r="I14" s="1372"/>
    </row>
    <row r="15" spans="1:12" ht="12.75">
      <c r="A15" s="3572"/>
      <c r="B15" s="3559"/>
      <c r="C15" s="3576"/>
      <c r="D15" s="3622"/>
      <c r="E15" s="131" t="s">
        <v>1283</v>
      </c>
      <c r="F15" s="1756"/>
      <c r="G15" s="1756"/>
      <c r="H15" s="1756"/>
      <c r="I15" s="1372"/>
    </row>
    <row r="16" spans="1:12" ht="12.75">
      <c r="A16" s="3572"/>
      <c r="B16" s="3559"/>
      <c r="C16" s="3577"/>
      <c r="D16" s="3622"/>
      <c r="E16" s="131" t="s">
        <v>1284</v>
      </c>
      <c r="F16" s="1756"/>
      <c r="G16" s="1756"/>
      <c r="H16" s="1756"/>
      <c r="I16" s="1372"/>
    </row>
    <row r="17" spans="1:36" ht="15">
      <c r="A17" s="1757" t="s">
        <v>1285</v>
      </c>
      <c r="B17" s="56"/>
      <c r="C17" s="132">
        <f>SUM(C5:C16)</f>
        <v>55</v>
      </c>
      <c r="D17" s="132">
        <f>SUM(D5:D16)</f>
        <v>45</v>
      </c>
      <c r="E17" s="129"/>
      <c r="F17" s="129"/>
      <c r="G17" s="129"/>
      <c r="H17" s="129"/>
      <c r="I17" s="129"/>
      <c r="K17" s="302"/>
      <c r="L17" s="302" t="s">
        <v>1286</v>
      </c>
      <c r="M17" s="302" t="s">
        <v>1287</v>
      </c>
    </row>
    <row r="18" spans="1:36" ht="31.9" customHeight="1" thickBot="1">
      <c r="A18" s="1758" t="s">
        <v>1288</v>
      </c>
      <c r="B18" s="1759"/>
      <c r="C18" s="133">
        <f>ROUND(C17/SUM(C17:D17),2)</f>
        <v>0.55000000000000004</v>
      </c>
      <c r="D18" s="133">
        <f>1-C18</f>
        <v>0.44999999999999996</v>
      </c>
      <c r="E18" s="3582" t="s">
        <v>2131</v>
      </c>
      <c r="F18" s="3583"/>
      <c r="G18" s="3583"/>
      <c r="H18" s="3583"/>
      <c r="I18" s="3583"/>
      <c r="K18" s="302" t="s">
        <v>1289</v>
      </c>
      <c r="L18" s="302">
        <f>IF(C1="",'数据-汇总表'!E3,SUMIF(项目类型,C1,'数据-汇总表'!E17:E26)+SUMIF(项目类型,C1,'数据-汇总表'!I17:I26))</f>
        <v>314.25</v>
      </c>
      <c r="M18" s="302">
        <f>IF(C1="",'数据-汇总表'!E3,SUMIF(项目类型,C1,'数据-汇总表'!E17:E26))</f>
        <v>314.25</v>
      </c>
    </row>
    <row r="19" spans="1:36" ht="15">
      <c r="A19" s="1760" t="s">
        <v>1290</v>
      </c>
      <c r="B19" s="1761" t="s">
        <v>1291</v>
      </c>
      <c r="C19" s="134">
        <f ca="1">SUMIF(INDIRECT("'"&amp;C4&amp;"'"&amp;"!A:A"),结果表!B19,INDIRECT("'"&amp;C4&amp;"'"&amp;"!B:B"))</f>
        <v>1122.2496000000001</v>
      </c>
      <c r="D19" s="135">
        <f ca="1">SUMIF(INDIRECT("'"&amp;D4&amp;"'"&amp;"!A:A"),结果表!B19,INDIRECT("'"&amp;D4&amp;"'"&amp;"!B:B"))</f>
        <v>679.02210000000002</v>
      </c>
      <c r="E19" s="1760" t="s">
        <v>1292</v>
      </c>
      <c r="F19" s="1761" t="s">
        <v>1291</v>
      </c>
      <c r="G19" s="136">
        <f ca="1">ROUND(C19*$C$18+D19*$D$18,0)</f>
        <v>923</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5" t="s">
        <v>1295</v>
      </c>
      <c r="C20" s="137">
        <f ca="1">SUMIF(INDIRECT("'"&amp;C4&amp;"'"&amp;"!A:A"),结果表!B20,INDIRECT("'"&amp;C4&amp;"'"&amp;"!B:B"))</f>
        <v>35712</v>
      </c>
      <c r="D20" s="138">
        <f ca="1">SUMIF(INDIRECT("'"&amp;D4&amp;"'"&amp;"!A:A"),结果表!B20,INDIRECT("'"&amp;D4&amp;"'"&amp;"!B:B"))</f>
        <v>21608</v>
      </c>
      <c r="E20" s="1763"/>
      <c r="F20" s="1025" t="s">
        <v>1295</v>
      </c>
      <c r="G20" s="139">
        <f ca="1">ROUND(C20*$C$18+D20*$D$18,0)</f>
        <v>29365</v>
      </c>
      <c r="H20" s="807" t="s">
        <v>1296</v>
      </c>
      <c r="I20" s="129"/>
    </row>
    <row r="21" spans="1:36" ht="15" customHeight="1" thickBot="1">
      <c r="A21" s="827"/>
      <c r="B21" s="1764" t="s">
        <v>1297</v>
      </c>
      <c r="C21" s="718" t="e">
        <f ca="1">ROUND(C19*10000/L19,0)</f>
        <v>#DIV/0!</v>
      </c>
      <c r="D21" s="719" t="e">
        <f ca="1">ROUND(D19*10000/L19,0)</f>
        <v>#DIV/0!</v>
      </c>
      <c r="E21" s="827"/>
      <c r="F21" s="1764" t="s">
        <v>1297</v>
      </c>
      <c r="G21" s="140" t="e">
        <f ca="1">ROUND(G19*10000/L19,0)</f>
        <v>#DIV/0!</v>
      </c>
      <c r="H21" s="1765" t="s">
        <v>1296</v>
      </c>
      <c r="I21" s="129"/>
    </row>
    <row r="22" spans="1:36" ht="15" thickBot="1">
      <c r="A22" s="1687" t="s">
        <v>1298</v>
      </c>
      <c r="B22" s="1766"/>
      <c r="C22" s="1767"/>
      <c r="D22" s="720">
        <f ca="1">IF(C19&lt;D19,D19/C19-1,C19/D19-1)</f>
        <v>0.65274385031061599</v>
      </c>
      <c r="E22" s="129"/>
      <c r="F22" s="129"/>
      <c r="G22" s="129"/>
      <c r="H22" s="129"/>
      <c r="I22" s="129"/>
    </row>
    <row r="23" spans="1:36" ht="13.5" thickBot="1">
      <c r="A23" s="1746"/>
      <c r="B23" s="1746"/>
      <c r="C23" s="1746"/>
      <c r="D23" s="1746"/>
      <c r="E23" s="129"/>
      <c r="F23" s="129"/>
      <c r="G23" s="129"/>
      <c r="H23" s="129"/>
      <c r="I23" s="129"/>
    </row>
    <row r="24" spans="1:36" ht="14.25">
      <c r="A24" s="3566" t="s">
        <v>1299</v>
      </c>
      <c r="B24" s="1761" t="s">
        <v>1291</v>
      </c>
      <c r="C24" s="136">
        <f>IF(B30=0,0,D30)</f>
        <v>0</v>
      </c>
      <c r="D24" s="1768"/>
      <c r="E24" s="129"/>
      <c r="F24" s="129"/>
      <c r="G24" s="129"/>
      <c r="H24" s="129"/>
      <c r="I24" s="129"/>
    </row>
    <row r="25" spans="1:36" ht="14.25">
      <c r="A25" s="3567"/>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f ca="1">G19/'数据-汇总表'!F31</f>
        <v>4.2409483550817866</v>
      </c>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7"/>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29365</v>
      </c>
      <c r="D32" s="1774" t="s">
        <v>3481</v>
      </c>
      <c r="E32" s="129"/>
      <c r="F32" s="129"/>
      <c r="G32" s="129"/>
      <c r="H32" s="129"/>
      <c r="I32" s="129"/>
    </row>
    <row r="33" spans="1:15" ht="15">
      <c r="A33" s="785" t="s">
        <v>1306</v>
      </c>
      <c r="B33" s="1775"/>
      <c r="C33" s="1776" t="s">
        <v>3479</v>
      </c>
      <c r="D33" s="1777" t="s">
        <v>3480</v>
      </c>
      <c r="E33" s="1778" t="s">
        <v>1307</v>
      </c>
      <c r="F33" s="1779" t="str">
        <f>IF(D32="楼面单价","取值（单价）","取值（总价）")</f>
        <v>取值（单价）</v>
      </c>
      <c r="G33" s="129"/>
      <c r="H33" s="129"/>
      <c r="I33" s="129"/>
    </row>
    <row r="34" spans="1:15" ht="15">
      <c r="A34" s="1780"/>
      <c r="B34" s="1781" t="s">
        <v>1308</v>
      </c>
      <c r="C34" s="148">
        <f ca="1">IF(C33="自定义",F34,C32-C35)</f>
        <v>24813</v>
      </c>
      <c r="D34" s="860">
        <f ca="1">IF(C33="自定义",ROUND(C34/C32,3),IF(C33="收益比率",SUMIF(INDIRECT("'"&amp;D33&amp;"'"&amp;"!b:b"),"土地收益比率",INDIRECT("'"&amp;D33&amp;"'"&amp;"!c:c")),SUMIF(INDIRECT("'"&amp;D33&amp;"'"&amp;"!b:b"),"土地成本比率",INDIRECT("'"&amp;D33&amp;"'"&amp;"!c:c"))))</f>
        <v>0.84499999999999997</v>
      </c>
      <c r="E34" s="1782" t="s">
        <v>1309</v>
      </c>
      <c r="F34" s="1329">
        <f ca="1">G19-F35</f>
        <v>801</v>
      </c>
      <c r="G34" s="129"/>
      <c r="H34" s="129"/>
      <c r="I34" s="129"/>
      <c r="J34" s="724">
        <f ca="1">F34*10000/L18</f>
        <v>25489.260143198091</v>
      </c>
    </row>
    <row r="35" spans="1:15" ht="15.75" thickBot="1">
      <c r="A35" s="1783"/>
      <c r="B35" s="1784" t="s">
        <v>1310</v>
      </c>
      <c r="C35" s="1169">
        <f ca="1">IF(C33="自定义",F35,ROUND(C32*D35,0))</f>
        <v>4552</v>
      </c>
      <c r="D35" s="1170">
        <f ca="1">IF(C33="自定义",ROUND(C35/C32,3),IF(C33="收益比率",SUMIF(INDIRECT("'"&amp;D33&amp;"'"&amp;"!b:b"),"建筑物收益比率",INDIRECT("'"&amp;D33&amp;"'"&amp;"!c:c")),SUMIF(INDIRECT("'"&amp;D33&amp;"'"&amp;"!b:b"),"建筑物成本比率",INDIRECT("'"&amp;D33&amp;"'"&amp;"!c:c"))))</f>
        <v>0.155</v>
      </c>
      <c r="E35" s="1785" t="s">
        <v>1311</v>
      </c>
      <c r="F35" s="154">
        <f ca="1">成本法!C51</f>
        <v>122</v>
      </c>
      <c r="G35" s="129"/>
      <c r="H35" s="129"/>
      <c r="I35" s="129"/>
      <c r="J35" s="724">
        <f ca="1">F35*10000/L18</f>
        <v>3882.2593476531424</v>
      </c>
    </row>
    <row r="36" spans="1:15" ht="15.75" thickBot="1">
      <c r="A36" s="3586" t="s">
        <v>1312</v>
      </c>
      <c r="B36" s="1786" t="s">
        <v>1313</v>
      </c>
      <c r="C36" s="145"/>
      <c r="D36" s="1787"/>
      <c r="E36" s="1788"/>
      <c r="F36" s="1789"/>
      <c r="G36" s="129"/>
      <c r="H36" s="129"/>
      <c r="I36" s="129"/>
    </row>
    <row r="37" spans="1:15" ht="15.75" thickBot="1">
      <c r="A37" s="3587"/>
      <c r="B37" s="1673" t="s">
        <v>1314</v>
      </c>
      <c r="C37" s="147"/>
      <c r="D37" s="1138"/>
      <c r="E37" s="1138"/>
      <c r="F37" s="1789"/>
      <c r="G37" s="129"/>
      <c r="H37" s="129"/>
      <c r="I37" s="129"/>
    </row>
    <row r="38" spans="1:15" ht="15.75" thickBot="1">
      <c r="A38" s="3588"/>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563" t="s">
        <v>1326</v>
      </c>
      <c r="B45" s="3564"/>
      <c r="C45" s="3565"/>
      <c r="D45" s="155">
        <f ca="1">ROUND(H101*F45,0)</f>
        <v>923</v>
      </c>
      <c r="E45" s="156" t="s">
        <v>1327</v>
      </c>
      <c r="F45" s="157">
        <v>1</v>
      </c>
      <c r="G45" s="158" t="s">
        <v>1328</v>
      </c>
      <c r="H45" s="129"/>
      <c r="I45" s="129"/>
      <c r="J45" s="3645" t="s">
        <v>1329</v>
      </c>
      <c r="K45" s="3645"/>
      <c r="L45" s="3645"/>
      <c r="M45" s="3645"/>
      <c r="N45" s="3645"/>
      <c r="O45" s="3645"/>
    </row>
    <row r="46" spans="1:15" ht="14.25" customHeight="1">
      <c r="A46" s="3560" t="s">
        <v>1330</v>
      </c>
      <c r="B46" s="3561"/>
      <c r="C46" s="3561"/>
      <c r="D46" s="3561"/>
      <c r="E46" s="3561"/>
      <c r="F46" s="3561"/>
      <c r="G46" s="3562"/>
      <c r="H46" s="1805"/>
      <c r="I46" s="159"/>
      <c r="J46" s="2521">
        <v>1</v>
      </c>
      <c r="K46" s="3626" t="s">
        <v>1331</v>
      </c>
      <c r="L46" s="3626"/>
      <c r="M46" s="3646"/>
      <c r="N46" s="3646"/>
      <c r="O46" s="3646"/>
    </row>
    <row r="47" spans="1:15" ht="12" customHeight="1">
      <c r="A47" s="160" t="s">
        <v>1332</v>
      </c>
      <c r="B47" s="161"/>
      <c r="C47" s="162"/>
      <c r="D47" s="1086" t="s">
        <v>1333</v>
      </c>
      <c r="E47" s="302" t="s">
        <v>1334</v>
      </c>
      <c r="F47" s="163" t="s">
        <v>1335</v>
      </c>
      <c r="G47" s="2544" t="s">
        <v>1336</v>
      </c>
      <c r="H47" s="2545"/>
      <c r="I47" s="159"/>
      <c r="J47" s="2521">
        <v>2</v>
      </c>
      <c r="K47" s="3626" t="s">
        <v>1337</v>
      </c>
      <c r="L47" s="3626"/>
      <c r="M47" s="3647">
        <f>'数据-取费表'!B2</f>
        <v>45435</v>
      </c>
      <c r="N47" s="3647"/>
      <c r="O47" s="3647"/>
    </row>
    <row r="48" spans="1:15" ht="25.5">
      <c r="A48" s="3591" t="s">
        <v>1338</v>
      </c>
      <c r="B48" s="3574"/>
      <c r="C48" s="3574"/>
      <c r="D48" s="2323">
        <f ca="1">IF(H48="情况1",0,IF(H48="情况2",D52,IF(H48="情况3",D53,IF(H48="情况4",D54))))</f>
        <v>49</v>
      </c>
      <c r="E48" s="2333" t="str">
        <f>IF(H48="情况4","(销售额-原购置价)×税（费）率","销售额×税（费）率")</f>
        <v>销售额×税（费）率</v>
      </c>
      <c r="F48" s="2546">
        <f>IF(H48="情况1","免征",'数据-取费表'!B41)</f>
        <v>5.6000000000000001E-2</v>
      </c>
      <c r="G48" s="2547" t="s">
        <v>1339</v>
      </c>
      <c r="H48" s="2548" t="s">
        <v>3449</v>
      </c>
      <c r="I48" s="1805"/>
      <c r="J48" s="2521">
        <v>3</v>
      </c>
      <c r="K48" s="3626" t="s">
        <v>1340</v>
      </c>
      <c r="L48" s="3626"/>
      <c r="M48" s="3648">
        <f ca="1">H101</f>
        <v>923</v>
      </c>
      <c r="N48" s="3648"/>
      <c r="O48" s="3648"/>
    </row>
    <row r="49" spans="1:35" ht="25.5" customHeight="1">
      <c r="A49" s="2332" t="s">
        <v>1341</v>
      </c>
      <c r="B49" s="3558" t="s">
        <v>1342</v>
      </c>
      <c r="C49" s="3558"/>
      <c r="D49" s="1589">
        <v>0</v>
      </c>
      <c r="E49" s="324" t="s">
        <v>1343</v>
      </c>
      <c r="F49" s="2422" t="s">
        <v>28</v>
      </c>
      <c r="G49" s="3632"/>
      <c r="H49" s="2309" t="s">
        <v>2134</v>
      </c>
      <c r="I49" s="2310"/>
      <c r="J49" s="2521">
        <v>4</v>
      </c>
      <c r="K49" s="3626" t="str">
        <f>IF(项目基本情况!E8="房地产抵押价值","房地产抵押价值","抵押担保权已注销时的房地产抵押价值")</f>
        <v>房地产抵押价值</v>
      </c>
      <c r="L49" s="3626"/>
      <c r="M49" s="3648">
        <f ca="1">IF(项目基本情况!E8="房地产抵押价值",H107,H109)</f>
        <v>923</v>
      </c>
      <c r="N49" s="3648"/>
      <c r="O49" s="3648"/>
    </row>
    <row r="50" spans="1:35" ht="25.5" customHeight="1">
      <c r="A50" s="2549"/>
      <c r="B50" s="3558" t="s">
        <v>1344</v>
      </c>
      <c r="C50" s="3558"/>
      <c r="D50" s="2550"/>
      <c r="E50" s="332"/>
      <c r="F50" s="2422"/>
      <c r="G50" s="3633"/>
      <c r="H50" s="2311" t="s">
        <v>2135</v>
      </c>
      <c r="I50" s="2310"/>
      <c r="J50" s="3645" t="s">
        <v>1345</v>
      </c>
      <c r="K50" s="3645"/>
      <c r="L50" s="3645"/>
      <c r="M50" s="3645"/>
      <c r="N50" s="3645"/>
      <c r="O50" s="3645"/>
    </row>
    <row r="51" spans="1:35" ht="20.45" customHeight="1">
      <c r="A51" s="2551"/>
      <c r="B51" s="3558" t="s">
        <v>1346</v>
      </c>
      <c r="C51" s="3558"/>
      <c r="D51" s="1086"/>
      <c r="E51" s="327"/>
      <c r="F51" s="2422"/>
      <c r="G51" s="3634"/>
      <c r="H51" s="2311" t="s">
        <v>2136</v>
      </c>
      <c r="I51" s="2310"/>
      <c r="J51" s="2522" t="s">
        <v>1347</v>
      </c>
      <c r="K51" s="3626" t="s">
        <v>1348</v>
      </c>
      <c r="L51" s="3626"/>
      <c r="M51" s="2522" t="s">
        <v>1349</v>
      </c>
      <c r="N51" s="2522" t="s">
        <v>1350</v>
      </c>
      <c r="O51" s="2522" t="s">
        <v>1351</v>
      </c>
    </row>
    <row r="52" spans="1:35" ht="24" customHeight="1">
      <c r="A52" s="2334" t="s">
        <v>1352</v>
      </c>
      <c r="B52" s="3558" t="s">
        <v>1353</v>
      </c>
      <c r="C52" s="3558"/>
      <c r="D52" s="1086">
        <f ca="1">ROUND(D45*'数据-取费表'!B41/(1+'数据-取费表'!C42),0)</f>
        <v>49</v>
      </c>
      <c r="E52" s="2333" t="s">
        <v>1354</v>
      </c>
      <c r="F52" s="2552">
        <f>'数据-取费表'!B41</f>
        <v>5.6000000000000001E-2</v>
      </c>
      <c r="G52" s="2553"/>
      <c r="H52" s="2542"/>
      <c r="I52" s="1806"/>
      <c r="J52" s="2521">
        <v>1</v>
      </c>
      <c r="K52" s="3627" t="s">
        <v>1355</v>
      </c>
      <c r="L52" s="3627"/>
      <c r="M52" s="2523">
        <f ca="1">D48</f>
        <v>49</v>
      </c>
      <c r="N52" s="2521" t="str">
        <f>E48</f>
        <v>销售额×税（费）率</v>
      </c>
      <c r="O52" s="2524">
        <f>F48</f>
        <v>5.6000000000000001E-2</v>
      </c>
    </row>
    <row r="53" spans="1:35" ht="12" customHeight="1">
      <c r="A53" s="2334" t="s">
        <v>1356</v>
      </c>
      <c r="B53" s="3584" t="s">
        <v>2291</v>
      </c>
      <c r="C53" s="3585"/>
      <c r="D53" s="1086">
        <f ca="1">ROUND(D45*'数据-取费表'!B41/(1+'数据-取费表'!C42),0)</f>
        <v>49</v>
      </c>
      <c r="E53" s="2333" t="s">
        <v>1354</v>
      </c>
      <c r="F53" s="2552">
        <f>'数据-取费表'!B41</f>
        <v>5.6000000000000001E-2</v>
      </c>
      <c r="G53" s="2553"/>
      <c r="H53" s="2542"/>
      <c r="I53" s="1806"/>
      <c r="J53" s="2521">
        <v>2</v>
      </c>
      <c r="K53" s="3627" t="s">
        <v>1357</v>
      </c>
      <c r="L53" s="3627"/>
      <c r="M53" s="2523">
        <f t="shared" ref="M53:O54" ca="1" si="0">D55</f>
        <v>0</v>
      </c>
      <c r="N53" s="2521" t="str">
        <f t="shared" si="0"/>
        <v>销售额×税（费）率</v>
      </c>
      <c r="O53" s="2524">
        <f t="shared" si="0"/>
        <v>5.0000000000000001E-4</v>
      </c>
    </row>
    <row r="54" spans="1:35" ht="12" customHeight="1">
      <c r="A54" s="2334" t="s">
        <v>1358</v>
      </c>
      <c r="B54" s="3584" t="s">
        <v>2292</v>
      </c>
      <c r="C54" s="3585"/>
      <c r="D54" s="1086">
        <f ca="1">C68</f>
        <v>49</v>
      </c>
      <c r="E54" s="327" t="s">
        <v>1359</v>
      </c>
      <c r="F54" s="2552">
        <f>'数据-取费表'!B41</f>
        <v>5.6000000000000001E-2</v>
      </c>
      <c r="G54" s="2553"/>
      <c r="H54" s="2554"/>
      <c r="I54" s="1806"/>
      <c r="J54" s="2521">
        <v>3</v>
      </c>
      <c r="K54" s="3627" t="s">
        <v>1360</v>
      </c>
      <c r="L54" s="3627"/>
      <c r="M54" s="2523">
        <f t="shared" ca="1" si="0"/>
        <v>523</v>
      </c>
      <c r="N54" s="2521" t="str">
        <f t="shared" si="0"/>
        <v>增值额×税（费）率</v>
      </c>
      <c r="O54" s="2525" t="str">
        <f t="shared" si="0"/>
        <v>——</v>
      </c>
    </row>
    <row r="55" spans="1:35" ht="24" customHeight="1">
      <c r="A55" s="3573" t="s">
        <v>1361</v>
      </c>
      <c r="B55" s="3574"/>
      <c r="C55" s="3574"/>
      <c r="D55" s="2323">
        <f ca="1">IF(H55="个人住宅",0,ROUND(D45*I55,0))</f>
        <v>0</v>
      </c>
      <c r="E55" s="2333" t="s">
        <v>1362</v>
      </c>
      <c r="F55" s="2552">
        <f>IF(H55="正常",I55,"免征")</f>
        <v>5.0000000000000001E-4</v>
      </c>
      <c r="G55" s="2553"/>
      <c r="H55" s="2548" t="s">
        <v>3398</v>
      </c>
      <c r="I55" s="165">
        <f>'数据-取费表'!B49</f>
        <v>5.0000000000000001E-4</v>
      </c>
      <c r="J55" s="2521" t="str">
        <f>IF(H59="非个人房产","",4)</f>
        <v/>
      </c>
      <c r="K55" s="3627" t="str">
        <f>IF(H59="非个人房产","——","个人所得税")</f>
        <v>——</v>
      </c>
      <c r="L55" s="3627"/>
      <c r="M55" s="2526" t="str">
        <f>D59</f>
        <v>——</v>
      </c>
      <c r="N55" s="2039" t="str">
        <f>E59</f>
        <v>——</v>
      </c>
      <c r="O55" s="2527" t="str">
        <f>F59</f>
        <v>——</v>
      </c>
    </row>
    <row r="56" spans="1:35" ht="24.75">
      <c r="A56" s="3573" t="s">
        <v>1363</v>
      </c>
      <c r="B56" s="3574"/>
      <c r="C56" s="3574"/>
      <c r="D56" s="2323">
        <f ca="1">IF(H56="个人住宅",D57,D58)</f>
        <v>523</v>
      </c>
      <c r="E56" s="2333" t="s">
        <v>1364</v>
      </c>
      <c r="F56" s="2552" t="str">
        <f>IF(H56="正常",F58,"免征")</f>
        <v>——</v>
      </c>
      <c r="G56" s="2555" t="s">
        <v>1365</v>
      </c>
      <c r="H56" s="2556" t="s">
        <v>3398</v>
      </c>
      <c r="I56" s="1807"/>
      <c r="J56" s="2521" t="str">
        <f>IF(项目基本情况!K6="上海银行",IF(J55="",4,J55+1),"")</f>
        <v/>
      </c>
      <c r="K56" s="3650" t="str">
        <f>IF(项目基本情况!K6="上海银行","其他处置费用","")</f>
        <v/>
      </c>
      <c r="L56" s="3651"/>
      <c r="M56" s="2523" t="str">
        <f>IF(项目基本情况!K6="上海银行",M69,"")</f>
        <v/>
      </c>
      <c r="N56" s="3650" t="str">
        <f>IF(项目基本情况!K6="上海银行","包含处置中涉及的律师、诉讼、拍卖、评估等费用","")</f>
        <v/>
      </c>
      <c r="O56" s="3653"/>
    </row>
    <row r="57" spans="1:35" ht="12.75">
      <c r="A57" s="2334" t="s">
        <v>1341</v>
      </c>
      <c r="B57" s="3584" t="s">
        <v>1366</v>
      </c>
      <c r="C57" s="3585"/>
      <c r="D57" s="1589">
        <v>0</v>
      </c>
      <c r="E57" s="324" t="s">
        <v>1343</v>
      </c>
      <c r="F57" s="302"/>
      <c r="G57" s="2553"/>
      <c r="H57" s="2557"/>
      <c r="I57" s="1807"/>
      <c r="J57" s="3627">
        <f>IF(AND(J55="",J56=""),4,IF(项目基本情况!K6="上海银行",结果表!J56+1,结果表!J55+1))</f>
        <v>4</v>
      </c>
      <c r="K57" s="3627" t="s">
        <v>1367</v>
      </c>
      <c r="L57" s="2528" t="s">
        <v>1368</v>
      </c>
      <c r="M57" s="2529"/>
      <c r="N57" s="2530">
        <f ca="1">SUMIF(M52:M56,"&lt;9e307")</f>
        <v>572</v>
      </c>
      <c r="O57" s="2531"/>
      <c r="P57" s="2688">
        <f ca="1">N57/M49</f>
        <v>0.61971830985915488</v>
      </c>
    </row>
    <row r="58" spans="1:35" ht="24.75">
      <c r="A58" s="2334" t="s">
        <v>1352</v>
      </c>
      <c r="B58" s="3584" t="s">
        <v>1369</v>
      </c>
      <c r="C58" s="3558"/>
      <c r="D58" s="2323">
        <f ca="1">IF(H58="转让取得",C81,C97)</f>
        <v>523</v>
      </c>
      <c r="E58" s="2333" t="s">
        <v>1364</v>
      </c>
      <c r="F58" s="302" t="s">
        <v>28</v>
      </c>
      <c r="G58" s="2553"/>
      <c r="H58" s="2556" t="s">
        <v>3450</v>
      </c>
      <c r="I58" s="1807"/>
      <c r="J58" s="3627"/>
      <c r="K58" s="3627"/>
      <c r="L58" s="2528" t="s">
        <v>1370</v>
      </c>
      <c r="M58" s="2532"/>
      <c r="N58" s="2533" t="str">
        <f ca="1">NUMBERSTRING(INT(N57*10000),2)&amp;"元整"</f>
        <v>伍佰柒拾贰万元整</v>
      </c>
      <c r="O58" s="2534"/>
    </row>
    <row r="59" spans="1:35" ht="24.75" thickBot="1">
      <c r="A59" s="3630" t="s">
        <v>1371</v>
      </c>
      <c r="B59" s="3631"/>
      <c r="C59" s="3631"/>
      <c r="D59" s="2558" t="str">
        <f>IF(H59="非个人房产","——",IF(H59="个人住宅（满五唯一有凭证）",0,IF(H59="个人其他（无凭证）",ROUND(D45*F59,0),ROUND(C67*F59,0))))</f>
        <v>——</v>
      </c>
      <c r="E59" s="2559" t="str">
        <f>IF(H59="非个人房产","——",IF(H59="个人其他（无凭证）","销售额×税（费）率",IF(H59="个人住宅（满五唯一有凭证）","免征","差额计税")))</f>
        <v>——</v>
      </c>
      <c r="F59" s="2560" t="str">
        <f>IF(OR(H59="非个人房产",H59="个人住宅（满五唯一有凭证）"),"——",IF(H59="个人其他（有凭证）",20%,1%))</f>
        <v>——</v>
      </c>
      <c r="G59" s="2561" t="s">
        <v>1365</v>
      </c>
      <c r="H59" s="2313" t="s">
        <v>3451</v>
      </c>
      <c r="I59" s="2312" t="s">
        <v>2137</v>
      </c>
      <c r="J59" s="3628">
        <f>J57+1</f>
        <v>5</v>
      </c>
      <c r="K59" s="3627" t="s">
        <v>1372</v>
      </c>
      <c r="L59" s="2521" t="s">
        <v>1368</v>
      </c>
      <c r="M59" s="2535"/>
      <c r="N59" s="2536">
        <f ca="1">M49-N57</f>
        <v>351</v>
      </c>
      <c r="O59" s="2537"/>
    </row>
    <row r="60" spans="1:35" ht="12" customHeight="1">
      <c r="A60" s="1808"/>
      <c r="B60" s="1746"/>
      <c r="C60" s="1746"/>
      <c r="D60" s="1746"/>
      <c r="E60" s="1577"/>
      <c r="F60" s="1807"/>
      <c r="G60" s="1807"/>
      <c r="H60" s="1809"/>
      <c r="I60" s="129"/>
      <c r="J60" s="3629"/>
      <c r="K60" s="3627"/>
      <c r="L60" s="2528" t="s">
        <v>1370</v>
      </c>
      <c r="M60" s="2532"/>
      <c r="N60" s="2533" t="str">
        <f ca="1">NUMBERSTRING(INT(N59*10000),2)&amp;"元整"</f>
        <v>叁佰伍拾壹万元整</v>
      </c>
      <c r="O60" s="2534"/>
    </row>
    <row r="61" spans="1:35" ht="13.5" thickBot="1">
      <c r="A61" s="3571" t="s">
        <v>1373</v>
      </c>
      <c r="B61" s="3571"/>
      <c r="C61" s="3571"/>
      <c r="D61" s="3571"/>
      <c r="E61" s="3571"/>
      <c r="F61" s="1807"/>
      <c r="G61" s="1807"/>
      <c r="H61" s="1809"/>
      <c r="I61" s="129"/>
      <c r="J61" s="2521">
        <f>J59+1</f>
        <v>6</v>
      </c>
      <c r="K61" s="3627" t="s">
        <v>1374</v>
      </c>
      <c r="L61" s="3627"/>
      <c r="M61" s="2538"/>
      <c r="N61" s="2539">
        <f ca="1">ROUND(N59*10000/'数据-汇总表'!E3,0)</f>
        <v>11169</v>
      </c>
      <c r="O61" s="2540"/>
    </row>
    <row r="62" spans="1:35" ht="12.75">
      <c r="A62" s="3589" t="s">
        <v>1375</v>
      </c>
      <c r="B62" s="3590"/>
      <c r="C62" s="2020"/>
      <c r="D62" s="2020" t="s">
        <v>1376</v>
      </c>
      <c r="E62" s="166" t="s">
        <v>1377</v>
      </c>
      <c r="F62" s="1807"/>
      <c r="G62" s="1807"/>
      <c r="H62" s="1809"/>
      <c r="I62" s="129"/>
    </row>
    <row r="63" spans="1:35" ht="12.75">
      <c r="A63" s="173" t="s">
        <v>330</v>
      </c>
      <c r="B63" s="167" t="s">
        <v>1378</v>
      </c>
      <c r="C63" s="2562">
        <f ca="1">ROUND((C64+C65)/(1+'数据-取费表'!C42),0)</f>
        <v>879</v>
      </c>
      <c r="D63" s="167"/>
      <c r="E63" s="168"/>
      <c r="F63" s="1807"/>
      <c r="G63" s="1807"/>
      <c r="H63" s="1809"/>
      <c r="I63" s="129"/>
      <c r="J63" s="3652" t="s">
        <v>1379</v>
      </c>
      <c r="K63" s="1331" t="s">
        <v>1380</v>
      </c>
      <c r="L63" s="1331">
        <f ca="1">IF(M49&gt;10000,M49*0.5%,IF(AND(M49&gt;1000,M49&lt;=10000),M49*1%,IF(AND(M49&gt;100,M49&lt;=1000),M49*3%,IF(AND(M49&gt;10,M49&lt;=100),M49*5%,M49*8%))))</f>
        <v>27.689999999999998</v>
      </c>
      <c r="M63" s="302">
        <f ca="1">ROUND(L63,1)</f>
        <v>27.7</v>
      </c>
      <c r="N63" s="2541"/>
      <c r="Z63" s="1751"/>
      <c r="AI63" s="1752"/>
    </row>
    <row r="64" spans="1:35" ht="14.25" customHeight="1">
      <c r="A64" s="169" t="s">
        <v>325</v>
      </c>
      <c r="B64" s="170" t="s">
        <v>1381</v>
      </c>
      <c r="C64" s="2563">
        <f ca="1">D45</f>
        <v>923</v>
      </c>
      <c r="D64" s="170" t="s">
        <v>26</v>
      </c>
      <c r="E64" s="172"/>
      <c r="F64" s="1807"/>
      <c r="G64" s="1807"/>
      <c r="H64" s="1809"/>
      <c r="I64" s="129"/>
      <c r="J64" s="3652"/>
      <c r="K64" s="1331" t="s">
        <v>1382</v>
      </c>
      <c r="L64" s="1331">
        <f ca="1">IF(M49&gt;2000,M49*0.5%,IF(AND(M49&gt;1000,M49&lt;=2000),M49*0.6%,IF(AND(M49&gt;500,M49&lt;=1000),M49*0.7%,IF(AND(M49&gt;200,M49&lt;=500),M49*0.8%,IF(AND(M49&gt;100,M49&lt;=200),M49*0.9%,IF(AND(M49&gt;50,M49&lt;=100),M49*1%,IF(AND(M49&gt;20,M49&lt;=50),M49*1.5%,IF(AND(M49&gt;10,M49&lt;=20),M49*2%,IF(AND(M49&gt;1,M49&lt;=10),M49*2.5%)))))))))</f>
        <v>6.4609999999999994</v>
      </c>
      <c r="M64" s="302">
        <f t="shared" ref="M64:M65" ca="1" si="1">ROUND(L64,1)</f>
        <v>6.5</v>
      </c>
      <c r="N64" s="2542" t="s">
        <v>1383</v>
      </c>
      <c r="Z64" s="1751"/>
      <c r="AI64" s="1752"/>
    </row>
    <row r="65" spans="1:35" ht="14.25" customHeight="1">
      <c r="A65" s="169" t="s">
        <v>326</v>
      </c>
      <c r="B65" s="170" t="s">
        <v>1384</v>
      </c>
      <c r="C65" s="2564"/>
      <c r="D65" s="170"/>
      <c r="E65" s="172"/>
      <c r="F65" s="1807"/>
      <c r="G65" s="1807"/>
      <c r="H65" s="1809"/>
      <c r="I65" s="129"/>
      <c r="J65" s="3652"/>
      <c r="K65" s="1331" t="s">
        <v>1385</v>
      </c>
      <c r="L65" s="1331">
        <f ca="1">IF(M49&gt;1000,M49*0.1%,IF(AND(M49&gt;500,M49&lt;=1000),M49*0.5%,IF(AND(M49&gt;50,M49&lt;=500),M49*1%,IF(AND(M49&gt;1,M49&lt;=50),M49*1.5%))))</f>
        <v>4.6150000000000002</v>
      </c>
      <c r="M65" s="302">
        <f t="shared" ca="1" si="1"/>
        <v>4.5999999999999996</v>
      </c>
      <c r="N65" s="2542" t="s">
        <v>1383</v>
      </c>
      <c r="Z65" s="1751"/>
      <c r="AI65" s="1752"/>
    </row>
    <row r="66" spans="1:35" ht="14.25" customHeight="1">
      <c r="A66" s="173" t="s">
        <v>327</v>
      </c>
      <c r="B66" s="174" t="s">
        <v>1386</v>
      </c>
      <c r="C66" s="2565"/>
      <c r="D66" s="174" t="s">
        <v>26</v>
      </c>
      <c r="E66" s="1337" t="s">
        <v>671</v>
      </c>
      <c r="F66" s="1807"/>
      <c r="G66" s="1807"/>
      <c r="H66" s="1809"/>
      <c r="I66" s="129"/>
      <c r="J66" s="3652"/>
      <c r="K66" s="1331" t="s">
        <v>1387</v>
      </c>
      <c r="L66" s="1331">
        <f ca="1">M49*0.5%</f>
        <v>4.6150000000000002</v>
      </c>
      <c r="M66" s="302">
        <f ca="1">IF(L66&gt;0.5,0.5,ROUND(L66,0))</f>
        <v>0.5</v>
      </c>
      <c r="N66" s="2542" t="s">
        <v>1388</v>
      </c>
      <c r="Z66" s="1751"/>
      <c r="AI66" s="1752"/>
    </row>
    <row r="67" spans="1:35" ht="14.25" customHeight="1">
      <c r="A67" s="173" t="s">
        <v>328</v>
      </c>
      <c r="B67" s="174" t="s">
        <v>1389</v>
      </c>
      <c r="C67" s="2566">
        <f ca="1">C63-C66</f>
        <v>879</v>
      </c>
      <c r="D67" s="170" t="s">
        <v>26</v>
      </c>
      <c r="E67" s="172"/>
      <c r="F67" s="1807"/>
      <c r="G67" s="1807"/>
      <c r="H67" s="1809"/>
      <c r="I67" s="129"/>
      <c r="J67" s="3652"/>
      <c r="K67" s="1331" t="s">
        <v>1390</v>
      </c>
      <c r="L67" s="1331">
        <f ca="1">IF(M49&gt;=10000,(8.25+(M49-10000)*0.01%),IF(AND(M49&gt;=8000,M49&lt;10000),(7.85+(M49-8000)*0.02%),IF(AND(M49&gt;=5000,M49&lt;8000),(6.65+(M49-5000)*0.04%),IF(AND(M49&gt;=2000,M49&lt;5000),(4.25+(PM49-2000)*0.08%),IF(AND(M49&gt;=1000,M49&lt;2000),(2.75+(M49-1000)*0.15%),IF(AND(M49&gt;=100,M49&lt;1000),(0.5+(M49-100)*0.25%),IF(AND(M49&gt;0,M49&lt;100),M49*0.5%)))))))</f>
        <v>2.5575000000000001</v>
      </c>
      <c r="M67" s="302">
        <f ca="1">ROUND(L67*0.9,1)</f>
        <v>2.2999999999999998</v>
      </c>
      <c r="N67" s="2541"/>
      <c r="Z67" s="1751"/>
      <c r="AI67" s="1752"/>
    </row>
    <row r="68" spans="1:35" ht="14.25" customHeight="1" thickBot="1">
      <c r="A68" s="176" t="s">
        <v>329</v>
      </c>
      <c r="B68" s="177" t="s">
        <v>1391</v>
      </c>
      <c r="C68" s="2567">
        <f ca="1">IF(C67&lt;=0,0,ROUND(C67*D68,0))</f>
        <v>49</v>
      </c>
      <c r="D68" s="2568">
        <f>'数据-取费表'!B41</f>
        <v>5.6000000000000001E-2</v>
      </c>
      <c r="E68" s="178"/>
      <c r="F68" s="1807"/>
      <c r="G68" s="1807"/>
      <c r="H68" s="1809"/>
      <c r="I68" s="129"/>
      <c r="J68" s="3652"/>
      <c r="K68" s="1331" t="s">
        <v>1392</v>
      </c>
      <c r="L68" s="1331">
        <f ca="1">IF(M49&gt;10000,M49*0.5%,IF(AND(M49&gt;5000,M49&lt;=10000),M49*1%,IF(AND(M49&gt;1000,M49&lt;=5000),M49*2%,IF(AND(M49&gt;200,M49&lt;=1000),M49*3%,M49*5%))))</f>
        <v>27.689999999999998</v>
      </c>
      <c r="M68" s="302">
        <f ca="1">ROUND(L68,1)</f>
        <v>27.7</v>
      </c>
      <c r="N68" s="2541"/>
      <c r="Z68" s="1751"/>
      <c r="AI68" s="1752"/>
    </row>
    <row r="69" spans="1:35" s="1771" customFormat="1" ht="16.5" customHeight="1">
      <c r="A69" s="1810"/>
      <c r="B69" s="1811"/>
      <c r="C69" s="1812"/>
      <c r="D69" s="1813"/>
      <c r="E69" s="1814"/>
      <c r="F69" s="1577"/>
      <c r="G69" s="1577"/>
      <c r="H69" s="1576"/>
      <c r="I69" s="1746"/>
      <c r="J69" s="3652"/>
      <c r="K69" s="1331" t="s">
        <v>1393</v>
      </c>
      <c r="L69" s="1331"/>
      <c r="M69" s="302">
        <f ca="1">ROUND(SUM(M63:M68),0)</f>
        <v>69</v>
      </c>
      <c r="N69" s="2543">
        <f ca="1">M69/M49</f>
        <v>7.4756229685807155E-2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3" t="s">
        <v>1394</v>
      </c>
      <c r="B70" s="3614"/>
      <c r="C70" s="3614"/>
      <c r="D70" s="3614"/>
      <c r="E70" s="3614"/>
      <c r="F70" s="3614"/>
      <c r="G70" s="3614"/>
      <c r="H70" s="3614"/>
      <c r="I70" s="1815"/>
      <c r="J70" s="2689"/>
      <c r="K70" s="2689"/>
      <c r="L70" s="2689"/>
      <c r="M70" s="2689"/>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9" t="s">
        <v>1375</v>
      </c>
      <c r="B71" s="3590"/>
      <c r="C71" s="2020"/>
      <c r="D71" s="2020" t="s">
        <v>1376</v>
      </c>
      <c r="E71" s="179" t="s">
        <v>1377</v>
      </c>
      <c r="F71" s="180"/>
      <c r="G71" s="180"/>
      <c r="H71" s="181"/>
      <c r="I71" s="1819"/>
      <c r="J71" s="2689"/>
      <c r="K71" s="2689"/>
      <c r="L71" s="2689"/>
      <c r="M71" s="2689"/>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6">
        <f ca="1">ROUND(D45/(1+'数据-取费表'!C42),0)</f>
        <v>879</v>
      </c>
      <c r="D72" s="170" t="s">
        <v>26</v>
      </c>
      <c r="E72" s="2330"/>
      <c r="F72" s="2329"/>
      <c r="G72" s="2329"/>
      <c r="H72" s="182"/>
      <c r="I72" s="1819"/>
      <c r="J72" s="2689"/>
      <c r="K72" s="2689"/>
      <c r="L72" s="2689"/>
      <c r="M72" s="2689"/>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6">
        <f ca="1">C74+C78</f>
        <v>5</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9"/>
      <c r="D75" s="170" t="s">
        <v>26</v>
      </c>
      <c r="E75" s="184" t="s">
        <v>1399</v>
      </c>
      <c r="F75" s="2570"/>
      <c r="G75" s="184" t="s">
        <v>1400</v>
      </c>
      <c r="H75" s="2571"/>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2">
        <v>0.05</v>
      </c>
      <c r="E76" s="3584" t="s">
        <v>1402</v>
      </c>
      <c r="F76" s="3558"/>
      <c r="G76" s="3558"/>
      <c r="H76" s="361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3">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4">
        <f ca="1">ROUND(D45*D78/(1+'数据-取费表'!C42),0)</f>
        <v>5</v>
      </c>
      <c r="D78" s="2575">
        <f>'数据-取费表'!B43</f>
        <v>6.000000000000001E-3</v>
      </c>
      <c r="E78" s="3568" t="s">
        <v>1406</v>
      </c>
      <c r="F78" s="3569"/>
      <c r="G78" s="3569"/>
      <c r="H78" s="3578"/>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6">
        <f ca="1">C72-C73</f>
        <v>874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6">
        <f ca="1">IF(C79&lt;=0,0,C79/C73)</f>
        <v>174.8</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7">
        <f ca="1">ROUND(IF(C79&lt;=0,0,IF(C80&gt;=200%,C79*60%-C73*35%,IF(C80&gt;=100%,C79*50%-C73*15%,IF(C80&gt;=50%,C79*40%-C73*5%,IF(C80&lt;50%,C79*30%,0))))),0)</f>
        <v>523</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3" t="s">
        <v>1410</v>
      </c>
      <c r="B83" s="3614"/>
      <c r="C83" s="3614"/>
      <c r="D83" s="3614"/>
      <c r="E83" s="3614"/>
      <c r="F83" s="3614"/>
      <c r="G83" s="3614"/>
      <c r="H83" s="361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9" t="s">
        <v>1375</v>
      </c>
      <c r="B84" s="3590"/>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6">
        <f ca="1">ROUND(D45/(1+'数据-取费表'!C42),0)</f>
        <v>879</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6">
        <f ca="1">IF(H88="仅含出让金",C87+C90+C91+C92+C93+C94,C87+C91+C92+C93+C94)</f>
        <v>5</v>
      </c>
      <c r="D86" s="2579"/>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4">
        <f>C88+C89</f>
        <v>0</v>
      </c>
      <c r="D87" s="2575"/>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0">
        <f>案例信息!E14</f>
        <v>0</v>
      </c>
      <c r="D88" s="2575"/>
      <c r="E88" s="193" t="s">
        <v>1413</v>
      </c>
      <c r="F88" s="2326"/>
      <c r="G88" s="194" t="s">
        <v>1414</v>
      </c>
      <c r="H88" s="1823" t="s">
        <v>3453</v>
      </c>
      <c r="I88" s="1820"/>
      <c r="J88" s="2519"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4">
        <f>ROUND(C88*D89,0)</f>
        <v>0</v>
      </c>
      <c r="D89" s="2575">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0"/>
      <c r="D90" s="2575"/>
      <c r="E90" s="193" t="str">
        <f>IF(H88="-","土地取得成本中已包含该笔费用"," ")</f>
        <v xml:space="preserve"> </v>
      </c>
      <c r="F90" s="2326"/>
      <c r="G90" s="3654" t="s">
        <v>2129</v>
      </c>
      <c r="H90" s="3655"/>
      <c r="I90" s="1820"/>
      <c r="J90" s="2519"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4">
        <f>IF(H91="——",成本法!C33,I91)</f>
        <v>0</v>
      </c>
      <c r="D91" s="2575"/>
      <c r="E91" s="3568" t="s">
        <v>1419</v>
      </c>
      <c r="F91" s="3569"/>
      <c r="G91" s="3569"/>
      <c r="H91" s="1824" t="s">
        <v>3452</v>
      </c>
      <c r="I91" s="1825">
        <f>案例信息!I15/10000</f>
        <v>0</v>
      </c>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4">
        <f>ROUND((C87+C90+C91)*D92,0)</f>
        <v>0</v>
      </c>
      <c r="D92" s="2581">
        <v>0.1</v>
      </c>
      <c r="E92" s="3568" t="s">
        <v>1422</v>
      </c>
      <c r="F92" s="3569"/>
      <c r="G92" s="3569"/>
      <c r="H92" s="3578"/>
      <c r="I92" s="1820"/>
      <c r="J92" s="2520"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4">
        <f ca="1">ROUND(D45*D93/(1+'数据-取费表'!C42),0)</f>
        <v>5</v>
      </c>
      <c r="D93" s="2575">
        <f>'数据-取费表'!B43</f>
        <v>6.000000000000001E-3</v>
      </c>
      <c r="E93" s="3568" t="s">
        <v>1406</v>
      </c>
      <c r="F93" s="3569"/>
      <c r="G93" s="3569"/>
      <c r="H93" s="3578"/>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0">
        <f>ROUND((C87+C90+C91)*D94,0)</f>
        <v>0</v>
      </c>
      <c r="D94" s="2575">
        <v>0.2</v>
      </c>
      <c r="E94" s="3579" t="s">
        <v>1426</v>
      </c>
      <c r="F94" s="3580"/>
      <c r="G94" s="3580"/>
      <c r="H94" s="3581"/>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6">
        <f ca="1">ROUND(C85-C86,0)</f>
        <v>874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6">
        <f ca="1">IF(C95&lt;=0,0,C95/C86)</f>
        <v>174.8</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7">
        <f ca="1">ROUND(IF(C95&lt;=0,0,IF(C96&gt;=200%,C95*60%-C86*35%,IF(C96&gt;=100%,C95*50%-C86*15%,IF(C96&gt;=50%,C95*40%-C86*5%,IF(C96&lt;50%,C95*30%,0))))),0)</f>
        <v>523</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2" t="s">
        <v>1428</v>
      </c>
      <c r="B100" s="3553"/>
      <c r="C100" s="3553"/>
      <c r="D100" s="3570"/>
      <c r="E100" s="3553" t="s">
        <v>1429</v>
      </c>
      <c r="F100" s="3553"/>
      <c r="G100" s="3553"/>
      <c r="H100" s="3570"/>
      <c r="I100" s="129"/>
    </row>
    <row r="101" spans="1:35" ht="18.75" customHeight="1">
      <c r="A101" s="3635" t="s">
        <v>1430</v>
      </c>
      <c r="B101" s="3636"/>
      <c r="C101" s="2583" t="str">
        <f>C4</f>
        <v>比较法-商业</v>
      </c>
      <c r="D101" s="2584" t="str">
        <f>D4</f>
        <v>收益法 (元)</v>
      </c>
      <c r="E101" s="3649" t="s">
        <v>1431</v>
      </c>
      <c r="F101" s="3605"/>
      <c r="G101" s="1826" t="s">
        <v>1432</v>
      </c>
      <c r="H101" s="2593">
        <f ca="1">H118</f>
        <v>923</v>
      </c>
      <c r="I101" s="129"/>
    </row>
    <row r="102" spans="1:35" ht="18.75" customHeight="1">
      <c r="A102" s="3607" t="s">
        <v>1433</v>
      </c>
      <c r="B102" s="2582" t="s">
        <v>1432</v>
      </c>
      <c r="C102" s="2583">
        <f ca="1">IF(D32="楼面单价",ROUND(C19,0),C19)</f>
        <v>1122</v>
      </c>
      <c r="D102" s="2584">
        <f ca="1">IF(D32="楼面单价",ROUND(D19,0),D19)</f>
        <v>679</v>
      </c>
      <c r="E102" s="3649"/>
      <c r="F102" s="3605"/>
      <c r="G102" s="1826" t="s">
        <v>1434</v>
      </c>
      <c r="H102" s="2553">
        <f ca="1">I118</f>
        <v>29365</v>
      </c>
      <c r="I102" s="129"/>
    </row>
    <row r="103" spans="1:35" ht="42.75" customHeight="1">
      <c r="A103" s="3607"/>
      <c r="B103" s="2582" t="s">
        <v>1434</v>
      </c>
      <c r="C103" s="2585">
        <f ca="1">C20</f>
        <v>35712</v>
      </c>
      <c r="D103" s="2586">
        <f ca="1">D20</f>
        <v>21608</v>
      </c>
      <c r="E103" s="3643" t="s">
        <v>1435</v>
      </c>
      <c r="F103" s="3644"/>
      <c r="G103" s="1827" t="s">
        <v>1436</v>
      </c>
      <c r="H103" s="2593">
        <f>IF(D36="正常操作",H104+H105+H106,H105+H106)</f>
        <v>0</v>
      </c>
      <c r="I103" s="129"/>
    </row>
    <row r="104" spans="1:35" ht="18.75" customHeight="1">
      <c r="A104" s="3607" t="s">
        <v>1437</v>
      </c>
      <c r="B104" s="2587" t="s">
        <v>1432</v>
      </c>
      <c r="C104" s="2588">
        <f ca="1">H118</f>
        <v>923</v>
      </c>
      <c r="D104" s="2589"/>
      <c r="E104" s="1673" t="s">
        <v>1438</v>
      </c>
      <c r="F104" s="1665"/>
      <c r="G104" s="1827" t="s">
        <v>1436</v>
      </c>
      <c r="H104" s="2594">
        <f>IF(D36="同一抵押权人同一抵押物续贷",C36&amp;"（续贷，未扣减，详见特别提示）",C36)</f>
        <v>0</v>
      </c>
      <c r="I104" s="129"/>
    </row>
    <row r="105" spans="1:35" ht="18.75" customHeight="1" thickBot="1">
      <c r="A105" s="3608"/>
      <c r="B105" s="2590" t="s">
        <v>1434</v>
      </c>
      <c r="C105" s="2591">
        <f ca="1">I118</f>
        <v>29365</v>
      </c>
      <c r="D105" s="2592"/>
      <c r="E105" s="1673" t="s">
        <v>1439</v>
      </c>
      <c r="F105" s="1665"/>
      <c r="G105" s="1827" t="s">
        <v>1436</v>
      </c>
      <c r="H105" s="2595">
        <f>C37</f>
        <v>0</v>
      </c>
      <c r="I105" s="129"/>
    </row>
    <row r="106" spans="1:35" ht="18.75" customHeight="1">
      <c r="A106" s="1746" t="s">
        <v>1440</v>
      </c>
      <c r="B106" s="1746"/>
      <c r="C106" s="1746"/>
      <c r="D106" s="1746"/>
      <c r="E106" s="1828" t="s">
        <v>1441</v>
      </c>
      <c r="F106" s="1665"/>
      <c r="G106" s="1827" t="s">
        <v>1436</v>
      </c>
      <c r="H106" s="2595">
        <f>C38</f>
        <v>0</v>
      </c>
      <c r="I106" s="129"/>
    </row>
    <row r="107" spans="1:35" ht="18.75" customHeight="1">
      <c r="A107" s="129"/>
      <c r="B107" s="129"/>
      <c r="C107" s="129"/>
      <c r="D107" s="129"/>
      <c r="E107" s="3604" t="str">
        <f>IF(项目基本情况!E8="已注销","——","3.房地产抵押价值")</f>
        <v>3.房地产抵押价值</v>
      </c>
      <c r="F107" s="3605"/>
      <c r="G107" s="1826" t="s">
        <v>1432</v>
      </c>
      <c r="H107" s="2593">
        <f ca="1">IF(E107="——","——",H101-H103)</f>
        <v>923</v>
      </c>
      <c r="I107" s="129"/>
    </row>
    <row r="108" spans="1:35" ht="18.75" customHeight="1">
      <c r="A108" s="129"/>
      <c r="B108" s="129"/>
      <c r="C108" s="129"/>
      <c r="D108" s="129"/>
      <c r="E108" s="3604"/>
      <c r="F108" s="3605"/>
      <c r="G108" s="1826" t="s">
        <v>1434</v>
      </c>
      <c r="H108" s="2553">
        <f ca="1">IF(H107=H101,H102,ROUND(H107*10000/'数据-汇总表'!E3,0))</f>
        <v>29365</v>
      </c>
      <c r="I108" s="129"/>
    </row>
    <row r="109" spans="1:35" ht="18.75" customHeight="1">
      <c r="A109" s="129"/>
      <c r="B109" s="129"/>
      <c r="C109" s="129"/>
      <c r="D109" s="129"/>
      <c r="E109" s="3604" t="str">
        <f>IF(项目基本情况!E8="已注销及未注销","4.抵押担保权已注销时的房地产抵押价值",IF(项目基本情况!E8="已注销","3.抵押担保权已注销时的房地产抵押价值","——"))</f>
        <v>——</v>
      </c>
      <c r="F109" s="3605"/>
      <c r="G109" s="1826" t="s">
        <v>1432</v>
      </c>
      <c r="H109" s="2596" t="str">
        <f>IF(E109="——","——",H101-H105-H106)</f>
        <v>——</v>
      </c>
      <c r="I109" s="129"/>
    </row>
    <row r="110" spans="1:35" ht="18.75" customHeight="1">
      <c r="A110" s="129"/>
      <c r="B110" s="129"/>
      <c r="C110" s="129"/>
      <c r="D110" s="129"/>
      <c r="E110" s="3604"/>
      <c r="F110" s="3605"/>
      <c r="G110" s="1826" t="s">
        <v>1434</v>
      </c>
      <c r="H110" s="2553" t="str">
        <f>IF(H109="——","——",ROUND(H109*10000/'数据-汇总表'!E3,0))</f>
        <v>——</v>
      </c>
      <c r="I110" s="129"/>
    </row>
    <row r="111" spans="1:35" ht="18.75" customHeight="1">
      <c r="A111" s="129"/>
      <c r="B111" s="129"/>
      <c r="C111" s="129"/>
      <c r="D111" s="129"/>
      <c r="E111" s="3637" t="str">
        <f>IF(项目基本情况!E9="抵押净值",IF(OR(项目基本情况!E8="已注销",项目基本情况!E8="房地产抵押价值"),"4.抵押净值","5.抵押净值"),"——")</f>
        <v>4.抵押净值</v>
      </c>
      <c r="F111" s="3606"/>
      <c r="G111" s="1826" t="s">
        <v>1432</v>
      </c>
      <c r="H111" s="2593">
        <f ca="1">IF(E111="——","——",N59)</f>
        <v>351</v>
      </c>
      <c r="I111" s="129"/>
    </row>
    <row r="112" spans="1:35" ht="18.75" customHeight="1" thickBot="1">
      <c r="A112" s="129"/>
      <c r="B112" s="129"/>
      <c r="C112" s="129"/>
      <c r="D112" s="129"/>
      <c r="E112" s="3638"/>
      <c r="F112" s="3639"/>
      <c r="G112" s="1829" t="s">
        <v>1434</v>
      </c>
      <c r="H112" s="2597">
        <f ca="1">IF(E111="——","——",N61)</f>
        <v>11169</v>
      </c>
      <c r="I112" s="129"/>
    </row>
    <row r="113" spans="1:27" ht="18.75" customHeight="1">
      <c r="A113" s="129"/>
      <c r="B113" s="129"/>
      <c r="C113" s="129"/>
      <c r="D113" s="129"/>
      <c r="E113" s="3609" t="s">
        <v>1440</v>
      </c>
      <c r="F113" s="3609"/>
      <c r="G113" s="3609"/>
      <c r="H113" s="3609"/>
      <c r="I113" s="129"/>
    </row>
    <row r="114" spans="1:27" ht="3.75" customHeight="1">
      <c r="A114" s="1746"/>
      <c r="B114" s="1746"/>
      <c r="C114" s="1746"/>
      <c r="D114" s="1746"/>
      <c r="E114" s="1808"/>
      <c r="F114" s="1808"/>
      <c r="G114" s="1808"/>
      <c r="H114" s="1808"/>
      <c r="I114" s="1746"/>
    </row>
    <row r="115" spans="1:27" ht="18.75" customHeight="1">
      <c r="A115" s="3619" t="s">
        <v>1442</v>
      </c>
      <c r="B115" s="3620"/>
      <c r="C115" s="3620"/>
      <c r="D115" s="3620"/>
      <c r="E115" s="3620"/>
      <c r="F115" s="3620"/>
      <c r="G115" s="3620"/>
      <c r="H115" s="3620"/>
      <c r="I115" s="3621"/>
    </row>
    <row r="116" spans="1:27" ht="27" customHeight="1">
      <c r="A116" s="3572" t="s">
        <v>1443</v>
      </c>
      <c r="B116" s="3610" t="s">
        <v>1444</v>
      </c>
      <c r="C116" s="3610" t="s">
        <v>1445</v>
      </c>
      <c r="D116" s="3624" t="s">
        <v>1446</v>
      </c>
      <c r="E116" s="3625"/>
      <c r="F116" s="3618" t="s">
        <v>1447</v>
      </c>
      <c r="G116" s="3618"/>
      <c r="H116" s="3572" t="s">
        <v>1448</v>
      </c>
      <c r="I116" s="3572"/>
    </row>
    <row r="117" spans="1:27" ht="18.75" customHeight="1">
      <c r="A117" s="3572"/>
      <c r="B117" s="3611"/>
      <c r="C117" s="3611"/>
      <c r="D117" s="2328" t="s">
        <v>1449</v>
      </c>
      <c r="E117" s="2328" t="s">
        <v>1450</v>
      </c>
      <c r="F117" s="2328" t="s">
        <v>1449</v>
      </c>
      <c r="G117" s="2328" t="s">
        <v>1451</v>
      </c>
      <c r="H117" s="2328" t="s">
        <v>1449</v>
      </c>
      <c r="I117" s="2328" t="s">
        <v>1451</v>
      </c>
    </row>
    <row r="118" spans="1:27" ht="24.75" customHeight="1">
      <c r="A118" s="2598" t="str">
        <f>项目基本情况!S2</f>
        <v>北京市房地产</v>
      </c>
      <c r="B118" s="2328">
        <f>M18</f>
        <v>314.25</v>
      </c>
      <c r="C118" s="2328">
        <f>M19</f>
        <v>0</v>
      </c>
      <c r="D118" s="2328">
        <f ca="1">ROUND(IF(D32="总价",C34,E118*B118/10000),0)</f>
        <v>780</v>
      </c>
      <c r="E118" s="2328">
        <f ca="1">ROUND(IF(C33="自定义",IF(D32="楼面单价",C34,D118*10000/B118),I118-G118),0)</f>
        <v>24813</v>
      </c>
      <c r="F118" s="2328">
        <f ca="1">ROUND(IF(D32="总价",C35,G118*B118/10000),0)</f>
        <v>143</v>
      </c>
      <c r="G118" s="2328">
        <f ca="1">ROUND(IF(D32="楼面单价",C35,F118*10000/B118),0)</f>
        <v>4552</v>
      </c>
      <c r="H118" s="2328">
        <f ca="1">ROUND(IF(D32="总价",C32,I118*B118/10000),0)</f>
        <v>923</v>
      </c>
      <c r="I118" s="2328">
        <f ca="1">ROUND(IF(D32="楼面单价",C32,H118*10000/B118),0)</f>
        <v>29365</v>
      </c>
    </row>
    <row r="119" spans="1:27" ht="18.75" customHeight="1">
      <c r="A119" s="3572" t="s">
        <v>1452</v>
      </c>
      <c r="B119" s="3572"/>
      <c r="C119" s="3572"/>
      <c r="D119" s="3615" t="str">
        <f ca="1">NUMBERSTRING(INT(D118*10000),2)&amp;"元整"</f>
        <v>柒佰捌拾万元整</v>
      </c>
      <c r="E119" s="3617"/>
      <c r="F119" s="3615" t="str">
        <f ca="1">NUMBERSTRING(INT(F118*10000),2)&amp;"元整"</f>
        <v>壹佰肆拾叁万元整</v>
      </c>
      <c r="G119" s="3617"/>
      <c r="H119" s="3615" t="str">
        <f ca="1">NUMBERSTRING(INT(H118*10000),2)&amp;"元整"</f>
        <v>玖佰贰拾叁万元整</v>
      </c>
      <c r="I119" s="3617"/>
    </row>
    <row r="120" spans="1:27" ht="18.75" customHeight="1">
      <c r="A120" s="3640" t="str">
        <f>IF(项目基本情况!B9="房地产市场价值","",MID(E103,3,LEN(E103)-2))</f>
        <v>估价师知悉的法定优先受偿款</v>
      </c>
      <c r="B120" s="3641"/>
      <c r="C120" s="3642"/>
      <c r="D120" s="3640">
        <f>H103</f>
        <v>0</v>
      </c>
      <c r="E120" s="3641"/>
      <c r="F120" s="3641"/>
      <c r="G120" s="3641"/>
      <c r="H120" s="3641"/>
      <c r="I120" s="3642"/>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5" t="s">
        <v>1452</v>
      </c>
      <c r="B121" s="3616"/>
      <c r="C121" s="3617"/>
      <c r="D121" s="3615" t="str">
        <f>IF(D120=0,"零元整",NUMBERSTRING(INT(D120*10000),2)&amp;"元整")</f>
        <v>零元整</v>
      </c>
      <c r="E121" s="3616"/>
      <c r="F121" s="3616"/>
      <c r="G121" s="3616"/>
      <c r="H121" s="3616"/>
      <c r="I121" s="3617"/>
      <c r="AA121" s="724"/>
    </row>
    <row r="122" spans="1:27" ht="18.75" customHeight="1">
      <c r="A122" s="3606" t="str">
        <f>IF(项目基本情况!B9="房地产市场价值","",MID(E107,3,LEN(E107)-2))</f>
        <v>房地产抵押价值</v>
      </c>
      <c r="B122" s="3606"/>
      <c r="C122" s="3606"/>
      <c r="D122" s="3640">
        <f ca="1">H107</f>
        <v>923</v>
      </c>
      <c r="E122" s="3641"/>
      <c r="F122" s="3641"/>
      <c r="G122" s="3641"/>
      <c r="H122" s="3641"/>
      <c r="I122" s="3642"/>
      <c r="AA122" s="724"/>
    </row>
    <row r="123" spans="1:27" ht="18.75" customHeight="1">
      <c r="A123" s="3572" t="s">
        <v>1452</v>
      </c>
      <c r="B123" s="3572"/>
      <c r="C123" s="3572"/>
      <c r="D123" s="3615" t="str">
        <f ca="1">NUMBERSTRING(INT(D122*10000),2)&amp;"元整"</f>
        <v>玖佰贰拾叁万元整</v>
      </c>
      <c r="E123" s="3616"/>
      <c r="F123" s="3616"/>
      <c r="G123" s="3616"/>
      <c r="H123" s="3616"/>
      <c r="I123" s="3617"/>
      <c r="AA123" s="724"/>
    </row>
    <row r="124" spans="1:27" ht="18.75" customHeight="1">
      <c r="A124" s="3606" t="str">
        <f>IF(项目基本情况!B9="房地产市场价值","",MID(E109,3,LEN(E109)-2))</f>
        <v/>
      </c>
      <c r="B124" s="3606"/>
      <c r="C124" s="3606"/>
      <c r="D124" s="3640" t="str">
        <f>H109</f>
        <v>——</v>
      </c>
      <c r="E124" s="3641"/>
      <c r="F124" s="3641"/>
      <c r="G124" s="3641"/>
      <c r="H124" s="3641"/>
      <c r="I124" s="3642"/>
      <c r="AA124" s="724"/>
    </row>
    <row r="125" spans="1:27" ht="18.75" customHeight="1">
      <c r="A125" s="3572" t="s">
        <v>1452</v>
      </c>
      <c r="B125" s="3572"/>
      <c r="C125" s="3572"/>
      <c r="D125" s="3615" t="e">
        <f>NUMBERSTRING(INT(D124*10000),2)&amp;"元整"</f>
        <v>#VALUE!</v>
      </c>
      <c r="E125" s="3616"/>
      <c r="F125" s="3616"/>
      <c r="G125" s="3616"/>
      <c r="H125" s="3616"/>
      <c r="I125" s="3617"/>
      <c r="AA125" s="724"/>
    </row>
    <row r="126" spans="1:27" ht="18.75" customHeight="1">
      <c r="A126" s="3606" t="str">
        <f>IF(项目基本情况!B9="房地产市场价值","",MID(E111,3,LEN(E111)-2))</f>
        <v>抵押净值</v>
      </c>
      <c r="B126" s="3606"/>
      <c r="C126" s="3606"/>
      <c r="D126" s="3640">
        <f ca="1">H111</f>
        <v>351</v>
      </c>
      <c r="E126" s="3641"/>
      <c r="F126" s="3641"/>
      <c r="G126" s="3641"/>
      <c r="H126" s="3641"/>
      <c r="I126" s="3642"/>
      <c r="AA126" s="724"/>
    </row>
    <row r="127" spans="1:27" ht="18.75" customHeight="1">
      <c r="A127" s="3572" t="s">
        <v>1452</v>
      </c>
      <c r="B127" s="3572"/>
      <c r="C127" s="3572"/>
      <c r="D127" s="3615" t="str">
        <f ca="1">NUMBERSTRING(INT(D126*10000),2)&amp;"元整"</f>
        <v>叁佰伍拾壹万元整</v>
      </c>
      <c r="E127" s="3616"/>
      <c r="F127" s="3616"/>
      <c r="G127" s="3616"/>
      <c r="H127" s="3616"/>
      <c r="I127" s="3617"/>
      <c r="AA127" s="724"/>
    </row>
    <row r="128" spans="1:27" ht="21.75" customHeight="1">
      <c r="A128" s="3623" t="s">
        <v>1453</v>
      </c>
      <c r="B128" s="3623"/>
      <c r="C128" s="3623"/>
      <c r="D128" s="3623"/>
      <c r="E128" s="3623"/>
      <c r="F128" s="3623"/>
      <c r="G128" s="3623"/>
      <c r="H128" s="3623"/>
      <c r="I128" s="3623"/>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B1" zoomScaleNormal="70" zoomScaleSheetLayoutView="100"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t="e">
        <f ca="1">IF(D2="——",C52,C52-E2)</f>
        <v>#DIV/0!</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t="e">
        <f ca="1">ROUND(B2*10000/(IF(B1="",'数据-汇总表'!E3,INDIRECT("'数据-取费表'!k"&amp;$G$1))),0)</f>
        <v>#DIV/0!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t="e">
        <f>C6+C7+C8</f>
        <v>#DIV/0!</v>
      </c>
      <c r="D5" s="211" t="s">
        <v>1469</v>
      </c>
      <c r="E5" s="212" t="s">
        <v>1470</v>
      </c>
      <c r="F5" s="212" t="s">
        <v>1471</v>
      </c>
      <c r="G5" s="213"/>
    </row>
    <row r="6" spans="1:9" s="214" customFormat="1" ht="13.5" customHeight="1">
      <c r="A6" s="777" t="s">
        <v>1472</v>
      </c>
      <c r="B6" s="215" t="s">
        <v>1473</v>
      </c>
      <c r="C6" s="216" t="e">
        <f>基准地价修正!E33+基准地价修正!E41+基准地价修正!E42</f>
        <v>#DIV/0!</v>
      </c>
      <c r="D6" s="217"/>
      <c r="E6" s="218"/>
      <c r="F6" s="218"/>
      <c r="G6" s="219"/>
    </row>
    <row r="7" spans="1:9" s="214" customFormat="1" ht="13.5" customHeight="1">
      <c r="A7" s="777" t="s">
        <v>1474</v>
      </c>
      <c r="B7" s="215" t="s">
        <v>1475</v>
      </c>
      <c r="C7" s="220" t="e">
        <f>ROUND(C6*F7,0)</f>
        <v>#DIV/0!</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62850</v>
      </c>
      <c r="D8" s="222"/>
      <c r="E8" s="220"/>
      <c r="F8" s="221"/>
      <c r="G8" s="1855" t="s">
        <v>3435</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6" t="s">
        <v>3442</v>
      </c>
      <c r="H9" s="1136"/>
      <c r="I9" s="1857" t="s">
        <v>1479</v>
      </c>
    </row>
    <row r="10" spans="1:9" s="214" customFormat="1" ht="13.5" customHeight="1">
      <c r="A10" s="778" t="s">
        <v>356</v>
      </c>
      <c r="B10" s="224" t="s">
        <v>1480</v>
      </c>
      <c r="C10" s="225">
        <f ca="1">ROUND(D10*E10/10000,0)</f>
        <v>6</v>
      </c>
      <c r="D10" s="844">
        <f ca="1">IF(B1="",'数据-汇总表'!E6,IF(INDIRECT("'数据-取费表'!c"&amp;$G$1)="住宅",INDIRECT("'数据-取费表'!s"&amp;$G$1),INDIRECT("'数据-取费表'!k"&amp;$G$1)+INDIRECT("'数据-取费表'!s"&amp;$G$1)))</f>
        <v>314.25</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314.25</v>
      </c>
      <c r="E19" s="211">
        <f>'数据-取费表'!B31</f>
        <v>200</v>
      </c>
      <c r="F19" s="231"/>
      <c r="G19" s="1855" t="s">
        <v>3436</v>
      </c>
    </row>
    <row r="20" spans="1:7" s="214" customFormat="1" ht="13.5" customHeight="1">
      <c r="A20" s="255" t="s">
        <v>1493</v>
      </c>
      <c r="B20" s="210" t="s">
        <v>1494</v>
      </c>
      <c r="C20" s="232" t="e">
        <f>ROUND((C5+C19)*F20,0)</f>
        <v>#DIV/0!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t="e">
        <f ca="1">ROUND(SUM(C23:C25),0)</f>
        <v>#DIV/0!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9" t="s">
        <v>1502</v>
      </c>
      <c r="B23" s="215" t="s">
        <v>1503</v>
      </c>
      <c r="C23" s="1104" t="e">
        <f ca="1">ROUND(IF('数据-取费表'!B22&lt;=1,C5*F22*'数据-取费表'!B23,C5*(POWER((1+F22),'数据-取费表'!B23)-1)),0)</f>
        <v>#DIV/0!</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t="e">
        <f ca="1">ROUND(IF('数据-取费表'!B22&lt;=1,C20*F22*'数据-取费表'!B23/2,C20*(POWER((1+F22),'数据-取费表'!B23/2)-1)),0)</f>
        <v>#DIV/0!</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t="e">
        <f ca="1">C28</f>
        <v>#DIV/0!</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t="e">
        <f ca="1">ROUND((C5+C19+C20)*F27*'数据-取费表'!B21/'数据-取费表'!B20,0)</f>
        <v>#DIV/0!</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121</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110</v>
      </c>
      <c r="D34" s="217"/>
      <c r="E34" s="220"/>
      <c r="F34" s="257">
        <f ca="1">IF('数据-取费表'!B24=0,1,IF(B1="",'数据-取费表'!N16,INDIRECT("'数据-取费表'!n"&amp;$G$1)))</f>
        <v>1</v>
      </c>
      <c r="G34" s="219" t="s">
        <v>1526</v>
      </c>
    </row>
    <row r="35" spans="1:7" ht="13.5" customHeight="1">
      <c r="A35" s="779" t="s">
        <v>351</v>
      </c>
      <c r="B35" s="215" t="s">
        <v>1527</v>
      </c>
      <c r="C35" s="220">
        <f ca="1">ROUND(C34*F35,0)</f>
        <v>3</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6</v>
      </c>
      <c r="D37" s="217">
        <f ca="1">D19</f>
        <v>314.25</v>
      </c>
      <c r="E37" s="249">
        <f>'数据-取费表'!B35</f>
        <v>200</v>
      </c>
      <c r="F37" s="259"/>
      <c r="G37" s="261" t="s">
        <v>1532</v>
      </c>
    </row>
    <row r="38" spans="1:7" ht="13.5" customHeight="1">
      <c r="A38" s="779"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4</v>
      </c>
      <c r="D42" s="238"/>
      <c r="E42" s="238"/>
      <c r="F42" s="239"/>
      <c r="G42" s="3656" t="s">
        <v>1544</v>
      </c>
    </row>
    <row r="43" spans="1:7" ht="13.5" customHeight="1">
      <c r="A43" s="779" t="s">
        <v>347</v>
      </c>
      <c r="B43" s="215" t="s">
        <v>1545</v>
      </c>
      <c r="C43" s="238">
        <f ca="1">ROUND(IF('数据-取费表'!B22&lt;=1,C39*F22*'数据-取费表'!B21/2,C39*(POWER((1+F22),'数据-取费表'!B21/2)-1)),0)</f>
        <v>0</v>
      </c>
      <c r="D43" s="238"/>
      <c r="E43" s="238"/>
      <c r="F43" s="239"/>
      <c r="G43" s="3657"/>
    </row>
    <row r="44" spans="1:7" ht="13.5" customHeight="1">
      <c r="A44" s="779" t="s">
        <v>348</v>
      </c>
      <c r="B44" s="215" t="s">
        <v>1546</v>
      </c>
      <c r="C44" s="238">
        <f ca="1">ROUND(IF('数据-取费表'!B22&lt;=1,C40*F22*'数据-取费表'!B21/2,C40*(POWER((1+F22),'数据-取费表'!B21/2)-1)),4)</f>
        <v>6.9999999999999999E-4</v>
      </c>
      <c r="D44" s="238"/>
      <c r="E44" s="238"/>
      <c r="F44" s="239"/>
      <c r="G44" s="3658"/>
    </row>
    <row r="45" spans="1:7" s="214" customFormat="1" ht="13.5" customHeight="1">
      <c r="A45" s="255" t="s">
        <v>1547</v>
      </c>
      <c r="B45" s="244" t="s">
        <v>1513</v>
      </c>
      <c r="C45" s="245">
        <f ca="1">C46</f>
        <v>25</v>
      </c>
      <c r="D45" s="235">
        <f ca="1">C47</f>
        <v>4.0000000000000001E-3</v>
      </c>
      <c r="E45" s="236" t="s">
        <v>1539</v>
      </c>
      <c r="F45" s="246">
        <f ca="1">F27</f>
        <v>0.2</v>
      </c>
      <c r="G45" s="247" t="s">
        <v>1548</v>
      </c>
    </row>
    <row r="46" spans="1:7" s="214" customFormat="1" ht="13.5" customHeight="1">
      <c r="A46" s="779" t="s">
        <v>346</v>
      </c>
      <c r="B46" s="248" t="s">
        <v>1549</v>
      </c>
      <c r="C46" s="249">
        <f ca="1">ROUND((C33+C39)*F27,0)</f>
        <v>25</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165</v>
      </c>
      <c r="D49" s="232"/>
      <c r="E49" s="232"/>
      <c r="F49" s="264"/>
      <c r="G49" s="234" t="s">
        <v>1554</v>
      </c>
    </row>
    <row r="50" spans="1:7" s="258" customFormat="1" ht="24">
      <c r="A50" s="255" t="s">
        <v>1555</v>
      </c>
      <c r="B50" s="210" t="s">
        <v>1556</v>
      </c>
      <c r="C50" s="232"/>
      <c r="D50" s="232"/>
      <c r="E50" s="232"/>
      <c r="F50" s="264">
        <f>IF('数据-取费表'!B24=0,'数据-取费表'!N16,1)</f>
        <v>0.74</v>
      </c>
      <c r="G50" s="247" t="s">
        <v>1557</v>
      </c>
    </row>
    <row r="51" spans="1:7" ht="16.5" customHeight="1">
      <c r="A51" s="255" t="s">
        <v>1558</v>
      </c>
      <c r="B51" s="210" t="s">
        <v>1559</v>
      </c>
      <c r="C51" s="232">
        <f ca="1">ROUND(C49*F50,0)</f>
        <v>122</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4"/>
      <c r="F1" s="2804"/>
      <c r="G1" s="2669"/>
      <c r="H1" s="2804"/>
      <c r="I1" s="2804"/>
      <c r="J1" s="2804"/>
      <c r="K1" s="2805">
        <f>MATCH(C1,'数据-取费表'!A6:A16,0)+5</f>
        <v>7</v>
      </c>
    </row>
    <row r="2" spans="1:33" ht="18" customHeight="1">
      <c r="A2" s="201" t="s">
        <v>1462</v>
      </c>
      <c r="B2" s="204">
        <f ca="1">C32</f>
        <v>74753</v>
      </c>
      <c r="C2" s="276" t="s">
        <v>1595</v>
      </c>
      <c r="D2" s="276"/>
      <c r="E2" s="2804"/>
      <c r="F2" s="2804"/>
      <c r="G2" s="2804"/>
      <c r="H2" s="2804"/>
      <c r="I2" s="2804"/>
      <c r="J2" s="2804"/>
      <c r="K2" s="2804"/>
    </row>
    <row r="3" spans="1:33" ht="18" customHeight="1" thickBot="1">
      <c r="A3" s="203" t="s">
        <v>1464</v>
      </c>
      <c r="B3" s="204">
        <f ca="1">ROUND(B2*10000/IF(C1="",'数据-汇总表'!E3,INDIRECT("'数据-取费表'!K"&amp;$K$1)),0)</f>
        <v>2378775</v>
      </c>
      <c r="C3" s="276" t="s">
        <v>1596</v>
      </c>
      <c r="D3" s="276"/>
      <c r="E3" s="2804"/>
      <c r="F3" s="2804"/>
      <c r="G3" s="2804"/>
      <c r="H3" s="2804"/>
      <c r="I3" s="2804"/>
      <c r="J3" s="2804"/>
      <c r="K3" s="2804"/>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314.25</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314.25</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-62844</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6</v>
      </c>
      <c r="D20" s="845">
        <f ca="1">IF(C1="",'数据-汇总表'!E6,IF(INDIRECT("'数据-取费表'!c"&amp;$K$1)="住宅",INDIRECT("'数据-取费表'!s"&amp;$K$1),INDIRECT("'数据-取费表'!k"&amp;$K$1)+INDIRECT("'数据-取费表'!s"&amp;$K$1)))</f>
        <v>314.25</v>
      </c>
      <c r="E20" s="21">
        <f>'数据-取费表'!B28</f>
        <v>200</v>
      </c>
      <c r="F20" s="803"/>
      <c r="G20" s="12"/>
      <c r="H20" s="808"/>
      <c r="I20" s="808"/>
      <c r="J20" s="808"/>
      <c r="K20" s="809"/>
    </row>
    <row r="21" spans="1:33" s="802" customFormat="1" ht="13.5" customHeight="1">
      <c r="A21" s="789" t="s">
        <v>357</v>
      </c>
      <c r="B21" s="812" t="s">
        <v>1628</v>
      </c>
      <c r="C21" s="813">
        <f ca="1">C16+C17+C18</f>
        <v>-62844</v>
      </c>
      <c r="D21" s="814"/>
      <c r="E21" s="281"/>
      <c r="F21" s="281"/>
      <c r="G21" s="131" t="s">
        <v>1629</v>
      </c>
      <c r="H21" s="806"/>
      <c r="I21" s="806"/>
      <c r="J21" s="806"/>
      <c r="K21" s="807"/>
    </row>
    <row r="22" spans="1:33" s="802" customFormat="1" ht="13.5" customHeight="1">
      <c r="A22" s="789" t="s">
        <v>1601</v>
      </c>
      <c r="B22" s="812" t="s">
        <v>1630</v>
      </c>
      <c r="C22" s="813">
        <f ca="1">ROUND(C21*F22,0)</f>
        <v>-1257</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1641</v>
      </c>
      <c r="B28" s="1864" t="s">
        <v>1642</v>
      </c>
      <c r="C28" s="287">
        <f ca="1">C30</f>
        <v>-12820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-12820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74753</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85" zoomScaleNormal="70" zoomScaleSheetLayoutView="85" workbookViewId="0">
      <selection activeCell="H38" sqref="H3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16</v>
      </c>
      <c r="G1" s="1377">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679</v>
      </c>
      <c r="C2" s="1386" t="s">
        <v>805</v>
      </c>
      <c r="D2" s="1386"/>
      <c r="E2" s="1387"/>
      <c r="F2" s="1388"/>
      <c r="G2" s="2704"/>
      <c r="H2" s="2693"/>
      <c r="I2" s="2693"/>
      <c r="J2" s="2693"/>
      <c r="K2" s="2694"/>
      <c r="L2" s="2693"/>
      <c r="M2" s="2693"/>
    </row>
    <row r="3" spans="1:37" ht="18" customHeight="1" thickBot="1">
      <c r="A3" s="1389" t="s">
        <v>806</v>
      </c>
      <c r="B3" s="1390">
        <f ca="1">IF(ISERROR(B2*10000/F43),0,ROUND(B2*10000/F43,0))</f>
        <v>21607</v>
      </c>
      <c r="C3" s="1386" t="s">
        <v>807</v>
      </c>
      <c r="D3" s="1386"/>
      <c r="E3" s="1387"/>
      <c r="F3" s="1388"/>
      <c r="G3" s="2704"/>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62</v>
      </c>
      <c r="D5" s="1363" t="s">
        <v>693</v>
      </c>
      <c r="E5" s="1070"/>
      <c r="F5" s="1071"/>
      <c r="G5" s="1383"/>
      <c r="H5" s="299">
        <v>1</v>
      </c>
      <c r="I5" s="300" t="s">
        <v>692</v>
      </c>
      <c r="J5" s="1069">
        <f ca="1">J6+J10+J12</f>
        <v>0</v>
      </c>
      <c r="K5" s="1363" t="s">
        <v>693</v>
      </c>
      <c r="L5" s="1070"/>
      <c r="M5" s="1071"/>
    </row>
    <row r="6" spans="1:37" ht="18" customHeight="1">
      <c r="A6" s="1068" t="s">
        <v>398</v>
      </c>
      <c r="B6" s="3661" t="s">
        <v>694</v>
      </c>
      <c r="C6" s="1073">
        <f ca="1">ROUND(F6*F8*F7*(1-F9)/10000,0)</f>
        <v>62</v>
      </c>
      <c r="D6" s="155" t="s">
        <v>2109</v>
      </c>
      <c r="E6" s="302" t="s">
        <v>696</v>
      </c>
      <c r="F6" s="303">
        <f ca="1">INDIRECT("'数据-取费表'!u"&amp;$G$1)</f>
        <v>6</v>
      </c>
      <c r="G6" s="1383"/>
      <c r="H6" s="1068" t="s">
        <v>398</v>
      </c>
      <c r="I6" s="3661" t="s">
        <v>694</v>
      </c>
      <c r="J6" s="301">
        <f ca="1">ROUND(M6*M8*M7*(1-M9)/10000,0)</f>
        <v>0</v>
      </c>
      <c r="K6" s="155" t="s">
        <v>2108</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314.25</v>
      </c>
      <c r="G7" s="1383"/>
      <c r="H7" s="304"/>
      <c r="I7" s="3662"/>
      <c r="J7" s="306"/>
      <c r="K7" s="307"/>
      <c r="L7" s="302" t="s">
        <v>697</v>
      </c>
      <c r="M7" s="303">
        <f ca="1">F7</f>
        <v>314.25</v>
      </c>
    </row>
    <row r="8" spans="1:37" ht="18" customHeight="1">
      <c r="A8" s="304"/>
      <c r="B8" s="3662"/>
      <c r="C8" s="306"/>
      <c r="D8" s="307"/>
      <c r="E8" s="302" t="s">
        <v>698</v>
      </c>
      <c r="F8" s="303">
        <f ca="1">INDIRECT("'数据-取费表'!ai"&amp;$G$1)</f>
        <v>365</v>
      </c>
      <c r="G8" s="1383"/>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3"/>
      <c r="H9" s="304"/>
      <c r="I9" s="3663"/>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2117</v>
      </c>
      <c r="E10" s="313" t="s">
        <v>701</v>
      </c>
      <c r="F10" s="1115"/>
      <c r="G10" s="1383"/>
      <c r="H10" s="1068" t="s">
        <v>402</v>
      </c>
      <c r="I10" s="1364" t="s">
        <v>700</v>
      </c>
      <c r="J10" s="301">
        <f ca="1">ROUND(IF(M10="押一",J6/12*M11,IF(M10="押二",J6/12*2*M11,IF(M10="押三",J6/12*3*M11,J11*M11))),0)</f>
        <v>0</v>
      </c>
      <c r="K10" s="1365" t="s">
        <v>2116</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122</v>
      </c>
      <c r="D13" s="1080" t="s">
        <v>705</v>
      </c>
      <c r="E13" s="1080" t="s">
        <v>706</v>
      </c>
      <c r="F13" s="1081">
        <f ca="1">INDIRECT("'数据-取费表'!y"&amp;$G$1)</f>
        <v>0.74</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110</v>
      </c>
      <c r="D14" s="1344" t="s">
        <v>708</v>
      </c>
      <c r="E14" s="1341"/>
      <c r="F14" s="319"/>
      <c r="G14" s="1383"/>
      <c r="H14" s="981" t="s">
        <v>398</v>
      </c>
      <c r="I14" s="302" t="s">
        <v>709</v>
      </c>
      <c r="J14" s="21">
        <f ca="1">C29</f>
        <v>165</v>
      </c>
      <c r="K14" s="12"/>
      <c r="L14" s="806"/>
      <c r="M14" s="807"/>
    </row>
    <row r="15" spans="1:37" s="1396" customFormat="1" ht="18" customHeight="1" thickBot="1">
      <c r="A15" s="981" t="s">
        <v>399</v>
      </c>
      <c r="B15" s="302" t="s">
        <v>710</v>
      </c>
      <c r="C15" s="21">
        <f ca="1">ROUND(C14*F15,0)</f>
        <v>3</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v>
      </c>
      <c r="K16" s="1086" t="s">
        <v>715</v>
      </c>
      <c r="L16" s="1087"/>
      <c r="M16" s="1071"/>
    </row>
    <row r="17" spans="1:37" s="1396" customFormat="1" ht="18" customHeight="1">
      <c r="A17" s="981" t="s">
        <v>681</v>
      </c>
      <c r="B17" s="302" t="s">
        <v>716</v>
      </c>
      <c r="C17" s="21">
        <f ca="1">ROUND(F17*(F43+INDIRECT("'数据-取费表'!S"&amp;$G$1))/10000,0)</f>
        <v>6</v>
      </c>
      <c r="D17" s="302" t="s">
        <v>717</v>
      </c>
      <c r="E17" s="302" t="s">
        <v>718</v>
      </c>
      <c r="F17" s="23">
        <f>'数据-取费表'!B35</f>
        <v>200</v>
      </c>
      <c r="G17" s="1395"/>
      <c r="H17" s="981"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v>
      </c>
      <c r="D18" s="302" t="s">
        <v>711</v>
      </c>
      <c r="E18" s="302" t="s">
        <v>712</v>
      </c>
      <c r="F18" s="322">
        <f>'数据-取费表'!B36</f>
        <v>0.02</v>
      </c>
      <c r="G18" s="1395"/>
      <c r="H18" s="981"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121</v>
      </c>
      <c r="D19" s="131" t="s">
        <v>726</v>
      </c>
      <c r="E19" s="1359"/>
      <c r="F19" s="23"/>
      <c r="G19" s="1383"/>
      <c r="H19" s="981" t="s">
        <v>399</v>
      </c>
      <c r="I19" s="302" t="s">
        <v>727</v>
      </c>
      <c r="J19" s="21">
        <f ca="1">IF(K19="按租金收入计税",ROUND(J6*M19/(1+'数据-取费表'!C42),2),ROUND(C29*M19*0.7,2))</f>
        <v>0</v>
      </c>
      <c r="K19" s="1369" t="s">
        <v>3339</v>
      </c>
      <c r="L19" s="302" t="s">
        <v>712</v>
      </c>
      <c r="M19" s="322">
        <f>IF(K19="按租金收入计税",'数据-取费表'!B51,'数据-取费表'!B50)</f>
        <v>0.12</v>
      </c>
    </row>
    <row r="20" spans="1:37" s="1396" customFormat="1" ht="18" customHeight="1">
      <c r="A20" s="981" t="s">
        <v>402</v>
      </c>
      <c r="B20" s="302" t="s">
        <v>728</v>
      </c>
      <c r="C20" s="21">
        <f ca="1">ROUND(C19*F20,0)</f>
        <v>2</v>
      </c>
      <c r="D20" s="323" t="s">
        <v>729</v>
      </c>
      <c r="E20" s="302" t="s">
        <v>712</v>
      </c>
      <c r="F20" s="322">
        <f>'数据-取费表'!B37</f>
        <v>0.02</v>
      </c>
      <c r="G20" s="1395"/>
      <c r="H20" s="981" t="s">
        <v>680</v>
      </c>
      <c r="I20" s="155" t="s">
        <v>730</v>
      </c>
      <c r="J20" s="22">
        <f ca="1">ROUND(M20*M21/10000,2)</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ROUND(J14*M22,2)</f>
        <v>1.65</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-2</v>
      </c>
      <c r="K25" s="1094" t="s">
        <v>753</v>
      </c>
      <c r="L25" s="1095"/>
      <c r="M25" s="1096"/>
    </row>
    <row r="26" spans="1:37">
      <c r="A26" s="981" t="s">
        <v>397</v>
      </c>
      <c r="B26" s="302" t="s">
        <v>754</v>
      </c>
      <c r="C26" s="21">
        <f ca="1">ROUND((C19+C20)*F26,0)</f>
        <v>25</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0.06</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165</v>
      </c>
      <c r="D29" s="1091"/>
      <c r="E29" s="1089"/>
      <c r="F29" s="1092"/>
      <c r="G29" s="1395"/>
      <c r="H29" s="334" t="s">
        <v>396</v>
      </c>
      <c r="I29" s="335" t="s">
        <v>768</v>
      </c>
      <c r="J29" s="336">
        <f ca="1">ROUND(J26/(1+F40)^F41,0)</f>
        <v>0</v>
      </c>
      <c r="K29" s="337" t="s">
        <v>769</v>
      </c>
      <c r="L29" s="338"/>
      <c r="M29" s="339">
        <f ca="1">INDIRECT("'数据-取费表'!k"&amp;$G$1)</f>
        <v>314.25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7</v>
      </c>
      <c r="D30" s="1086" t="s">
        <v>715</v>
      </c>
      <c r="E30" s="1087"/>
      <c r="F30" s="1071"/>
      <c r="G30" s="1383"/>
      <c r="H30" s="2695"/>
      <c r="I30" s="1397"/>
      <c r="J30" s="1398"/>
      <c r="K30" s="2473"/>
      <c r="L30" s="2696"/>
      <c r="M30" s="2697"/>
    </row>
    <row r="31" spans="1:37" ht="18" customHeight="1">
      <c r="A31" s="981" t="s">
        <v>398</v>
      </c>
      <c r="B31" s="302" t="s">
        <v>719</v>
      </c>
      <c r="C31" s="2315">
        <f ca="1">ROUND(IF(AND(项目基本情况!B11="自然人",项目基本情况!B10="北京市"),C6*F31/(1+'数据-取费表'!C42),C32+C33+C34),2)</f>
        <v>4.13</v>
      </c>
      <c r="D31" s="1344" t="s">
        <v>720</v>
      </c>
      <c r="E31" s="1343" t="s">
        <v>770</v>
      </c>
      <c r="F31" s="2314">
        <f ca="1">IF(项目基本情况!B11="企业","——",IF(M47="住宅",IF(F6*F7*F8/12/(1+'数据-取费表'!F30)&gt;100000,4%,2.5%),IF(F6*F7*F8/12/(1+'数据-取费表'!F30)&gt;100000,12%,7%)))</f>
        <v>7.0000000000000007E-2</v>
      </c>
      <c r="G31" s="1383"/>
      <c r="H31" s="2806" t="s">
        <v>2310</v>
      </c>
      <c r="I31" s="1397"/>
      <c r="J31" s="1398"/>
      <c r="K31" s="2473"/>
      <c r="L31" s="2696"/>
      <c r="M31" s="2697"/>
    </row>
    <row r="32" spans="1:37" ht="18" customHeight="1">
      <c r="A32" s="981" t="s">
        <v>397</v>
      </c>
      <c r="B32" s="302" t="s">
        <v>723</v>
      </c>
      <c r="C32" s="21" t="str">
        <f>IF(项目基本情况!B11="自然人","——",ROUND(C6*F32/(1+'数据-取费表'!C42),2))</f>
        <v>——</v>
      </c>
      <c r="D32" s="1343" t="s">
        <v>724</v>
      </c>
      <c r="E32" s="302" t="s">
        <v>712</v>
      </c>
      <c r="F32" s="331">
        <f>'数据-取费表'!B41</f>
        <v>5.6000000000000001E-2</v>
      </c>
      <c r="G32" s="1383"/>
      <c r="H32" s="2695"/>
      <c r="I32" s="1397"/>
      <c r="J32" s="1398"/>
      <c r="K32" s="2473"/>
      <c r="L32" s="2696"/>
      <c r="M32" s="2697"/>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9" t="s">
        <v>3339</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t="str">
        <f>IF(项目基本情况!B11="自然人","——",ROUND(F34*F35/10000,2))</f>
        <v>——</v>
      </c>
      <c r="D34" s="324" t="s">
        <v>731</v>
      </c>
      <c r="E34" s="302" t="s">
        <v>732</v>
      </c>
      <c r="F34" s="325">
        <f>'数据-取费表'!B52</f>
        <v>1.5</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ROUND(C29*F36,2)</f>
        <v>1.65</v>
      </c>
      <c r="D36" s="1343" t="s">
        <v>771</v>
      </c>
      <c r="E36" s="302" t="s">
        <v>712</v>
      </c>
      <c r="F36" s="328">
        <f ca="1">INDIRECT("'数据-取费表'!Ak"&amp;$G$1)</f>
        <v>0.01</v>
      </c>
      <c r="G36" s="1383"/>
      <c r="H36" s="2698"/>
      <c r="I36" s="1397"/>
      <c r="J36" s="1398"/>
      <c r="K36" s="2542"/>
      <c r="L36" s="2698"/>
      <c r="M36" s="2698"/>
    </row>
    <row r="37" spans="1:18" ht="18" customHeight="1">
      <c r="A37" s="981" t="s">
        <v>437</v>
      </c>
      <c r="B37" s="302" t="s">
        <v>742</v>
      </c>
      <c r="C37" s="21">
        <f ca="1">ROUND(C13*F37,2)</f>
        <v>0.18</v>
      </c>
      <c r="D37" s="1343" t="s">
        <v>743</v>
      </c>
      <c r="E37" s="302" t="s">
        <v>744</v>
      </c>
      <c r="F37" s="330">
        <f ca="1">INDIRECT("'数据-取费表'!Al"&amp;$G$1)</f>
        <v>1.5E-3</v>
      </c>
      <c r="G37" s="1383"/>
      <c r="H37" s="2698"/>
      <c r="I37" s="1397"/>
      <c r="J37" s="1398"/>
      <c r="K37" s="2542"/>
      <c r="L37" s="2698"/>
      <c r="M37" s="2698"/>
    </row>
    <row r="38" spans="1:18" ht="18" customHeight="1" thickBot="1">
      <c r="A38" s="1088" t="s">
        <v>684</v>
      </c>
      <c r="B38" s="1089" t="s">
        <v>728</v>
      </c>
      <c r="C38" s="1090">
        <f ca="1">ROUND(C5*F38,2)</f>
        <v>0.62</v>
      </c>
      <c r="D38" s="1091" t="s">
        <v>748</v>
      </c>
      <c r="E38" s="1089" t="s">
        <v>744</v>
      </c>
      <c r="F38" s="1085">
        <f ca="1">INDIRECT("'数据-取费表'!Am"&amp;$G$1)</f>
        <v>0.01</v>
      </c>
      <c r="G38" s="1383"/>
      <c r="H38" s="2698"/>
      <c r="I38" s="1397"/>
      <c r="J38" s="1398"/>
      <c r="K38" s="2702"/>
      <c r="L38" s="2698"/>
      <c r="M38" s="2698"/>
    </row>
    <row r="39" spans="1:18" ht="24.6" customHeight="1" thickTop="1">
      <c r="A39" s="1078" t="s">
        <v>394</v>
      </c>
      <c r="B39" s="1093" t="s">
        <v>772</v>
      </c>
      <c r="C39" s="310">
        <f ca="1">C5-C30</f>
        <v>55</v>
      </c>
      <c r="D39" s="1094" t="s">
        <v>773</v>
      </c>
      <c r="E39" s="1095"/>
      <c r="F39" s="1096"/>
      <c r="G39" s="1383"/>
      <c r="H39" s="2698"/>
      <c r="I39" s="1397">
        <f ca="1">C39/C6</f>
        <v>0.88709677419354838</v>
      </c>
      <c r="J39" s="1398"/>
      <c r="K39" s="2702"/>
      <c r="L39" s="2698"/>
      <c r="M39" s="2698"/>
    </row>
    <row r="40" spans="1:18" ht="18" customHeight="1">
      <c r="A40" s="299" t="s">
        <v>395</v>
      </c>
      <c r="B40" s="300" t="s">
        <v>774</v>
      </c>
      <c r="C40" s="301">
        <f ca="1">ROUND(C39*(1-((1+F42)/(1+F40))^F41)/(F40-F42),0)</f>
        <v>653</v>
      </c>
      <c r="D40" s="324" t="s">
        <v>758</v>
      </c>
      <c r="E40" s="302" t="s">
        <v>759</v>
      </c>
      <c r="F40" s="312">
        <f ca="1">INDIRECT("'数据-取费表'!I"&amp;$G$1)</f>
        <v>0.06</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16</v>
      </c>
      <c r="G41" s="1383"/>
      <c r="H41" s="1190"/>
      <c r="I41" s="1397"/>
      <c r="J41" s="1398"/>
      <c r="K41" s="2542"/>
      <c r="L41" s="1190"/>
      <c r="M41" s="1190"/>
    </row>
    <row r="42" spans="1:18" ht="18" customHeight="1">
      <c r="A42" s="308"/>
      <c r="B42" s="309"/>
      <c r="C42" s="310"/>
      <c r="D42" s="327"/>
      <c r="E42" s="302" t="s">
        <v>766</v>
      </c>
      <c r="F42" s="312">
        <f ca="1">INDIRECT("'数据-取费表'!v"&amp;$G$1)</f>
        <v>2.5000000000000001E-2</v>
      </c>
      <c r="G42" s="1383"/>
      <c r="H42" s="1190"/>
      <c r="I42" s="1397"/>
      <c r="J42" s="1398"/>
      <c r="K42" s="2542"/>
      <c r="L42" s="1190"/>
      <c r="M42" s="1190"/>
    </row>
    <row r="43" spans="1:18" ht="18" customHeight="1" thickBot="1">
      <c r="A43" s="334" t="s">
        <v>396</v>
      </c>
      <c r="B43" s="335" t="s">
        <v>776</v>
      </c>
      <c r="C43" s="336">
        <f ca="1">ROUND(C40*10000/F43,0)</f>
        <v>20780</v>
      </c>
      <c r="D43" s="337" t="s">
        <v>777</v>
      </c>
      <c r="E43" s="338" t="s">
        <v>778</v>
      </c>
      <c r="F43" s="339">
        <f ca="1">INDIRECT("'数据-取费表'!k"&amp;$G$1)</f>
        <v>314.25</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3" t="s">
        <v>808</v>
      </c>
      <c r="P45" s="1460"/>
      <c r="Q45" s="1460"/>
      <c r="R45" s="1460"/>
    </row>
    <row r="46" spans="1:18" s="1383" customFormat="1" ht="13.5" thickBot="1">
      <c r="A46" s="1403" t="s">
        <v>809</v>
      </c>
      <c r="C46" s="1404">
        <f ca="1">C68-C40</f>
        <v>-673</v>
      </c>
      <c r="D46" s="1405" t="str">
        <f>C2</f>
        <v>万元</v>
      </c>
      <c r="E46" s="1399"/>
      <c r="F46" s="1399"/>
      <c r="I46" s="1406" t="s">
        <v>810</v>
      </c>
      <c r="J46" s="1407"/>
      <c r="K46" s="1408"/>
      <c r="L46" s="1409">
        <f ca="1">IF(M47="住宅",0,IF(L48&gt;J51,L60,J60))</f>
        <v>26</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3411</v>
      </c>
      <c r="K47" s="1415" t="s">
        <v>816</v>
      </c>
      <c r="L47" s="1416">
        <f ca="1">INDIRECT("'数据-取费表'!d"&amp;$G$1)</f>
        <v>40</v>
      </c>
      <c r="M47" s="1379" t="str">
        <f>IF(ISNUMBER(FIND("住宅",C1)),"住宅","非住宅")</f>
        <v>非住宅</v>
      </c>
      <c r="O47" s="1417" t="s">
        <v>403</v>
      </c>
      <c r="P47" s="1418" t="s">
        <v>817</v>
      </c>
      <c r="Q47" s="1419">
        <f ca="1">C40+J29</f>
        <v>653</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16</v>
      </c>
      <c r="O48" s="1417" t="s">
        <v>404</v>
      </c>
      <c r="P48" s="1418" t="s">
        <v>821</v>
      </c>
      <c r="Q48" s="1419">
        <f ca="1">J60</f>
        <v>26</v>
      </c>
      <c r="R48" s="1419" t="s">
        <v>822</v>
      </c>
    </row>
    <row r="49" spans="1:18" s="1383" customFormat="1" ht="13.5" thickBot="1">
      <c r="A49" s="974" t="s">
        <v>439</v>
      </c>
      <c r="B49" s="1370" t="s">
        <v>779</v>
      </c>
      <c r="C49" s="1113">
        <f ca="1">ROUND(F49*F51*F50*(1-F52)/10000,0)</f>
        <v>0</v>
      </c>
      <c r="D49" s="1054" t="s">
        <v>2110</v>
      </c>
      <c r="E49" s="1371" t="s">
        <v>780</v>
      </c>
      <c r="F49" s="1059"/>
      <c r="G49" s="1424"/>
      <c r="H49" s="722"/>
      <c r="I49" s="1420" t="s">
        <v>823</v>
      </c>
      <c r="J49" s="1425">
        <v>2010</v>
      </c>
      <c r="K49" s="1422" t="s">
        <v>824</v>
      </c>
      <c r="L49" s="1426"/>
      <c r="O49" s="1427" t="s">
        <v>405</v>
      </c>
      <c r="P49" s="1418" t="s">
        <v>825</v>
      </c>
      <c r="Q49" s="1419">
        <f ca="1">C29</f>
        <v>165</v>
      </c>
      <c r="R49" s="1419" t="s">
        <v>818</v>
      </c>
    </row>
    <row r="50" spans="1:18" s="1383" customFormat="1" ht="13.5" thickBot="1">
      <c r="A50" s="975"/>
      <c r="B50" s="978"/>
      <c r="C50" s="1117"/>
      <c r="D50" s="952"/>
      <c r="E50" s="1055" t="s">
        <v>697</v>
      </c>
      <c r="F50" s="1056">
        <f ca="1">F7</f>
        <v>314.25</v>
      </c>
      <c r="H50" s="722"/>
      <c r="I50" s="1420" t="s">
        <v>826</v>
      </c>
      <c r="J50" s="1428">
        <f>SUMPRODUCT((I63:I65=J47)*(J62:L62=J48)*(J63:L65))</f>
        <v>60</v>
      </c>
      <c r="K50" s="1422" t="s">
        <v>827</v>
      </c>
      <c r="L50" s="1426"/>
      <c r="M50" s="1429"/>
      <c r="O50" s="1427" t="s">
        <v>406</v>
      </c>
      <c r="P50" s="1418" t="s">
        <v>828</v>
      </c>
      <c r="Q50" s="1430">
        <f ca="1">J58</f>
        <v>0.5</v>
      </c>
      <c r="R50" s="1419"/>
    </row>
    <row r="51" spans="1:18" s="1383" customFormat="1" ht="13.5" thickBot="1">
      <c r="A51" s="976"/>
      <c r="B51" s="978"/>
      <c r="C51" s="979"/>
      <c r="D51" s="952"/>
      <c r="E51" s="980" t="s">
        <v>698</v>
      </c>
      <c r="F51" s="303">
        <f ca="1">F8</f>
        <v>365</v>
      </c>
      <c r="I51" s="1431" t="s">
        <v>829</v>
      </c>
      <c r="J51" s="1432">
        <f>IF(J49="",J50,J49+J50-YEAR('数据-取费表'!B2))</f>
        <v>46</v>
      </c>
      <c r="K51" s="1433" t="s">
        <v>830</v>
      </c>
      <c r="L51" s="1434">
        <f ca="1">ROUND(-PV(INDIRECT("'数据-取费表'!h"&amp;$G$1),J51,(C39-C13*C76),0),0)</f>
        <v>773</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16</v>
      </c>
      <c r="R52" s="1419" t="s">
        <v>835</v>
      </c>
    </row>
    <row r="53" spans="1:18" s="1383" customFormat="1" ht="24.75" thickBot="1">
      <c r="A53" s="1151" t="s">
        <v>440</v>
      </c>
      <c r="B53" s="1372"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16</v>
      </c>
      <c r="K53" s="3659" t="s">
        <v>837</v>
      </c>
      <c r="L53" s="3660"/>
      <c r="O53" s="1417" t="s">
        <v>409</v>
      </c>
      <c r="P53" s="1418" t="s">
        <v>838</v>
      </c>
      <c r="Q53" s="1419">
        <f ca="1">Q47+Q48</f>
        <v>679</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0.5</v>
      </c>
      <c r="K55" s="1444" t="s">
        <v>841</v>
      </c>
      <c r="L55" s="1445"/>
      <c r="O55" s="1410" t="s">
        <v>811</v>
      </c>
      <c r="P55" s="1411" t="s">
        <v>812</v>
      </c>
      <c r="Q55" s="1412" t="s">
        <v>813</v>
      </c>
      <c r="R55" s="1412" t="s">
        <v>814</v>
      </c>
    </row>
    <row r="56" spans="1:18" s="1383" customFormat="1" ht="25.5" thickTop="1" thickBot="1">
      <c r="A56" s="956">
        <v>2</v>
      </c>
      <c r="B56" s="957" t="s">
        <v>704</v>
      </c>
      <c r="C56" s="232">
        <f ca="1">C13</f>
        <v>122</v>
      </c>
      <c r="D56" s="1446"/>
      <c r="E56" s="1447"/>
      <c r="F56" s="1439"/>
      <c r="I56" s="1448" t="s">
        <v>842</v>
      </c>
      <c r="J56" s="1449" t="s">
        <v>3386</v>
      </c>
      <c r="K56" s="1420" t="s">
        <v>843</v>
      </c>
      <c r="L56" s="1423" t="str">
        <f ca="1">IF(L48&lt;J51,"——",L48-J53)</f>
        <v>——</v>
      </c>
      <c r="O56" s="1417" t="s">
        <v>403</v>
      </c>
      <c r="P56" s="1418" t="s">
        <v>817</v>
      </c>
      <c r="Q56" s="1419">
        <f ca="1">C40+J29</f>
        <v>653</v>
      </c>
      <c r="R56" s="1419" t="s">
        <v>818</v>
      </c>
    </row>
    <row r="57" spans="1:18" s="1383" customFormat="1" ht="24.75" thickBot="1">
      <c r="A57" s="1450"/>
      <c r="B57" s="949" t="s">
        <v>767</v>
      </c>
      <c r="C57" s="238">
        <f ca="1">C29</f>
        <v>165</v>
      </c>
      <c r="D57" s="1451"/>
      <c r="E57" s="1452"/>
      <c r="F57" s="1453"/>
      <c r="I57" s="1454" t="s">
        <v>844</v>
      </c>
      <c r="J57" s="1455">
        <f ca="1">IF(OR(M47="住宅",J51&lt;L48,J56="是"),"——",J51-L48)</f>
        <v>30</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2</v>
      </c>
      <c r="D58" s="959" t="s">
        <v>715</v>
      </c>
      <c r="E58" s="960"/>
      <c r="F58" s="961"/>
      <c r="I58" s="1454" t="s">
        <v>848</v>
      </c>
      <c r="J58" s="1456">
        <f ca="1">IF(J55&lt;0.4,0.4,J55)</f>
        <v>0.5</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83</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t="str">
        <f>IF(项目基本情况!B11="自然人","——",ROUND(C48*F60/(1+'数据-取费表'!C42),2))</f>
        <v>——</v>
      </c>
      <c r="D60" s="963" t="s">
        <v>724</v>
      </c>
      <c r="E60" s="949" t="s">
        <v>712</v>
      </c>
      <c r="F60" s="331">
        <f t="shared" ref="F60:F66" si="0">F32</f>
        <v>5.6000000000000001E-2</v>
      </c>
      <c r="I60" s="1457" t="s">
        <v>853</v>
      </c>
      <c r="J60" s="1458">
        <f ca="1">IF(OR(M47="住宅",J51&lt;L48,J56="是"),"0",ROUND(J59/(1+J52)^J53,0))</f>
        <v>26</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t="str">
        <f ca="1">IF(项目基本情况!B11="自然人","——",IF(D61="按租金收入计税",ROUND(C49*F61/(1+'数据-取费表'!C42),2),IF(D61="按房产原值计税",ROUND(C57*F61*0.7,2),INDIRECT("'数据-取费表'!Aj"&amp;$G$1))))</f>
        <v>——</v>
      </c>
      <c r="D61" s="1369" t="s">
        <v>3339</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t="str">
        <f>IF(项目基本情况!B11="自然人","——",ROUND(F62*F63/10000,2))</f>
        <v>——</v>
      </c>
      <c r="D62" s="964" t="s">
        <v>786</v>
      </c>
      <c r="E62" s="949" t="s">
        <v>787</v>
      </c>
      <c r="F62" s="325">
        <f t="shared" si="0"/>
        <v>1.5</v>
      </c>
      <c r="I62" s="1461" t="s">
        <v>858</v>
      </c>
      <c r="J62" s="1462" t="s">
        <v>859</v>
      </c>
      <c r="K62" s="1462" t="s">
        <v>860</v>
      </c>
      <c r="L62" s="1462" t="s">
        <v>861</v>
      </c>
      <c r="M62" s="1463" t="s">
        <v>862</v>
      </c>
      <c r="O62" s="1417" t="s">
        <v>409</v>
      </c>
      <c r="P62" s="1418" t="s">
        <v>863</v>
      </c>
      <c r="Q62" s="1419">
        <f ca="1">Q56+Q57</f>
        <v>653</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1.65</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0.18</v>
      </c>
      <c r="D65" s="963" t="s">
        <v>743</v>
      </c>
      <c r="E65" s="949" t="s">
        <v>744</v>
      </c>
      <c r="F65" s="330">
        <f t="shared" ca="1" si="0"/>
        <v>1.5E-3</v>
      </c>
      <c r="I65" s="1461" t="s">
        <v>867</v>
      </c>
      <c r="J65" s="1462">
        <v>40</v>
      </c>
      <c r="K65" s="1462">
        <v>30</v>
      </c>
      <c r="L65" s="1462">
        <v>50</v>
      </c>
      <c r="M65" s="1464">
        <v>0.02</v>
      </c>
      <c r="O65" s="1417" t="s">
        <v>403</v>
      </c>
      <c r="P65" s="1418" t="s">
        <v>868</v>
      </c>
      <c r="Q65" s="1419">
        <f ca="1">C40+J29</f>
        <v>653</v>
      </c>
      <c r="R65" s="1419" t="s">
        <v>818</v>
      </c>
    </row>
    <row r="66" spans="1:18" s="1383" customFormat="1" ht="16.5" thickBot="1">
      <c r="A66" s="981" t="s">
        <v>793</v>
      </c>
      <c r="B66" s="949" t="s">
        <v>728</v>
      </c>
      <c r="C66" s="21">
        <f ca="1">ROUND(C48*F66,2)</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-2</v>
      </c>
      <c r="D67" s="962" t="s">
        <v>753</v>
      </c>
      <c r="E67" s="967"/>
      <c r="F67" s="968"/>
      <c r="O67" s="1427" t="s">
        <v>405</v>
      </c>
      <c r="P67" s="1418" t="s">
        <v>850</v>
      </c>
      <c r="Q67" s="1465">
        <f ca="1">L51</f>
        <v>773</v>
      </c>
      <c r="R67" s="1419" t="s">
        <v>870</v>
      </c>
    </row>
    <row r="68" spans="1:18" s="1383" customFormat="1" ht="16.5" thickBot="1">
      <c r="A68" s="946" t="s">
        <v>395</v>
      </c>
      <c r="B68" s="947" t="s">
        <v>774</v>
      </c>
      <c r="C68" s="301">
        <f ca="1">ROUND(C67*(1-((1+F70)/(1+F68))^F69)/(F68-F70),0)</f>
        <v>-20</v>
      </c>
      <c r="D68" s="964" t="s">
        <v>758</v>
      </c>
      <c r="E68" s="949" t="s">
        <v>759</v>
      </c>
      <c r="F68" s="312">
        <f ca="1">F40</f>
        <v>0.06</v>
      </c>
      <c r="O68" s="1427" t="s">
        <v>406</v>
      </c>
      <c r="P68" s="1466" t="s">
        <v>871</v>
      </c>
      <c r="Q68" s="1419">
        <f ca="1">ROUND(Q69-Q70*Q71,0)</f>
        <v>46</v>
      </c>
      <c r="R68" s="1419" t="s">
        <v>414</v>
      </c>
    </row>
    <row r="69" spans="1:18" s="1383" customFormat="1" ht="13.5" thickBot="1">
      <c r="A69" s="950"/>
      <c r="B69" s="951"/>
      <c r="C69" s="306"/>
      <c r="D69" s="969" t="s">
        <v>762</v>
      </c>
      <c r="E69" s="949" t="s">
        <v>763</v>
      </c>
      <c r="F69" s="333">
        <f ca="1">F41</f>
        <v>16</v>
      </c>
      <c r="O69" s="1427" t="s">
        <v>411</v>
      </c>
      <c r="P69" s="1466" t="s">
        <v>872</v>
      </c>
      <c r="Q69" s="1419">
        <f ca="1">C39</f>
        <v>55</v>
      </c>
      <c r="R69" s="1419" t="s">
        <v>818</v>
      </c>
    </row>
    <row r="70" spans="1:18" s="1383" customFormat="1" ht="13.5" thickBot="1">
      <c r="A70" s="953"/>
      <c r="B70" s="954"/>
      <c r="C70" s="310"/>
      <c r="D70" s="965"/>
      <c r="E70" s="949" t="s">
        <v>766</v>
      </c>
      <c r="F70" s="1053"/>
      <c r="O70" s="1427" t="s">
        <v>412</v>
      </c>
      <c r="P70" s="1466" t="s">
        <v>873</v>
      </c>
      <c r="Q70" s="1419">
        <f ca="1">C13</f>
        <v>122</v>
      </c>
      <c r="R70" s="1419" t="s">
        <v>818</v>
      </c>
    </row>
    <row r="71" spans="1:18" s="1383" customFormat="1" ht="13.5" thickBot="1">
      <c r="A71" s="970" t="s">
        <v>396</v>
      </c>
      <c r="B71" s="971" t="s">
        <v>776</v>
      </c>
      <c r="C71" s="336">
        <f ca="1">ROUND(C68*10000/F71,0)</f>
        <v>-636</v>
      </c>
      <c r="D71" s="972" t="s">
        <v>777</v>
      </c>
      <c r="E71" s="973" t="s">
        <v>778</v>
      </c>
      <c r="F71" s="339">
        <f ca="1">F43</f>
        <v>314.25</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9</v>
      </c>
      <c r="D75" s="1383"/>
      <c r="E75" s="1383"/>
      <c r="F75" s="1383"/>
      <c r="K75" s="1401"/>
      <c r="L75" s="1383"/>
      <c r="O75" s="1417" t="s">
        <v>409</v>
      </c>
      <c r="P75" s="1418" t="s">
        <v>838</v>
      </c>
      <c r="Q75" s="1419">
        <f ca="1">Q65+Q66</f>
        <v>653</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0.83599999999999997</v>
      </c>
    </row>
    <row r="80" spans="1:18">
      <c r="B80" s="340" t="s">
        <v>800</v>
      </c>
      <c r="C80" s="274">
        <f ca="1">ROUND(C75/C39,3)</f>
        <v>0.16400000000000001</v>
      </c>
    </row>
    <row r="81" spans="2:3">
      <c r="B81" s="270" t="s">
        <v>801</v>
      </c>
      <c r="C81" s="238"/>
    </row>
    <row r="82" spans="2:3">
      <c r="B82" s="273" t="s">
        <v>802</v>
      </c>
      <c r="C82" s="275">
        <f ca="1">1-C83</f>
        <v>0.81299999999999994</v>
      </c>
    </row>
    <row r="83" spans="2:3">
      <c r="B83" s="273" t="s">
        <v>803</v>
      </c>
      <c r="C83" s="274">
        <f ca="1">ROUND(C13/C40,3)</f>
        <v>0.187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3" zoomScale="85" zoomScaleNormal="70" zoomScaleSheetLayoutView="85" workbookViewId="0">
      <selection activeCell="M36" sqref="M3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673</v>
      </c>
      <c r="E1" s="3423" t="s">
        <v>3396</v>
      </c>
      <c r="F1" s="1878" t="s">
        <v>3397</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1122.2496000000001</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2"/>
      <c r="M2" s="2733"/>
      <c r="N2" s="2733"/>
      <c r="O2" s="2733"/>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35712</v>
      </c>
      <c r="C3" s="354" t="s">
        <v>1768</v>
      </c>
      <c r="D3" s="353">
        <f>IF(D1="",'数据-汇总表'!E3,SUMIF('数据-汇总表'!$C19:$C33,D1,'数据-汇总表'!$E19:$E33))</f>
        <v>314.25</v>
      </c>
      <c r="E3" s="1953"/>
      <c r="F3" s="908"/>
      <c r="G3" s="907"/>
      <c r="H3" s="907"/>
      <c r="I3" s="907"/>
      <c r="J3" s="907"/>
      <c r="K3" s="909"/>
      <c r="L3" s="2732"/>
      <c r="M3" s="2733"/>
      <c r="N3" s="2733"/>
      <c r="O3" s="2733"/>
      <c r="P3" s="1951"/>
      <c r="Q3" s="911"/>
      <c r="R3" s="911"/>
      <c r="S3" s="911"/>
      <c r="T3" s="911"/>
      <c r="U3" s="911"/>
      <c r="V3" s="911"/>
      <c r="W3" s="911"/>
      <c r="X3" s="911"/>
      <c r="Y3" s="911"/>
      <c r="Z3" s="911"/>
      <c r="AA3" s="911"/>
      <c r="AB3" s="911"/>
      <c r="AC3" s="1953"/>
    </row>
    <row r="4" spans="1:29" ht="15">
      <c r="A4" s="355" t="s">
        <v>1769</v>
      </c>
      <c r="B4" s="356"/>
      <c r="C4" s="3683" t="s">
        <v>1770</v>
      </c>
      <c r="D4" s="3684"/>
      <c r="E4" s="3685" t="s">
        <v>1771</v>
      </c>
      <c r="F4" s="3686"/>
      <c r="G4" s="3683" t="s">
        <v>1772</v>
      </c>
      <c r="H4" s="3684"/>
      <c r="I4" s="3683" t="s">
        <v>1773</v>
      </c>
      <c r="J4" s="3684"/>
      <c r="K4" s="559" t="s">
        <v>1774</v>
      </c>
      <c r="L4" s="2713"/>
      <c r="M4" s="2714"/>
      <c r="N4" s="2714"/>
      <c r="O4" s="2714"/>
      <c r="P4" s="3687" t="s">
        <v>1775</v>
      </c>
      <c r="Q4" s="3688"/>
      <c r="R4" s="3693" t="s">
        <v>1771</v>
      </c>
      <c r="S4" s="3694"/>
      <c r="T4" s="3693" t="s">
        <v>1772</v>
      </c>
      <c r="U4" s="3694"/>
      <c r="V4" s="3678" t="s">
        <v>1773</v>
      </c>
      <c r="W4" s="3678"/>
      <c r="X4" s="1354"/>
      <c r="Y4" s="3693" t="s">
        <v>1775</v>
      </c>
      <c r="Z4" s="3694"/>
      <c r="AA4" s="3680" t="s">
        <v>1771</v>
      </c>
      <c r="AB4" s="3678" t="s">
        <v>1772</v>
      </c>
      <c r="AC4" s="3680" t="s">
        <v>1773</v>
      </c>
    </row>
    <row r="5" spans="1:29" ht="15">
      <c r="A5" s="358"/>
      <c r="B5" s="359"/>
      <c r="C5" s="3701" t="s">
        <v>3471</v>
      </c>
      <c r="D5" s="3702"/>
      <c r="E5" s="3708" t="s">
        <v>3471</v>
      </c>
      <c r="F5" s="3709"/>
      <c r="G5" s="3701" t="s">
        <v>3471</v>
      </c>
      <c r="H5" s="3702"/>
      <c r="I5" s="3701" t="s">
        <v>3472</v>
      </c>
      <c r="J5" s="3702"/>
      <c r="K5" s="559"/>
      <c r="L5" s="2713"/>
      <c r="M5" s="2714"/>
      <c r="N5" s="2714"/>
      <c r="O5" s="2714"/>
      <c r="P5" s="3689"/>
      <c r="Q5" s="3690"/>
      <c r="R5" s="3695"/>
      <c r="S5" s="3696"/>
      <c r="T5" s="3695"/>
      <c r="U5" s="3696"/>
      <c r="V5" s="3678"/>
      <c r="W5" s="3678"/>
      <c r="X5" s="1354"/>
      <c r="Y5" s="3695"/>
      <c r="Z5" s="3696"/>
      <c r="AA5" s="3681"/>
      <c r="AB5" s="3678"/>
      <c r="AC5" s="3681"/>
    </row>
    <row r="6" spans="1:29" ht="15.75" thickBot="1">
      <c r="A6" s="360"/>
      <c r="B6" s="361"/>
      <c r="C6" s="3699" t="s">
        <v>1677</v>
      </c>
      <c r="D6" s="3700"/>
      <c r="E6" s="3706" t="s">
        <v>1677</v>
      </c>
      <c r="F6" s="3707"/>
      <c r="G6" s="3699" t="s">
        <v>1677</v>
      </c>
      <c r="H6" s="3700"/>
      <c r="I6" s="3699" t="s">
        <v>1677</v>
      </c>
      <c r="J6" s="3700"/>
      <c r="K6" s="559" t="s">
        <v>1678</v>
      </c>
      <c r="L6" s="2713"/>
      <c r="M6" s="2714"/>
      <c r="N6" s="2714"/>
      <c r="O6" s="2714"/>
      <c r="P6" s="3691"/>
      <c r="Q6" s="3692"/>
      <c r="R6" s="3695"/>
      <c r="S6" s="3696"/>
      <c r="T6" s="3697"/>
      <c r="U6" s="3698"/>
      <c r="V6" s="3678"/>
      <c r="W6" s="3678"/>
      <c r="X6" s="1354"/>
      <c r="Y6" s="3697"/>
      <c r="Z6" s="3698"/>
      <c r="AA6" s="3682"/>
      <c r="AB6" s="3678"/>
      <c r="AC6" s="3682"/>
    </row>
    <row r="7" spans="1:29" s="108" customFormat="1" ht="15.75" thickBot="1">
      <c r="A7" s="362" t="s">
        <v>1679</v>
      </c>
      <c r="B7" s="363"/>
      <c r="C7" s="364">
        <f>'数据-取费表'!B2</f>
        <v>45435</v>
      </c>
      <c r="D7" s="365">
        <v>100</v>
      </c>
      <c r="E7" s="366">
        <v>45413</v>
      </c>
      <c r="F7" s="367">
        <f>SUMIF(58:58,YEAR(E7)&amp;"-"&amp;MONTH(E7),59:59)</f>
        <v>100</v>
      </c>
      <c r="G7" s="366">
        <v>45413</v>
      </c>
      <c r="H7" s="365">
        <f>SUMIF(58:58,YEAR(G7)&amp;"-"&amp;MONTH(G7),59:59)</f>
        <v>100</v>
      </c>
      <c r="I7" s="366">
        <v>45413</v>
      </c>
      <c r="J7" s="365">
        <f>SUMIF(58:58,YEAR(I7)&amp;"-"&amp;MONTH(I7),59:59)</f>
        <v>100</v>
      </c>
      <c r="K7" s="560"/>
      <c r="L7" s="2715"/>
      <c r="M7" s="2716"/>
      <c r="N7" s="2716"/>
      <c r="O7" s="2716"/>
      <c r="P7" s="3703" t="s">
        <v>1680</v>
      </c>
      <c r="Q7" s="3705"/>
      <c r="R7" s="700" t="s">
        <v>14</v>
      </c>
      <c r="S7" s="701">
        <f t="shared" ref="S7:S15" si="0">F7</f>
        <v>100</v>
      </c>
      <c r="T7" s="700" t="s">
        <v>14</v>
      </c>
      <c r="U7" s="701">
        <f t="shared" ref="U7:U15" si="1">H7</f>
        <v>100</v>
      </c>
      <c r="V7" s="700" t="s">
        <v>14</v>
      </c>
      <c r="W7" s="701">
        <f t="shared" ref="W7:W15" si="2">J7</f>
        <v>100</v>
      </c>
      <c r="X7" s="702"/>
      <c r="Y7" s="3703" t="s">
        <v>1680</v>
      </c>
      <c r="Z7" s="3704"/>
      <c r="AA7" s="703">
        <f>D7/F7</f>
        <v>1</v>
      </c>
      <c r="AB7" s="703">
        <f>D7/H7</f>
        <v>1</v>
      </c>
      <c r="AC7" s="703">
        <f>D7/J7</f>
        <v>1</v>
      </c>
    </row>
    <row r="8" spans="1:29" s="108" customFormat="1" ht="15.75" thickBot="1">
      <c r="A8" s="362" t="s">
        <v>1681</v>
      </c>
      <c r="B8" s="363"/>
      <c r="C8" s="368" t="s">
        <v>3398</v>
      </c>
      <c r="D8" s="365">
        <v>100</v>
      </c>
      <c r="E8" s="368" t="s">
        <v>3468</v>
      </c>
      <c r="F8" s="367">
        <f>SUMIF(61:61,E8,62:62)-SUMIF(61:61,C8,62:62)+100</f>
        <v>105</v>
      </c>
      <c r="G8" s="368" t="s">
        <v>3468</v>
      </c>
      <c r="H8" s="365">
        <f>SUMIF(61:61,G8,62:62)-SUMIF(61:61,C8,62:62)+100</f>
        <v>105</v>
      </c>
      <c r="I8" s="368" t="s">
        <v>3468</v>
      </c>
      <c r="J8" s="365">
        <f>SUMIF(61:61,I8,62:62)-SUMIF(61:61,C8,62:62)+100</f>
        <v>105</v>
      </c>
      <c r="K8" s="560"/>
      <c r="L8" s="2715"/>
      <c r="M8" s="2716"/>
      <c r="N8" s="2716"/>
      <c r="O8" s="2716"/>
      <c r="P8" s="3703" t="s">
        <v>1683</v>
      </c>
      <c r="Q8" s="3704"/>
      <c r="R8" s="700" t="s">
        <v>14</v>
      </c>
      <c r="S8" s="701">
        <f t="shared" si="0"/>
        <v>105</v>
      </c>
      <c r="T8" s="700" t="s">
        <v>14</v>
      </c>
      <c r="U8" s="701">
        <f t="shared" si="1"/>
        <v>105</v>
      </c>
      <c r="V8" s="700" t="s">
        <v>14</v>
      </c>
      <c r="W8" s="701">
        <f t="shared" si="2"/>
        <v>105</v>
      </c>
      <c r="X8" s="702"/>
      <c r="Y8" s="3703" t="s">
        <v>1683</v>
      </c>
      <c r="Z8" s="3704"/>
      <c r="AA8" s="703">
        <f t="shared" ref="AA8:AA46" si="3">D8/F8</f>
        <v>0.95238095238095233</v>
      </c>
      <c r="AB8" s="703">
        <f t="shared" ref="AB8:AB46" si="4">D8/H8</f>
        <v>0.95238095238095233</v>
      </c>
      <c r="AC8" s="703">
        <f t="shared" ref="AC8:AC46" si="5">D8/J8</f>
        <v>0.95238095238095233</v>
      </c>
    </row>
    <row r="9" spans="1:29" s="108" customFormat="1">
      <c r="A9" s="369" t="s">
        <v>1684</v>
      </c>
      <c r="B9" s="63" t="s">
        <v>1685</v>
      </c>
      <c r="C9" s="3446" t="s">
        <v>3399</v>
      </c>
      <c r="D9" s="126">
        <v>100</v>
      </c>
      <c r="E9" s="371" t="s">
        <v>673</v>
      </c>
      <c r="F9" s="372">
        <f>SUMIF(63:63,E9,64:64)-SUMIF(63:63,C9,64:64)+100</f>
        <v>100</v>
      </c>
      <c r="G9" s="371" t="s">
        <v>673</v>
      </c>
      <c r="H9" s="126">
        <f>SUMIF(63:63,G9,64:64)-SUMIF(63:63,C9,64:64)+100</f>
        <v>100</v>
      </c>
      <c r="I9" s="371" t="s">
        <v>673</v>
      </c>
      <c r="J9" s="126">
        <f>SUMIF(63:63,I9,64:64)-SUMIF(63:63,C9,64:64)+100</f>
        <v>100</v>
      </c>
      <c r="K9" s="560"/>
      <c r="L9" s="2715"/>
      <c r="M9" s="2716"/>
      <c r="N9" s="2716"/>
      <c r="O9" s="2716"/>
      <c r="P9" s="3679"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7"/>
      <c r="M10" s="2718"/>
      <c r="N10" s="2718"/>
      <c r="O10" s="2718"/>
      <c r="P10" s="3679"/>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79"/>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9"/>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9"/>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9"/>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0"/>
      <c r="M15" s="2714"/>
      <c r="N15" s="2714"/>
      <c r="O15" s="2714"/>
      <c r="P15" s="3669" t="s">
        <v>1691</v>
      </c>
      <c r="Q15" s="1351" t="str">
        <f t="shared" si="6"/>
        <v>商业繁华度</v>
      </c>
      <c r="R15" s="704" t="s">
        <v>14</v>
      </c>
      <c r="S15" s="705">
        <f t="shared" si="0"/>
        <v>100</v>
      </c>
      <c r="T15" s="704" t="s">
        <v>14</v>
      </c>
      <c r="U15" s="705">
        <f t="shared" si="1"/>
        <v>100</v>
      </c>
      <c r="V15" s="704" t="s">
        <v>14</v>
      </c>
      <c r="W15" s="705">
        <f t="shared" si="2"/>
        <v>100</v>
      </c>
      <c r="X15" s="1354"/>
      <c r="Y15" s="3671" t="s">
        <v>1691</v>
      </c>
      <c r="Z15" s="1355" t="str">
        <f t="shared" si="7"/>
        <v>商业繁华度</v>
      </c>
      <c r="AA15" s="1352">
        <f t="shared" si="3"/>
        <v>1</v>
      </c>
      <c r="AB15" s="1352">
        <f t="shared" si="4"/>
        <v>1</v>
      </c>
      <c r="AC15" s="1352">
        <f t="shared" si="5"/>
        <v>1</v>
      </c>
    </row>
    <row r="16" spans="1:29" ht="15">
      <c r="A16" s="379"/>
      <c r="B16" s="397"/>
      <c r="C16" s="398" t="s">
        <v>3405</v>
      </c>
      <c r="D16" s="399"/>
      <c r="E16" s="398" t="s">
        <v>3405</v>
      </c>
      <c r="F16" s="400"/>
      <c r="G16" s="398" t="s">
        <v>3405</v>
      </c>
      <c r="H16" s="401"/>
      <c r="I16" s="398" t="s">
        <v>3405</v>
      </c>
      <c r="J16" s="399"/>
      <c r="K16" s="564"/>
      <c r="L16" s="2720"/>
      <c r="M16" s="2714"/>
      <c r="N16" s="2714"/>
      <c r="O16" s="2714"/>
      <c r="P16" s="3670"/>
      <c r="Q16" s="1351"/>
      <c r="R16" s="704"/>
      <c r="S16" s="705"/>
      <c r="T16" s="704"/>
      <c r="U16" s="705"/>
      <c r="V16" s="704"/>
      <c r="W16" s="705"/>
      <c r="X16" s="1354"/>
      <c r="Y16" s="3672"/>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0"/>
      <c r="M17" s="2714"/>
      <c r="N17" s="2714"/>
      <c r="O17" s="2714"/>
      <c r="P17" s="3670"/>
      <c r="Q17" s="1351" t="str">
        <f>B17</f>
        <v>交通便捷度</v>
      </c>
      <c r="R17" s="704" t="s">
        <v>14</v>
      </c>
      <c r="S17" s="705">
        <f>F17</f>
        <v>100</v>
      </c>
      <c r="T17" s="704" t="s">
        <v>14</v>
      </c>
      <c r="U17" s="705">
        <f>H17</f>
        <v>100</v>
      </c>
      <c r="V17" s="704" t="s">
        <v>14</v>
      </c>
      <c r="W17" s="705">
        <f>J17</f>
        <v>100</v>
      </c>
      <c r="X17" s="1354"/>
      <c r="Y17" s="3672"/>
      <c r="Z17" s="1355" t="str">
        <f>Q17</f>
        <v>交通便捷度</v>
      </c>
      <c r="AA17" s="1352">
        <f t="shared" si="3"/>
        <v>1</v>
      </c>
      <c r="AB17" s="1352">
        <f t="shared" si="4"/>
        <v>1</v>
      </c>
      <c r="AC17" s="1352">
        <f t="shared" si="5"/>
        <v>1</v>
      </c>
    </row>
    <row r="18" spans="1:29" ht="15">
      <c r="A18" s="379"/>
      <c r="B18" s="407"/>
      <c r="C18" s="398" t="s">
        <v>3405</v>
      </c>
      <c r="D18" s="401"/>
      <c r="E18" s="398" t="s">
        <v>3405</v>
      </c>
      <c r="F18" s="404"/>
      <c r="G18" s="398" t="s">
        <v>3405</v>
      </c>
      <c r="H18" s="399"/>
      <c r="I18" s="398" t="s">
        <v>3405</v>
      </c>
      <c r="J18" s="399"/>
      <c r="K18" s="564"/>
      <c r="L18" s="2720"/>
      <c r="M18" s="2714"/>
      <c r="N18" s="2714"/>
      <c r="O18" s="2714"/>
      <c r="P18" s="3670"/>
      <c r="Q18" s="1351"/>
      <c r="R18" s="704"/>
      <c r="S18" s="705"/>
      <c r="T18" s="704"/>
      <c r="U18" s="705"/>
      <c r="V18" s="704"/>
      <c r="W18" s="705"/>
      <c r="X18" s="1354"/>
      <c r="Y18" s="3672"/>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0"/>
      <c r="M19" s="2714"/>
      <c r="N19" s="2714"/>
      <c r="O19" s="2714"/>
      <c r="P19" s="3670"/>
      <c r="Q19" s="1351" t="str">
        <f>B19</f>
        <v>公共配套设施</v>
      </c>
      <c r="R19" s="704" t="s">
        <v>14</v>
      </c>
      <c r="S19" s="705">
        <f>F19</f>
        <v>100</v>
      </c>
      <c r="T19" s="704" t="s">
        <v>14</v>
      </c>
      <c r="U19" s="705">
        <f>H19</f>
        <v>100</v>
      </c>
      <c r="V19" s="704" t="s">
        <v>14</v>
      </c>
      <c r="W19" s="705">
        <f>J19</f>
        <v>100</v>
      </c>
      <c r="X19" s="1354"/>
      <c r="Y19" s="3672"/>
      <c r="Z19" s="1355" t="str">
        <f>Q19</f>
        <v>公共配套设施</v>
      </c>
      <c r="AA19" s="1352">
        <f t="shared" si="3"/>
        <v>1</v>
      </c>
      <c r="AB19" s="1352">
        <f t="shared" si="4"/>
        <v>1</v>
      </c>
      <c r="AC19" s="1352">
        <f t="shared" si="5"/>
        <v>1</v>
      </c>
    </row>
    <row r="20" spans="1:29" ht="15">
      <c r="A20" s="379"/>
      <c r="B20" s="407"/>
      <c r="C20" s="398" t="s">
        <v>3405</v>
      </c>
      <c r="D20" s="399"/>
      <c r="E20" s="398" t="s">
        <v>3405</v>
      </c>
      <c r="F20" s="400"/>
      <c r="G20" s="398" t="s">
        <v>3405</v>
      </c>
      <c r="H20" s="399"/>
      <c r="I20" s="398" t="s">
        <v>3405</v>
      </c>
      <c r="J20" s="399"/>
      <c r="K20" s="564"/>
      <c r="L20" s="2720"/>
      <c r="M20" s="2714"/>
      <c r="N20" s="2714"/>
      <c r="O20" s="2714"/>
      <c r="P20" s="3670"/>
      <c r="Q20" s="1351"/>
      <c r="R20" s="704"/>
      <c r="S20" s="705"/>
      <c r="T20" s="704"/>
      <c r="U20" s="705"/>
      <c r="V20" s="704"/>
      <c r="W20" s="705"/>
      <c r="X20" s="1354"/>
      <c r="Y20" s="3672"/>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0"/>
      <c r="M21" s="2714"/>
      <c r="N21" s="2714"/>
      <c r="O21" s="2714"/>
      <c r="P21" s="3670"/>
      <c r="Q21" s="1351" t="str">
        <f>B21</f>
        <v>基础设施水平</v>
      </c>
      <c r="R21" s="704" t="s">
        <v>14</v>
      </c>
      <c r="S21" s="705">
        <f>F21</f>
        <v>100</v>
      </c>
      <c r="T21" s="704" t="s">
        <v>14</v>
      </c>
      <c r="U21" s="705">
        <f>H21</f>
        <v>100</v>
      </c>
      <c r="V21" s="704" t="s">
        <v>14</v>
      </c>
      <c r="W21" s="705">
        <f>J21</f>
        <v>100</v>
      </c>
      <c r="X21" s="1354"/>
      <c r="Y21" s="3672"/>
      <c r="Z21" s="1355" t="str">
        <f>Q21</f>
        <v>基础设施水平</v>
      </c>
      <c r="AA21" s="1352">
        <f t="shared" ref="AA21" si="8">D21/F21</f>
        <v>1</v>
      </c>
      <c r="AB21" s="1352">
        <f t="shared" ref="AB21" si="9">D21/H21</f>
        <v>1</v>
      </c>
      <c r="AC21" s="1352">
        <f t="shared" ref="AC21" si="10">D21/J21</f>
        <v>1</v>
      </c>
    </row>
    <row r="22" spans="1:29" ht="15">
      <c r="A22" s="379"/>
      <c r="B22" s="1130"/>
      <c r="C22" s="1900" t="s">
        <v>3413</v>
      </c>
      <c r="D22" s="399"/>
      <c r="E22" s="1900" t="s">
        <v>3413</v>
      </c>
      <c r="F22" s="400"/>
      <c r="G22" s="1900" t="s">
        <v>3413</v>
      </c>
      <c r="H22" s="399"/>
      <c r="I22" s="1900" t="s">
        <v>3413</v>
      </c>
      <c r="J22" s="399"/>
      <c r="K22" s="1129"/>
      <c r="L22" s="2720"/>
      <c r="M22" s="2714"/>
      <c r="N22" s="2714"/>
      <c r="O22" s="2714"/>
      <c r="P22" s="3670"/>
      <c r="Q22" s="1351"/>
      <c r="R22" s="704"/>
      <c r="S22" s="705"/>
      <c r="T22" s="704"/>
      <c r="U22" s="705"/>
      <c r="V22" s="704"/>
      <c r="W22" s="705"/>
      <c r="X22" s="1354"/>
      <c r="Y22" s="3672"/>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0"/>
      <c r="M23" s="2714"/>
      <c r="N23" s="2714"/>
      <c r="O23" s="2714"/>
      <c r="P23" s="3670"/>
      <c r="Q23" s="1351" t="str">
        <f>B23</f>
        <v>自然及人文环境</v>
      </c>
      <c r="R23" s="704" t="s">
        <v>14</v>
      </c>
      <c r="S23" s="705">
        <f>F23</f>
        <v>100</v>
      </c>
      <c r="T23" s="704" t="s">
        <v>14</v>
      </c>
      <c r="U23" s="705">
        <f>H23</f>
        <v>100</v>
      </c>
      <c r="V23" s="704" t="s">
        <v>14</v>
      </c>
      <c r="W23" s="705">
        <f>J23</f>
        <v>100</v>
      </c>
      <c r="X23" s="1354"/>
      <c r="Y23" s="3672"/>
      <c r="Z23" s="1355" t="str">
        <f>Q23</f>
        <v>自然及人文环境</v>
      </c>
      <c r="AA23" s="1352">
        <f t="shared" si="3"/>
        <v>1</v>
      </c>
      <c r="AB23" s="1352">
        <f t="shared" si="4"/>
        <v>1</v>
      </c>
      <c r="AC23" s="1352">
        <f t="shared" si="5"/>
        <v>1</v>
      </c>
    </row>
    <row r="24" spans="1:29" ht="15">
      <c r="A24" s="379"/>
      <c r="B24" s="407"/>
      <c r="C24" s="398" t="s">
        <v>3405</v>
      </c>
      <c r="D24" s="399"/>
      <c r="E24" s="398" t="s">
        <v>3405</v>
      </c>
      <c r="F24" s="400"/>
      <c r="G24" s="398" t="s">
        <v>3405</v>
      </c>
      <c r="H24" s="399"/>
      <c r="I24" s="398" t="s">
        <v>3405</v>
      </c>
      <c r="J24" s="399"/>
      <c r="K24" s="564"/>
      <c r="L24" s="2720"/>
      <c r="M24" s="2714"/>
      <c r="N24" s="2714"/>
      <c r="O24" s="2714"/>
      <c r="P24" s="3670"/>
      <c r="Q24" s="1351"/>
      <c r="R24" s="704"/>
      <c r="S24" s="705"/>
      <c r="T24" s="704"/>
      <c r="U24" s="705"/>
      <c r="V24" s="704"/>
      <c r="W24" s="705"/>
      <c r="X24" s="1354"/>
      <c r="Y24" s="3672"/>
      <c r="Z24" s="1355"/>
      <c r="AA24" s="1352">
        <v>1</v>
      </c>
      <c r="AB24" s="1352">
        <v>1</v>
      </c>
      <c r="AC24" s="1352">
        <v>1</v>
      </c>
    </row>
    <row r="25" spans="1:29" ht="15">
      <c r="A25" s="379"/>
      <c r="B25" s="375" t="s">
        <v>1780</v>
      </c>
      <c r="C25" s="565" t="s">
        <v>3401</v>
      </c>
      <c r="D25" s="386">
        <v>100</v>
      </c>
      <c r="E25" s="565" t="s">
        <v>3438</v>
      </c>
      <c r="F25" s="412">
        <f>SUMIF(86:86,E25,87:87)-SUMIF(86:86,C25,87:87)+100</f>
        <v>97</v>
      </c>
      <c r="G25" s="565" t="s">
        <v>3438</v>
      </c>
      <c r="H25" s="386">
        <f>SUMIF(86:86,G25,87:87)-SUMIF(86:86,C25,87:87)+100</f>
        <v>97</v>
      </c>
      <c r="I25" s="565" t="s">
        <v>3401</v>
      </c>
      <c r="J25" s="386">
        <f>SUMIF(86:86,I25,87:87)-SUMIF(86:86,C25,87:87)+100</f>
        <v>100</v>
      </c>
      <c r="K25" s="3451">
        <v>3</v>
      </c>
      <c r="L25" s="2720"/>
      <c r="M25" s="2714"/>
      <c r="N25" s="2714"/>
      <c r="O25" s="2714"/>
      <c r="P25" s="3670"/>
      <c r="Q25" s="1351" t="str">
        <f t="shared" ref="Q25:Q46" si="11">B25</f>
        <v>临街状况</v>
      </c>
      <c r="R25" s="704" t="s">
        <v>14</v>
      </c>
      <c r="S25" s="705">
        <f>F25</f>
        <v>97</v>
      </c>
      <c r="T25" s="704" t="s">
        <v>14</v>
      </c>
      <c r="U25" s="705">
        <f>H25</f>
        <v>97</v>
      </c>
      <c r="V25" s="704" t="s">
        <v>14</v>
      </c>
      <c r="W25" s="705">
        <f>J25</f>
        <v>100</v>
      </c>
      <c r="X25" s="1354"/>
      <c r="Y25" s="3672"/>
      <c r="Z25" s="1355" t="str">
        <f>Q25</f>
        <v>临街状况</v>
      </c>
      <c r="AA25" s="1352">
        <f t="shared" si="3"/>
        <v>1.0309278350515463</v>
      </c>
      <c r="AB25" s="1352">
        <f t="shared" si="4"/>
        <v>1.0309278350515463</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0"/>
      <c r="Q26" s="1351" t="str">
        <f t="shared" si="11"/>
        <v>平面位置/可视性</v>
      </c>
      <c r="R26" s="704" t="s">
        <v>14</v>
      </c>
      <c r="S26" s="705">
        <f>F26</f>
        <v>100</v>
      </c>
      <c r="T26" s="704" t="s">
        <v>14</v>
      </c>
      <c r="U26" s="705">
        <f>H26</f>
        <v>100</v>
      </c>
      <c r="V26" s="704" t="s">
        <v>14</v>
      </c>
      <c r="W26" s="705">
        <f>J26</f>
        <v>100</v>
      </c>
      <c r="X26" s="1354"/>
      <c r="Y26" s="3672"/>
      <c r="Z26" s="1355" t="str">
        <f>Q26</f>
        <v>平面位置/可视性</v>
      </c>
      <c r="AA26" s="1352">
        <f t="shared" si="3"/>
        <v>1</v>
      </c>
      <c r="AB26" s="1352">
        <f t="shared" si="4"/>
        <v>1</v>
      </c>
      <c r="AC26" s="1352">
        <f t="shared" si="5"/>
        <v>1</v>
      </c>
    </row>
    <row r="27" spans="1:29" s="108" customFormat="1" ht="15">
      <c r="A27" s="382"/>
      <c r="B27" s="402" t="s">
        <v>1782</v>
      </c>
      <c r="C27" s="1955" t="s">
        <v>3405</v>
      </c>
      <c r="D27" s="413">
        <v>100</v>
      </c>
      <c r="E27" s="1955" t="s">
        <v>3405</v>
      </c>
      <c r="F27" s="415">
        <f>SUMIF(90:90,E27,91:91)-SUMIF(90:90,C27,91:91)+100</f>
        <v>100</v>
      </c>
      <c r="G27" s="1955" t="s">
        <v>3405</v>
      </c>
      <c r="H27" s="413">
        <f>SUMIF(90:90,G27,91:91)-SUMIF(90:90,C27,91:91)+100</f>
        <v>100</v>
      </c>
      <c r="I27" s="1955" t="s">
        <v>3405</v>
      </c>
      <c r="J27" s="413">
        <f>SUMIF(90:90,I27,91:91)-SUMIF(90:90,C27,91:91)+100</f>
        <v>100</v>
      </c>
      <c r="K27" s="3451">
        <v>0</v>
      </c>
      <c r="L27" s="2715"/>
      <c r="M27" s="2716"/>
      <c r="N27" s="2716"/>
      <c r="O27" s="2716"/>
      <c r="P27" s="3670"/>
      <c r="Q27" s="1342" t="str">
        <f t="shared" si="11"/>
        <v>人流量</v>
      </c>
      <c r="R27" s="700" t="s">
        <v>14</v>
      </c>
      <c r="S27" s="701">
        <f>F27</f>
        <v>100</v>
      </c>
      <c r="T27" s="700" t="s">
        <v>14</v>
      </c>
      <c r="U27" s="701">
        <f>H27</f>
        <v>100</v>
      </c>
      <c r="V27" s="700" t="s">
        <v>14</v>
      </c>
      <c r="W27" s="701">
        <f>J27</f>
        <v>100</v>
      </c>
      <c r="X27" s="702"/>
      <c r="Y27" s="3672"/>
      <c r="Z27" s="52" t="str">
        <f>Q27</f>
        <v>人流量</v>
      </c>
      <c r="AA27" s="1352">
        <f>D27/F27</f>
        <v>1</v>
      </c>
      <c r="AB27" s="1352">
        <f>D27/H27</f>
        <v>1</v>
      </c>
      <c r="AC27" s="1352">
        <f>D27/J27</f>
        <v>1</v>
      </c>
    </row>
    <row r="28" spans="1:29" ht="15">
      <c r="A28" s="379"/>
      <c r="B28" s="375" t="s">
        <v>1783</v>
      </c>
      <c r="C28" s="565" t="s">
        <v>3430</v>
      </c>
      <c r="D28" s="386">
        <v>100</v>
      </c>
      <c r="E28" s="565" t="s">
        <v>3430</v>
      </c>
      <c r="F28" s="412">
        <f>SUMIF(92:92,E28,93:93)-SUMIF(92:92,C28,93:93)+100</f>
        <v>100</v>
      </c>
      <c r="G28" s="565" t="s">
        <v>3430</v>
      </c>
      <c r="H28" s="386">
        <f>SUMIF(92:92,G28,93:93)-SUMIF(92:92,C28,93:93)+100</f>
        <v>100</v>
      </c>
      <c r="I28" s="565" t="s">
        <v>3430</v>
      </c>
      <c r="J28" s="386">
        <f>SUMIF(92:92,I28,93:93)-SUMIF(92:92,C28,93:93)+100</f>
        <v>100</v>
      </c>
      <c r="K28" s="562"/>
      <c r="L28" s="2720"/>
      <c r="M28" s="2714"/>
      <c r="N28" s="2714"/>
      <c r="O28" s="2714"/>
      <c r="P28" s="3670"/>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672"/>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0"/>
      <c r="Q29" s="1351">
        <f t="shared" si="11"/>
        <v>111</v>
      </c>
      <c r="R29" s="704" t="s">
        <v>14</v>
      </c>
      <c r="S29" s="705">
        <f t="shared" si="12"/>
        <v>100</v>
      </c>
      <c r="T29" s="704" t="s">
        <v>14</v>
      </c>
      <c r="U29" s="705">
        <f t="shared" si="13"/>
        <v>100</v>
      </c>
      <c r="V29" s="704" t="s">
        <v>14</v>
      </c>
      <c r="W29" s="705">
        <f t="shared" si="14"/>
        <v>100</v>
      </c>
      <c r="X29" s="1354"/>
      <c r="Y29" s="3672"/>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0"/>
      <c r="Q30" s="1351">
        <f t="shared" si="11"/>
        <v>111</v>
      </c>
      <c r="R30" s="704" t="s">
        <v>14</v>
      </c>
      <c r="S30" s="705">
        <f t="shared" si="12"/>
        <v>100</v>
      </c>
      <c r="T30" s="704" t="s">
        <v>14</v>
      </c>
      <c r="U30" s="705">
        <f t="shared" si="13"/>
        <v>100</v>
      </c>
      <c r="V30" s="704" t="s">
        <v>14</v>
      </c>
      <c r="W30" s="705">
        <f t="shared" si="14"/>
        <v>100</v>
      </c>
      <c r="X30" s="1354"/>
      <c r="Y30" s="3672"/>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0"/>
      <c r="Q31" s="1351">
        <f t="shared" si="11"/>
        <v>111</v>
      </c>
      <c r="R31" s="704" t="s">
        <v>14</v>
      </c>
      <c r="S31" s="705">
        <f t="shared" si="12"/>
        <v>100</v>
      </c>
      <c r="T31" s="704" t="s">
        <v>14</v>
      </c>
      <c r="U31" s="705">
        <f t="shared" si="13"/>
        <v>100</v>
      </c>
      <c r="V31" s="704" t="s">
        <v>14</v>
      </c>
      <c r="W31" s="705">
        <f t="shared" si="14"/>
        <v>100</v>
      </c>
      <c r="X31" s="1354"/>
      <c r="Y31" s="3672"/>
      <c r="Z31" s="1355">
        <f t="shared" si="15"/>
        <v>111</v>
      </c>
      <c r="AA31" s="1352">
        <f t="shared" si="3"/>
        <v>1</v>
      </c>
      <c r="AB31" s="1352">
        <f t="shared" si="4"/>
        <v>1</v>
      </c>
      <c r="AC31" s="1352">
        <f t="shared" si="5"/>
        <v>1</v>
      </c>
    </row>
    <row r="32" spans="1:29" ht="15">
      <c r="A32" s="391" t="s">
        <v>1694</v>
      </c>
      <c r="B32" s="63" t="s">
        <v>1784</v>
      </c>
      <c r="C32" s="1909" t="s">
        <v>3433</v>
      </c>
      <c r="D32" s="418">
        <v>100</v>
      </c>
      <c r="E32" s="1909" t="s">
        <v>3433</v>
      </c>
      <c r="F32" s="412">
        <f>SUMIF(100:100,E32,101:101)-SUMIF(100:100,C32,101:101)+100</f>
        <v>100</v>
      </c>
      <c r="G32" s="1909" t="s">
        <v>3433</v>
      </c>
      <c r="H32" s="386">
        <f>SUMIF(100:100,G32,101:101)-SUMIF(100:100,C32,101:101)+100</f>
        <v>100</v>
      </c>
      <c r="I32" s="1909" t="s">
        <v>3433</v>
      </c>
      <c r="J32" s="418">
        <f>SUMIF(100:100,I32,101:101)-SUMIF(100:100,C32,101:101)+100</f>
        <v>100</v>
      </c>
      <c r="K32" s="561">
        <v>0</v>
      </c>
      <c r="L32" s="2720"/>
      <c r="M32" s="2714"/>
      <c r="N32" s="2714"/>
      <c r="O32" s="2714"/>
      <c r="P32" s="3673" t="s">
        <v>1696</v>
      </c>
      <c r="Q32" s="1351" t="str">
        <f t="shared" si="11"/>
        <v>商业类型</v>
      </c>
      <c r="R32" s="704" t="s">
        <v>14</v>
      </c>
      <c r="S32" s="705">
        <f t="shared" si="12"/>
        <v>100</v>
      </c>
      <c r="T32" s="704" t="s">
        <v>14</v>
      </c>
      <c r="U32" s="705">
        <f t="shared" si="13"/>
        <v>100</v>
      </c>
      <c r="V32" s="704" t="s">
        <v>14</v>
      </c>
      <c r="W32" s="705">
        <f t="shared" si="14"/>
        <v>100</v>
      </c>
      <c r="X32" s="1354"/>
      <c r="Y32" s="3676" t="s">
        <v>1696</v>
      </c>
      <c r="Z32" s="1355" t="str">
        <f t="shared" si="15"/>
        <v>商业类型</v>
      </c>
      <c r="AA32" s="1352">
        <f t="shared" si="3"/>
        <v>1</v>
      </c>
      <c r="AB32" s="1352">
        <f t="shared" si="4"/>
        <v>1</v>
      </c>
      <c r="AC32" s="1352">
        <f t="shared" si="5"/>
        <v>1</v>
      </c>
    </row>
    <row r="33" spans="1:29" s="422" customFormat="1" ht="15">
      <c r="A33" s="419"/>
      <c r="B33" s="375" t="s">
        <v>1697</v>
      </c>
      <c r="C33" s="420">
        <f>'数据-汇总表'!E19</f>
        <v>314.25</v>
      </c>
      <c r="D33" s="127">
        <v>100</v>
      </c>
      <c r="E33" s="420">
        <v>199</v>
      </c>
      <c r="F33" s="376">
        <f>LOOKUP(E33,103:103,104:104)-LOOKUP(C33,103:103,104:104)+100</f>
        <v>104</v>
      </c>
      <c r="G33" s="420">
        <v>98.58</v>
      </c>
      <c r="H33" s="127">
        <f>LOOKUP(G33,103:103,104:104)-LOOKUP(C33,103:103,104:104)+100</f>
        <v>106</v>
      </c>
      <c r="I33" s="420">
        <v>157.54</v>
      </c>
      <c r="J33" s="127">
        <f>LOOKUP(I33,103:103,104:104)-LOOKUP(C33,103:103,104:104)+100</f>
        <v>104</v>
      </c>
      <c r="K33" s="562"/>
      <c r="L33" s="2719"/>
      <c r="M33" s="2721"/>
      <c r="N33" s="2721"/>
      <c r="O33" s="2721"/>
      <c r="P33" s="3674"/>
      <c r="Q33" s="706" t="str">
        <f t="shared" si="11"/>
        <v>项目建筑规模</v>
      </c>
      <c r="R33" s="707" t="s">
        <v>14</v>
      </c>
      <c r="S33" s="708">
        <f t="shared" si="12"/>
        <v>104</v>
      </c>
      <c r="T33" s="707" t="s">
        <v>14</v>
      </c>
      <c r="U33" s="708">
        <f t="shared" si="13"/>
        <v>106</v>
      </c>
      <c r="V33" s="707" t="s">
        <v>14</v>
      </c>
      <c r="W33" s="708">
        <f t="shared" si="14"/>
        <v>104</v>
      </c>
      <c r="X33" s="709"/>
      <c r="Y33" s="3676"/>
      <c r="Z33" s="710" t="str">
        <f t="shared" si="15"/>
        <v>项目建筑规模</v>
      </c>
      <c r="AA33" s="1352">
        <f t="shared" si="3"/>
        <v>0.96153846153846156</v>
      </c>
      <c r="AB33" s="1352">
        <f t="shared" si="4"/>
        <v>0.94339622641509435</v>
      </c>
      <c r="AC33" s="1352">
        <f t="shared" si="5"/>
        <v>0.96153846153846156</v>
      </c>
    </row>
    <row r="34" spans="1:29" ht="15">
      <c r="A34" s="423"/>
      <c r="B34" s="375" t="s">
        <v>1698</v>
      </c>
      <c r="C34" s="1911" t="s">
        <v>3411</v>
      </c>
      <c r="D34" s="386">
        <v>100</v>
      </c>
      <c r="E34" s="1911" t="s">
        <v>3411</v>
      </c>
      <c r="F34" s="412">
        <f>SUMIF(105:105,E34,106:106)-SUMIF(105:105,C34,106:106)+100</f>
        <v>100</v>
      </c>
      <c r="G34" s="1911" t="s">
        <v>3411</v>
      </c>
      <c r="H34" s="386">
        <f>SUMIF(105:105,G34,106:106)-SUMIF(105:105,C34,106:106)+100</f>
        <v>100</v>
      </c>
      <c r="I34" s="1911" t="s">
        <v>3411</v>
      </c>
      <c r="J34" s="386">
        <f>SUMIF(105:105,I34,106:106)-SUMIF(105:105,C34,106:106)+100</f>
        <v>100</v>
      </c>
      <c r="K34" s="561">
        <v>0</v>
      </c>
      <c r="L34" s="2720"/>
      <c r="M34" s="2714"/>
      <c r="N34" s="2714"/>
      <c r="O34" s="2714"/>
      <c r="P34" s="3674"/>
      <c r="Q34" s="1351" t="str">
        <f t="shared" si="11"/>
        <v>建筑结构</v>
      </c>
      <c r="R34" s="704" t="s">
        <v>14</v>
      </c>
      <c r="S34" s="705">
        <f t="shared" si="12"/>
        <v>100</v>
      </c>
      <c r="T34" s="704" t="s">
        <v>14</v>
      </c>
      <c r="U34" s="705">
        <f t="shared" si="13"/>
        <v>100</v>
      </c>
      <c r="V34" s="704" t="s">
        <v>14</v>
      </c>
      <c r="W34" s="705">
        <f t="shared" si="14"/>
        <v>100</v>
      </c>
      <c r="X34" s="1354"/>
      <c r="Y34" s="3676"/>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0"/>
      <c r="M35" s="2714"/>
      <c r="N35" s="2714"/>
      <c r="O35" s="2714"/>
      <c r="P35" s="3674"/>
      <c r="Q35" s="1351" t="str">
        <f t="shared" si="11"/>
        <v>公共部分装修</v>
      </c>
      <c r="R35" s="704" t="s">
        <v>14</v>
      </c>
      <c r="S35" s="705">
        <f t="shared" si="12"/>
        <v>100</v>
      </c>
      <c r="T35" s="704" t="s">
        <v>14</v>
      </c>
      <c r="U35" s="705">
        <f t="shared" si="13"/>
        <v>100</v>
      </c>
      <c r="V35" s="704" t="s">
        <v>14</v>
      </c>
      <c r="W35" s="705">
        <f t="shared" si="14"/>
        <v>100</v>
      </c>
      <c r="X35" s="1354"/>
      <c r="Y35" s="3676"/>
      <c r="Z35" s="1355" t="str">
        <f t="shared" si="15"/>
        <v>公共部分装修</v>
      </c>
      <c r="AA35" s="1352">
        <f t="shared" si="3"/>
        <v>1</v>
      </c>
      <c r="AB35" s="1352">
        <f t="shared" si="4"/>
        <v>1</v>
      </c>
      <c r="AC35" s="1352">
        <f t="shared" si="5"/>
        <v>1</v>
      </c>
    </row>
    <row r="36" spans="1:29" ht="15">
      <c r="A36" s="423"/>
      <c r="B36" s="375" t="s">
        <v>1786</v>
      </c>
      <c r="C36" s="425">
        <f>'数据-取费表'!N6</f>
        <v>0.74</v>
      </c>
      <c r="D36" s="386">
        <v>100</v>
      </c>
      <c r="E36" s="425">
        <f>C36</f>
        <v>0.74</v>
      </c>
      <c r="F36" s="412">
        <f>LOOKUP(E36,110:110,111:111)-LOOKUP(C36,110:110,111:111)+100</f>
        <v>100</v>
      </c>
      <c r="G36" s="425">
        <f>E36</f>
        <v>0.74</v>
      </c>
      <c r="H36" s="412">
        <f>LOOKUP(G36,110:110,111:111)-LOOKUP(C36,110:110,111:111)+100</f>
        <v>100</v>
      </c>
      <c r="I36" s="425">
        <f>G36</f>
        <v>0.74</v>
      </c>
      <c r="J36" s="386">
        <f>LOOKUP(I36,110:110,111:111)-LOOKUP(C36,110:110,111:111)+100</f>
        <v>100</v>
      </c>
      <c r="K36" s="561">
        <v>1</v>
      </c>
      <c r="L36" s="2720"/>
      <c r="M36" s="2714"/>
      <c r="N36" s="2714"/>
      <c r="O36" s="2714"/>
      <c r="P36" s="3674"/>
      <c r="Q36" s="1351" t="str">
        <f t="shared" si="11"/>
        <v>成新度</v>
      </c>
      <c r="R36" s="704" t="s">
        <v>14</v>
      </c>
      <c r="S36" s="705">
        <f t="shared" si="12"/>
        <v>100</v>
      </c>
      <c r="T36" s="704" t="s">
        <v>14</v>
      </c>
      <c r="U36" s="705">
        <f t="shared" si="13"/>
        <v>100</v>
      </c>
      <c r="V36" s="704" t="s">
        <v>14</v>
      </c>
      <c r="W36" s="705">
        <f t="shared" si="14"/>
        <v>100</v>
      </c>
      <c r="X36" s="1354"/>
      <c r="Y36" s="3676"/>
      <c r="Z36" s="1355" t="str">
        <f t="shared" si="15"/>
        <v>成新度</v>
      </c>
      <c r="AA36" s="1352">
        <f t="shared" si="3"/>
        <v>1</v>
      </c>
      <c r="AB36" s="1352">
        <f t="shared" si="4"/>
        <v>1</v>
      </c>
      <c r="AC36" s="1352">
        <f t="shared" si="5"/>
        <v>1</v>
      </c>
    </row>
    <row r="37" spans="1:29" s="108" customFormat="1" ht="15">
      <c r="A37" s="424"/>
      <c r="B37" s="375" t="s">
        <v>1787</v>
      </c>
      <c r="C37" s="1905" t="s">
        <v>3414</v>
      </c>
      <c r="D37" s="127">
        <v>100</v>
      </c>
      <c r="E37" s="1905" t="s">
        <v>3414</v>
      </c>
      <c r="F37" s="412">
        <f>SUMIF(112:112,E37,113:113)-SUMIF(112:112,C37,113:113)+100</f>
        <v>100</v>
      </c>
      <c r="G37" s="1905" t="s">
        <v>3414</v>
      </c>
      <c r="H37" s="386">
        <f>SUMIF(112:112,G37,113:113)-SUMIF(112:112,C37,113:113)+100</f>
        <v>100</v>
      </c>
      <c r="I37" s="1905" t="s">
        <v>3414</v>
      </c>
      <c r="J37" s="386">
        <f>SUMIF(112:112,I37,113:113)-SUMIF(112:112,C37,113:113)+100</f>
        <v>100</v>
      </c>
      <c r="K37" s="561">
        <v>0</v>
      </c>
      <c r="L37" s="2715"/>
      <c r="M37" s="2716"/>
      <c r="N37" s="2716"/>
      <c r="O37" s="2716"/>
      <c r="P37" s="3674"/>
      <c r="Q37" s="1342" t="str">
        <f t="shared" si="11"/>
        <v>市政基础设施</v>
      </c>
      <c r="R37" s="700" t="s">
        <v>14</v>
      </c>
      <c r="S37" s="701">
        <f t="shared" si="12"/>
        <v>100</v>
      </c>
      <c r="T37" s="700" t="s">
        <v>14</v>
      </c>
      <c r="U37" s="701">
        <f t="shared" si="13"/>
        <v>100</v>
      </c>
      <c r="V37" s="700" t="s">
        <v>14</v>
      </c>
      <c r="W37" s="701">
        <f t="shared" si="14"/>
        <v>100</v>
      </c>
      <c r="X37" s="702"/>
      <c r="Y37" s="3676"/>
      <c r="Z37" s="52" t="str">
        <f t="shared" si="15"/>
        <v>市政基础设施</v>
      </c>
      <c r="AA37" s="703">
        <f t="shared" si="3"/>
        <v>1</v>
      </c>
      <c r="AB37" s="703">
        <f t="shared" si="4"/>
        <v>1</v>
      </c>
      <c r="AC37" s="703">
        <f t="shared" si="5"/>
        <v>1</v>
      </c>
    </row>
    <row r="38" spans="1:29" ht="15">
      <c r="A38" s="423"/>
      <c r="B38" s="375" t="s">
        <v>1788</v>
      </c>
      <c r="C38" s="1905" t="s">
        <v>3419</v>
      </c>
      <c r="D38" s="386">
        <v>100</v>
      </c>
      <c r="E38" s="1905" t="s">
        <v>3419</v>
      </c>
      <c r="F38" s="412">
        <f>SUMIF(114:114,E38,115:115)-SUMIF(114:114,C38,115:115)+100</f>
        <v>100</v>
      </c>
      <c r="G38" s="1905" t="s">
        <v>3419</v>
      </c>
      <c r="H38" s="386">
        <f>SUMIF(114:114,G38,115:115)-SUMIF(114:114,C38,115:115)+100</f>
        <v>100</v>
      </c>
      <c r="I38" s="1905" t="s">
        <v>3419</v>
      </c>
      <c r="J38" s="386">
        <f>SUMIF(114:114,I38,115:115)-SUMIF(114:114,C38,115:115)+100</f>
        <v>100</v>
      </c>
      <c r="K38" s="561">
        <v>3</v>
      </c>
      <c r="L38" s="2720"/>
      <c r="M38" s="2714"/>
      <c r="N38" s="2714"/>
      <c r="O38" s="2714"/>
      <c r="P38" s="3674" t="s">
        <v>1696</v>
      </c>
      <c r="Q38" s="1351" t="str">
        <f t="shared" si="11"/>
        <v>业态</v>
      </c>
      <c r="R38" s="704" t="s">
        <v>14</v>
      </c>
      <c r="S38" s="705">
        <f t="shared" si="12"/>
        <v>100</v>
      </c>
      <c r="T38" s="704" t="s">
        <v>14</v>
      </c>
      <c r="U38" s="705">
        <f t="shared" si="13"/>
        <v>100</v>
      </c>
      <c r="V38" s="704" t="s">
        <v>14</v>
      </c>
      <c r="W38" s="705">
        <f t="shared" si="14"/>
        <v>100</v>
      </c>
      <c r="X38" s="1354"/>
      <c r="Y38" s="3676" t="s">
        <v>1696</v>
      </c>
      <c r="Z38" s="1355" t="str">
        <f t="shared" si="15"/>
        <v>业态</v>
      </c>
      <c r="AA38" s="1352">
        <f t="shared" si="3"/>
        <v>1</v>
      </c>
      <c r="AB38" s="1352">
        <f t="shared" si="4"/>
        <v>1</v>
      </c>
      <c r="AC38" s="1352">
        <f t="shared" si="5"/>
        <v>1</v>
      </c>
    </row>
    <row r="39" spans="1:29" ht="15">
      <c r="A39" s="423"/>
      <c r="B39" s="375" t="s">
        <v>1789</v>
      </c>
      <c r="C39" s="1905" t="s">
        <v>3423</v>
      </c>
      <c r="D39" s="386">
        <v>100</v>
      </c>
      <c r="E39" s="1905" t="s">
        <v>3423</v>
      </c>
      <c r="F39" s="412">
        <f>SUMIF(116:116,E39,117:117)-SUMIF(116:116,C39,117:117)+100</f>
        <v>100</v>
      </c>
      <c r="G39" s="1905" t="s">
        <v>3423</v>
      </c>
      <c r="H39" s="386">
        <f>SUMIF(116:116,G39,117:117)-SUMIF(116:116,C39,117:117)+100</f>
        <v>100</v>
      </c>
      <c r="I39" s="1905" t="s">
        <v>3423</v>
      </c>
      <c r="J39" s="386">
        <f>SUMIF(116:116,I39,117:117)-SUMIF(116:116,C39,117:117)+100</f>
        <v>100</v>
      </c>
      <c r="K39" s="561">
        <v>2</v>
      </c>
      <c r="L39" s="2720"/>
      <c r="M39" s="2714"/>
      <c r="N39" s="2714"/>
      <c r="O39" s="2714"/>
      <c r="P39" s="3674"/>
      <c r="Q39" s="1351" t="str">
        <f t="shared" si="11"/>
        <v>层高</v>
      </c>
      <c r="R39" s="704" t="s">
        <v>14</v>
      </c>
      <c r="S39" s="705">
        <f t="shared" si="12"/>
        <v>100</v>
      </c>
      <c r="T39" s="704" t="s">
        <v>14</v>
      </c>
      <c r="U39" s="705">
        <f t="shared" si="13"/>
        <v>100</v>
      </c>
      <c r="V39" s="704" t="s">
        <v>14</v>
      </c>
      <c r="W39" s="705">
        <f t="shared" si="14"/>
        <v>100</v>
      </c>
      <c r="X39" s="1354"/>
      <c r="Y39" s="3676"/>
      <c r="Z39" s="1355" t="str">
        <f t="shared" si="15"/>
        <v>层高</v>
      </c>
      <c r="AA39" s="1352">
        <f t="shared" si="3"/>
        <v>1</v>
      </c>
      <c r="AB39" s="1352">
        <f t="shared" si="4"/>
        <v>1</v>
      </c>
      <c r="AC39" s="1352">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0"/>
      <c r="M40" s="2714"/>
      <c r="N40" s="2714"/>
      <c r="O40" s="2714"/>
      <c r="P40" s="3674"/>
      <c r="Q40" s="1351" t="str">
        <f t="shared" si="11"/>
        <v>单套建筑面积</v>
      </c>
      <c r="R40" s="704" t="s">
        <v>14</v>
      </c>
      <c r="S40" s="705">
        <f t="shared" si="12"/>
        <v>100</v>
      </c>
      <c r="T40" s="704" t="s">
        <v>14</v>
      </c>
      <c r="U40" s="705">
        <f t="shared" si="13"/>
        <v>100</v>
      </c>
      <c r="V40" s="704" t="s">
        <v>14</v>
      </c>
      <c r="W40" s="705">
        <f t="shared" si="14"/>
        <v>100</v>
      </c>
      <c r="X40" s="1354"/>
      <c r="Y40" s="3676"/>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4"/>
      <c r="Q41" s="706" t="str">
        <f t="shared" si="11"/>
        <v>进深比</v>
      </c>
      <c r="R41" s="707" t="s">
        <v>14</v>
      </c>
      <c r="S41" s="708">
        <f t="shared" si="12"/>
        <v>100</v>
      </c>
      <c r="T41" s="707" t="s">
        <v>14</v>
      </c>
      <c r="U41" s="708">
        <f t="shared" si="13"/>
        <v>100</v>
      </c>
      <c r="V41" s="707" t="s">
        <v>14</v>
      </c>
      <c r="W41" s="708">
        <f t="shared" si="14"/>
        <v>100</v>
      </c>
      <c r="X41" s="709"/>
      <c r="Y41" s="3676"/>
      <c r="Z41" s="710" t="str">
        <f t="shared" si="15"/>
        <v>进深比</v>
      </c>
      <c r="AA41" s="1352">
        <f t="shared" si="3"/>
        <v>1</v>
      </c>
      <c r="AB41" s="1352">
        <f t="shared" si="4"/>
        <v>1</v>
      </c>
      <c r="AC41" s="1352">
        <f t="shared" si="5"/>
        <v>1</v>
      </c>
    </row>
    <row r="42" spans="1:29" ht="15">
      <c r="A42" s="423"/>
      <c r="B42" s="375" t="s">
        <v>1792</v>
      </c>
      <c r="C42" s="1905" t="s">
        <v>3425</v>
      </c>
      <c r="D42" s="386">
        <v>100</v>
      </c>
      <c r="E42" s="1905" t="s">
        <v>3467</v>
      </c>
      <c r="F42" s="412">
        <f>SUMIF(122:122,E42,123:123)-SUMIF(122:122,C42,123:123)+100</f>
        <v>99</v>
      </c>
      <c r="G42" s="1905" t="s">
        <v>3467</v>
      </c>
      <c r="H42" s="386">
        <f>SUMIF(122:122,G42,123:123)-SUMIF(122:122,C42,123:123)+100</f>
        <v>99</v>
      </c>
      <c r="I42" s="1905" t="s">
        <v>3425</v>
      </c>
      <c r="J42" s="386">
        <f>SUMIF(122:122,I42,123:123)-SUMIF(122:122,C42,123:123)+100</f>
        <v>100</v>
      </c>
      <c r="K42" s="561">
        <v>1</v>
      </c>
      <c r="L42" s="2720"/>
      <c r="M42" s="2714"/>
      <c r="N42" s="2714"/>
      <c r="O42" s="2714"/>
      <c r="P42" s="3674"/>
      <c r="Q42" s="1351" t="str">
        <f t="shared" si="11"/>
        <v>内部装修</v>
      </c>
      <c r="R42" s="704" t="s">
        <v>14</v>
      </c>
      <c r="S42" s="705">
        <f t="shared" si="12"/>
        <v>99</v>
      </c>
      <c r="T42" s="704" t="s">
        <v>14</v>
      </c>
      <c r="U42" s="705">
        <f t="shared" si="13"/>
        <v>99</v>
      </c>
      <c r="V42" s="704" t="s">
        <v>14</v>
      </c>
      <c r="W42" s="705">
        <f t="shared" si="14"/>
        <v>100</v>
      </c>
      <c r="X42" s="1354"/>
      <c r="Y42" s="3676"/>
      <c r="Z42" s="1355" t="str">
        <f t="shared" si="15"/>
        <v>内部装修</v>
      </c>
      <c r="AA42" s="1352">
        <f t="shared" si="3"/>
        <v>1.0101010101010102</v>
      </c>
      <c r="AB42" s="1352">
        <f t="shared" si="4"/>
        <v>1.0101010101010102</v>
      </c>
      <c r="AC42" s="1352">
        <f t="shared" si="5"/>
        <v>1</v>
      </c>
    </row>
    <row r="43" spans="1:29" ht="15">
      <c r="A43" s="423"/>
      <c r="B43" s="375" t="s">
        <v>1707</v>
      </c>
      <c r="C43" s="1905" t="s">
        <v>3405</v>
      </c>
      <c r="D43" s="386">
        <v>100</v>
      </c>
      <c r="E43" s="1905" t="s">
        <v>3405</v>
      </c>
      <c r="F43" s="412">
        <f>SUMIF(124:124,E43,125:125)-SUMIF(124:124,C43,125:125)+100</f>
        <v>100</v>
      </c>
      <c r="G43" s="1905" t="s">
        <v>3405</v>
      </c>
      <c r="H43" s="386">
        <f>SUMIF(124:124,G43,125:125)-SUMIF(124:124,C43,125:125)+100</f>
        <v>100</v>
      </c>
      <c r="I43" s="1905" t="s">
        <v>3405</v>
      </c>
      <c r="J43" s="386">
        <f>SUMIF(124:124,I43,125:125)-SUMIF(124:124,C43,125:125)+100</f>
        <v>100</v>
      </c>
      <c r="K43" s="561">
        <v>1</v>
      </c>
      <c r="L43" s="2720"/>
      <c r="M43" s="2714"/>
      <c r="N43" s="2714"/>
      <c r="O43" s="2714"/>
      <c r="P43" s="3674"/>
      <c r="Q43" s="1351" t="str">
        <f t="shared" si="11"/>
        <v>内部装修维护情况</v>
      </c>
      <c r="R43" s="704" t="s">
        <v>14</v>
      </c>
      <c r="S43" s="705">
        <f t="shared" si="12"/>
        <v>100</v>
      </c>
      <c r="T43" s="704" t="s">
        <v>14</v>
      </c>
      <c r="U43" s="705">
        <f t="shared" si="13"/>
        <v>100</v>
      </c>
      <c r="V43" s="704" t="s">
        <v>14</v>
      </c>
      <c r="W43" s="705">
        <f t="shared" si="14"/>
        <v>100</v>
      </c>
      <c r="X43" s="1354"/>
      <c r="Y43" s="3676"/>
      <c r="Z43" s="1355" t="str">
        <f t="shared" si="15"/>
        <v>内部装修维护情况</v>
      </c>
      <c r="AA43" s="1352">
        <f t="shared" si="3"/>
        <v>1</v>
      </c>
      <c r="AB43" s="1352">
        <f t="shared" si="4"/>
        <v>1</v>
      </c>
      <c r="AC43" s="1352">
        <f t="shared" si="5"/>
        <v>1</v>
      </c>
    </row>
    <row r="44" spans="1:29" s="108" customFormat="1" ht="15">
      <c r="A44" s="424"/>
      <c r="B44" s="3466" t="s">
        <v>3477</v>
      </c>
      <c r="C44" s="3467" t="s">
        <v>3478</v>
      </c>
      <c r="D44" s="127">
        <v>100</v>
      </c>
      <c r="E44" s="3468" t="s">
        <v>3465</v>
      </c>
      <c r="F44" s="376">
        <f>SUMIF(126:126,E44,127:127)-SUMIF(126:126,C44,127:127)+100</f>
        <v>100</v>
      </c>
      <c r="G44" s="3468" t="s">
        <v>3465</v>
      </c>
      <c r="H44" s="127">
        <f>SUMIF(126:126,G44,127:127)-SUMIF(126:126,C44,127:127)+100</f>
        <v>100</v>
      </c>
      <c r="I44" s="3468" t="s">
        <v>3478</v>
      </c>
      <c r="J44" s="127">
        <f>SUMIF(126:126,I44,127:127)-SUMIF(126:126,C44,127:127)+100</f>
        <v>100</v>
      </c>
      <c r="K44" s="562"/>
      <c r="L44" s="2715"/>
      <c r="M44" s="2716"/>
      <c r="N44" s="2716"/>
      <c r="O44" s="2716"/>
      <c r="P44" s="3674"/>
      <c r="Q44" s="1342" t="str">
        <f t="shared" si="11"/>
        <v>是否有地下</v>
      </c>
      <c r="R44" s="700" t="s">
        <v>14</v>
      </c>
      <c r="S44" s="701">
        <f t="shared" si="12"/>
        <v>100</v>
      </c>
      <c r="T44" s="700" t="s">
        <v>14</v>
      </c>
      <c r="U44" s="701">
        <f t="shared" si="13"/>
        <v>100</v>
      </c>
      <c r="V44" s="700" t="s">
        <v>14</v>
      </c>
      <c r="W44" s="701">
        <f t="shared" si="14"/>
        <v>100</v>
      </c>
      <c r="X44" s="702"/>
      <c r="Y44" s="3676"/>
      <c r="Z44" s="52" t="str">
        <f t="shared" si="15"/>
        <v>是否有地下</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4"/>
      <c r="Q45" s="1351">
        <f t="shared" si="11"/>
        <v>111</v>
      </c>
      <c r="R45" s="704" t="s">
        <v>14</v>
      </c>
      <c r="S45" s="705">
        <f t="shared" si="12"/>
        <v>100</v>
      </c>
      <c r="T45" s="704" t="s">
        <v>14</v>
      </c>
      <c r="U45" s="705">
        <f t="shared" si="13"/>
        <v>100</v>
      </c>
      <c r="V45" s="704" t="s">
        <v>14</v>
      </c>
      <c r="W45" s="705">
        <f t="shared" si="14"/>
        <v>100</v>
      </c>
      <c r="X45" s="1354"/>
      <c r="Y45" s="3676"/>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468"/>
      <c r="J46" s="389">
        <f>SUMIF(130:130,I46,131:131)-SUMIF(130:130,C46,131:131)+100</f>
        <v>100</v>
      </c>
      <c r="K46" s="562"/>
      <c r="L46" s="2720"/>
      <c r="M46" s="2714"/>
      <c r="N46" s="2714"/>
      <c r="O46" s="2714"/>
      <c r="P46" s="3675"/>
      <c r="Q46" s="1351">
        <f t="shared" si="11"/>
        <v>111</v>
      </c>
      <c r="R46" s="704" t="s">
        <v>14</v>
      </c>
      <c r="S46" s="705">
        <f t="shared" si="12"/>
        <v>100</v>
      </c>
      <c r="T46" s="704" t="s">
        <v>14</v>
      </c>
      <c r="U46" s="705">
        <f t="shared" si="13"/>
        <v>100</v>
      </c>
      <c r="V46" s="704" t="s">
        <v>14</v>
      </c>
      <c r="W46" s="705">
        <f t="shared" si="14"/>
        <v>100</v>
      </c>
      <c r="X46" s="1354"/>
      <c r="Y46" s="3677"/>
      <c r="Z46" s="1355">
        <f t="shared" si="15"/>
        <v>111</v>
      </c>
      <c r="AA46" s="1352">
        <f t="shared" si="3"/>
        <v>1</v>
      </c>
      <c r="AB46" s="1352">
        <f t="shared" si="4"/>
        <v>1</v>
      </c>
      <c r="AC46" s="1352">
        <f t="shared" si="5"/>
        <v>1</v>
      </c>
    </row>
    <row r="47" spans="1:29" ht="15">
      <c r="A47" s="430" t="s">
        <v>1708</v>
      </c>
      <c r="B47" s="431"/>
      <c r="C47" s="1153" t="s">
        <v>0</v>
      </c>
      <c r="D47" s="1154"/>
      <c r="E47" s="1155">
        <v>40201</v>
      </c>
      <c r="F47" s="1156"/>
      <c r="G47" s="1157">
        <v>39054</v>
      </c>
      <c r="H47" s="1158"/>
      <c r="I47" s="1155">
        <v>35229</v>
      </c>
      <c r="J47" s="1158"/>
      <c r="K47" s="713"/>
      <c r="L47" s="2722"/>
      <c r="M47" s="2723"/>
      <c r="N47" s="2714"/>
      <c r="O47" s="2723"/>
      <c r="P47" s="3664" t="str">
        <f>A47</f>
        <v>成交单价（元/平方米）</v>
      </c>
      <c r="Q47" s="3664"/>
      <c r="R47" s="3678">
        <f>E47</f>
        <v>40201</v>
      </c>
      <c r="S47" s="3678"/>
      <c r="T47" s="3678">
        <f>G47</f>
        <v>39054</v>
      </c>
      <c r="U47" s="3678"/>
      <c r="V47" s="3678">
        <f>I47</f>
        <v>35229</v>
      </c>
      <c r="W47" s="3678"/>
      <c r="X47" s="689"/>
      <c r="Y47" s="711"/>
      <c r="Z47" s="689"/>
      <c r="AA47" s="689"/>
      <c r="AB47" s="689"/>
      <c r="AC47" s="689"/>
    </row>
    <row r="48" spans="1:29" ht="15.75" thickBot="1">
      <c r="A48" s="437" t="s">
        <v>1793</v>
      </c>
      <c r="B48" s="438"/>
      <c r="C48" s="1159">
        <f>R49</f>
        <v>35712</v>
      </c>
      <c r="D48" s="2316" t="s">
        <v>2138</v>
      </c>
      <c r="E48" s="1160">
        <f>R48</f>
        <v>38336</v>
      </c>
      <c r="F48" s="2317"/>
      <c r="G48" s="1159">
        <f>T48</f>
        <v>36540</v>
      </c>
      <c r="H48" s="2317"/>
      <c r="I48" s="1160">
        <f>V48</f>
        <v>32261</v>
      </c>
      <c r="J48" s="2317"/>
      <c r="K48" s="2319">
        <f>F48+H48+J48</f>
        <v>0</v>
      </c>
      <c r="L48" s="2722"/>
      <c r="M48" s="2723"/>
      <c r="N48" s="2714"/>
      <c r="O48" s="2723"/>
      <c r="P48" s="3664" t="str">
        <f>A48</f>
        <v>比较价值（元/平方米）</v>
      </c>
      <c r="Q48" s="3664"/>
      <c r="R48" s="3665">
        <f>IF(F1="售价",ROUND(PRODUCT(R47,AA7:AA46),0),ROUND(PRODUCT(R47,AA7:AA46),1))</f>
        <v>38336</v>
      </c>
      <c r="S48" s="3665"/>
      <c r="T48" s="3665">
        <f>IF(F1="售价",ROUND(PRODUCT(T47,AB7:AB46),0),ROUND(PRODUCT(T47,AB7:AB46),1))</f>
        <v>36540</v>
      </c>
      <c r="U48" s="3665"/>
      <c r="V48" s="3665">
        <f>IF(F1="售价",ROUND(PRODUCT(V47,AC7:AC46),0),ROUND(PRODUCT(V47,AC7:AC46),1))</f>
        <v>32261</v>
      </c>
      <c r="W48" s="3665"/>
      <c r="X48" s="689"/>
      <c r="Y48" s="689"/>
      <c r="Z48" s="689"/>
      <c r="AA48" s="689"/>
      <c r="AB48" s="689"/>
      <c r="AC48" s="689"/>
    </row>
    <row r="49" spans="1:29" ht="15.75" thickBot="1">
      <c r="A49" s="441" t="s">
        <v>1794</v>
      </c>
      <c r="B49" s="442"/>
      <c r="C49" s="1162">
        <f>R49</f>
        <v>35712</v>
      </c>
      <c r="D49" s="1162"/>
      <c r="E49" s="1162"/>
      <c r="F49" s="1162"/>
      <c r="G49" s="1162"/>
      <c r="H49" s="1162"/>
      <c r="I49" s="1162"/>
      <c r="J49" s="1162"/>
      <c r="K49" s="714"/>
      <c r="L49" s="2722"/>
      <c r="M49" s="2723"/>
      <c r="N49" s="2714"/>
      <c r="O49" s="2723"/>
      <c r="P49" s="3666" t="str">
        <f>A49</f>
        <v>估价对象XX用房的比较价值（楼面单价，元/平方米）</v>
      </c>
      <c r="Q49" s="3667"/>
      <c r="R49" s="3668">
        <f>IF(F1="售价",ROUND(IF(D48="简单平均",AVERAGE(R48:V48),R48*F48+T48*H48+V48*J48),0),ROUND(IF(D48="简单平均",AVERAGE(R48:V48),R48*F48+T48*H48+V48*J48),1))</f>
        <v>35712</v>
      </c>
      <c r="S49" s="3668"/>
      <c r="T49" s="3668"/>
      <c r="U49" s="3668"/>
      <c r="V49" s="3668"/>
      <c r="W49" s="3668"/>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f>IF(E47&lt;E48,E48/E47-1,E47/E48-1)</f>
        <v>4.8648789649415658E-2</v>
      </c>
      <c r="F52" s="449" t="str">
        <f>IF(OR(E52&gt;=0.3,E52&lt;=-0.3),"超过30%","")</f>
        <v/>
      </c>
      <c r="G52" s="448">
        <f>IF(G47&lt;G48,G48/G47-1,G47/G48-1)</f>
        <v>6.8801313628899852E-2</v>
      </c>
      <c r="H52" s="449" t="str">
        <f>IF(OR(G52&gt;=0.3,G52&lt;=-0.3),"超过30%","")</f>
        <v/>
      </c>
      <c r="I52" s="448">
        <f>IF(I47&lt;I48,I48/I47-1,I47/I48-1)</f>
        <v>9.1999628033848868E-2</v>
      </c>
      <c r="J52" s="449" t="str">
        <f>IF(OR(I52&gt;=0.3,I52&lt;=-0.3),"超过30%","")</f>
        <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f>IF(E48&lt;G48,G48/E48-1,E48/G48-1)</f>
        <v>4.9151614668855981E-2</v>
      </c>
      <c r="F53" s="449" t="str">
        <f>IF(OR(E53&gt;=0.2,E53&lt;=-0.2),"超过20%","")</f>
        <v/>
      </c>
      <c r="G53" s="448">
        <f>IF(G48&lt;I48,I48/G48-1,G48/I48-1)</f>
        <v>0.13263693003936639</v>
      </c>
      <c r="H53" s="449" t="str">
        <f>IF(OR(G53&gt;=0.2,G53&lt;=-0.2),"超过20%","")</f>
        <v/>
      </c>
      <c r="I53" s="448">
        <f>IF(I48&lt;E48,E48/I48-1,I48/E48-1)</f>
        <v>0.18830786398437738</v>
      </c>
      <c r="J53" s="449" t="str">
        <f>IF(OR(I53&gt;=0.2,I53&lt;=-0.2),"超过20%","")</f>
        <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2.9369590822962977E-2</v>
      </c>
      <c r="F54" s="449" t="str">
        <f>IF(OR(E54&gt;=0.3,E54&lt;=-0.3),"超过30%","")</f>
        <v/>
      </c>
      <c r="G54" s="448">
        <f>IF(G47&lt;I47,I47/G47-1,G47/I47-1)</f>
        <v>0.10857532146810867</v>
      </c>
      <c r="H54" s="449" t="str">
        <f>IF(OR(G54&gt;=0.3,G54&lt;=-0.3),"超过30%","")</f>
        <v/>
      </c>
      <c r="I54" s="448">
        <f>IF(I47&lt;E47,E47/I47-1,I47/E47-1)</f>
        <v>0.14113372505606181</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3" t="s">
        <v>1798</v>
      </c>
      <c r="B57" s="689"/>
      <c r="C57" s="694"/>
      <c r="D57" s="694"/>
      <c r="E57" s="694"/>
      <c r="F57" s="695"/>
      <c r="G57" s="695"/>
      <c r="H57" s="694"/>
      <c r="I57" s="694"/>
      <c r="J57" s="694"/>
      <c r="K57" s="696"/>
      <c r="L57" s="941"/>
      <c r="M57" s="939"/>
      <c r="N57" s="939"/>
      <c r="O57" s="939"/>
      <c r="P57" s="2736"/>
      <c r="Q57" s="2737"/>
      <c r="R57" s="2723"/>
      <c r="S57" s="2723"/>
      <c r="T57" s="2723"/>
      <c r="U57" s="2723"/>
      <c r="V57" s="2723"/>
      <c r="W57" s="2723"/>
      <c r="X57" s="2723"/>
      <c r="Y57" s="2723"/>
      <c r="Z57" s="2723"/>
      <c r="AA57" s="2723"/>
      <c r="AB57" s="2723"/>
      <c r="AC57" s="2723"/>
    </row>
    <row r="58" spans="1:29" s="457" customFormat="1" ht="15">
      <c r="A58" s="454" t="s">
        <v>1679</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8"/>
      <c r="Q58" s="2739"/>
      <c r="R58" s="2739"/>
      <c r="S58" s="2739"/>
      <c r="T58" s="2739"/>
      <c r="U58" s="2739"/>
      <c r="V58" s="2739"/>
      <c r="W58" s="2739"/>
      <c r="X58" s="2739"/>
      <c r="Y58" s="2739"/>
      <c r="Z58" s="2739"/>
      <c r="AA58" s="2739"/>
      <c r="AB58" s="2739"/>
      <c r="AC58" s="2739"/>
    </row>
    <row r="59" spans="1:29" s="108" customFormat="1" ht="15">
      <c r="A59" s="458"/>
      <c r="B59" s="459"/>
      <c r="C59" s="1182">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9" t="s">
        <v>3469</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105</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98</v>
      </c>
      <c r="E77" s="493">
        <f>D77-$K15</f>
        <v>96</v>
      </c>
      <c r="F77" s="493">
        <f>E77-$K15</f>
        <v>94</v>
      </c>
      <c r="G77" s="493">
        <f>F77-$K15</f>
        <v>92</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98</v>
      </c>
      <c r="E79" s="493">
        <f>D79-$K17</f>
        <v>96</v>
      </c>
      <c r="F79" s="493">
        <f>E79-$K17</f>
        <v>94</v>
      </c>
      <c r="G79" s="493">
        <f>F79-$K17</f>
        <v>92</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98</v>
      </c>
      <c r="E81" s="493">
        <f>D81-$K19</f>
        <v>96</v>
      </c>
      <c r="F81" s="493">
        <f>E81-$K19</f>
        <v>94</v>
      </c>
      <c r="G81" s="493">
        <f>F81-$K19</f>
        <v>92</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7" t="s">
        <v>1799</v>
      </c>
      <c r="D82" s="607" t="s">
        <v>1800</v>
      </c>
      <c r="E82" s="607" t="s">
        <v>1801</v>
      </c>
      <c r="F82" s="607" t="s">
        <v>1802</v>
      </c>
      <c r="G82" s="607" t="s">
        <v>1803</v>
      </c>
      <c r="H82" s="488"/>
      <c r="I82" s="488"/>
      <c r="J82" s="488"/>
      <c r="K82" s="488"/>
      <c r="L82" s="488"/>
      <c r="M82" s="1128"/>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98</v>
      </c>
      <c r="E85" s="493">
        <f>D85-$K23</f>
        <v>96</v>
      </c>
      <c r="F85" s="493">
        <f>E85-$K23</f>
        <v>94</v>
      </c>
      <c r="G85" s="493">
        <f>F85-$K23</f>
        <v>92</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3447" t="s">
        <v>3400</v>
      </c>
      <c r="D86" s="3447" t="s">
        <v>3402</v>
      </c>
      <c r="E86" s="3447" t="s">
        <v>3403</v>
      </c>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97</v>
      </c>
      <c r="E87" s="493">
        <f t="shared" si="20"/>
        <v>94</v>
      </c>
      <c r="F87" s="493">
        <f t="shared" si="20"/>
        <v>91</v>
      </c>
      <c r="G87" s="493">
        <f t="shared" si="20"/>
        <v>88</v>
      </c>
      <c r="H87" s="493">
        <f t="shared" si="20"/>
        <v>85</v>
      </c>
      <c r="I87" s="493">
        <f t="shared" si="20"/>
        <v>82</v>
      </c>
      <c r="J87" s="493">
        <f t="shared" si="20"/>
        <v>79</v>
      </c>
      <c r="K87" s="493">
        <f t="shared" si="20"/>
        <v>76</v>
      </c>
      <c r="L87" s="493">
        <f t="shared" si="20"/>
        <v>73</v>
      </c>
      <c r="M87" s="493">
        <f t="shared" si="20"/>
        <v>70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t="s">
        <v>3404</v>
      </c>
      <c r="D88" s="503" t="s">
        <v>3405</v>
      </c>
      <c r="E88" s="503" t="s">
        <v>3406</v>
      </c>
      <c r="F88" s="1926" t="s">
        <v>3407</v>
      </c>
      <c r="G88" s="503" t="s">
        <v>3408</v>
      </c>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t="s">
        <v>3404</v>
      </c>
      <c r="D90" s="503" t="s">
        <v>3405</v>
      </c>
      <c r="E90" s="503" t="s">
        <v>3406</v>
      </c>
      <c r="F90" s="503" t="s">
        <v>3407</v>
      </c>
      <c r="G90" s="503" t="s">
        <v>3408</v>
      </c>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t="s">
        <v>3464</v>
      </c>
      <c r="D92" s="503" t="s">
        <v>3463</v>
      </c>
      <c r="E92" s="503" t="s">
        <v>3429</v>
      </c>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v>100</v>
      </c>
      <c r="D93" s="485">
        <v>75</v>
      </c>
      <c r="E93" s="485">
        <v>85</v>
      </c>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3447"/>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7"/>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3448" t="s">
        <v>3409</v>
      </c>
      <c r="D100" s="3448" t="s">
        <v>3410</v>
      </c>
      <c r="E100" s="3448" t="s">
        <v>3421</v>
      </c>
      <c r="F100" s="3448" t="s">
        <v>3434</v>
      </c>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69"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v>400</v>
      </c>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C104-2</f>
        <v>98</v>
      </c>
      <c r="E104" s="485">
        <f t="shared" ref="E104:G104" si="25">D104-2</f>
        <v>96</v>
      </c>
      <c r="F104" s="485">
        <f t="shared" si="25"/>
        <v>94</v>
      </c>
      <c r="G104" s="485">
        <f t="shared" si="25"/>
        <v>92</v>
      </c>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3447" t="s">
        <v>3412</v>
      </c>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t="s">
        <v>3413</v>
      </c>
      <c r="D107" s="503" t="s">
        <v>3414</v>
      </c>
      <c r="E107" s="503" t="s">
        <v>3415</v>
      </c>
      <c r="F107" s="532" t="s">
        <v>3416</v>
      </c>
      <c r="G107" s="532" t="s">
        <v>3417</v>
      </c>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0"/>
      <c r="J110" s="570"/>
      <c r="K110" s="571"/>
      <c r="L110" s="572"/>
      <c r="M110" s="573"/>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t="s">
        <v>3413</v>
      </c>
      <c r="D112" s="503" t="s">
        <v>3414</v>
      </c>
      <c r="E112" s="503" t="s">
        <v>3415</v>
      </c>
      <c r="F112" s="503" t="s">
        <v>3416</v>
      </c>
      <c r="G112" s="503" t="s">
        <v>3417</v>
      </c>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3447" t="s">
        <v>3418</v>
      </c>
      <c r="D114" s="3447" t="s">
        <v>3420</v>
      </c>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30">C115-$K38</f>
        <v>97</v>
      </c>
      <c r="E115" s="493">
        <f t="shared" si="30"/>
        <v>94</v>
      </c>
      <c r="F115" s="493">
        <f t="shared" si="30"/>
        <v>91</v>
      </c>
      <c r="G115" s="493">
        <f t="shared" si="30"/>
        <v>88</v>
      </c>
      <c r="H115" s="493">
        <f t="shared" si="30"/>
        <v>85</v>
      </c>
      <c r="I115" s="493">
        <f t="shared" si="30"/>
        <v>82</v>
      </c>
      <c r="J115" s="493">
        <f t="shared" si="30"/>
        <v>79</v>
      </c>
      <c r="K115" s="493">
        <f t="shared" si="30"/>
        <v>76</v>
      </c>
      <c r="L115" s="493">
        <f t="shared" si="30"/>
        <v>73</v>
      </c>
      <c r="M115" s="494">
        <f t="shared" si="30"/>
        <v>70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3447" t="s">
        <v>3422</v>
      </c>
      <c r="D116" s="3447" t="s">
        <v>3424</v>
      </c>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4"/>
      <c r="D118" s="574"/>
      <c r="E118" s="574"/>
      <c r="F118" s="574"/>
      <c r="G118" s="574"/>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3447" t="s">
        <v>3426</v>
      </c>
      <c r="D122" s="3447" t="s">
        <v>3427</v>
      </c>
      <c r="E122" s="3447" t="s">
        <v>3428</v>
      </c>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2">C123-$K42</f>
        <v>99</v>
      </c>
      <c r="E123" s="493">
        <f t="shared" si="32"/>
        <v>98</v>
      </c>
      <c r="F123" s="493">
        <f t="shared" si="32"/>
        <v>97</v>
      </c>
      <c r="G123" s="493">
        <f t="shared" si="32"/>
        <v>96</v>
      </c>
      <c r="H123" s="493">
        <f t="shared" si="32"/>
        <v>95</v>
      </c>
      <c r="I123" s="493">
        <f t="shared" si="32"/>
        <v>94</v>
      </c>
      <c r="J123" s="493">
        <f t="shared" si="32"/>
        <v>93</v>
      </c>
      <c r="K123" s="493">
        <f t="shared" si="32"/>
        <v>92</v>
      </c>
      <c r="L123" s="493">
        <f t="shared" si="32"/>
        <v>91</v>
      </c>
      <c r="M123" s="494">
        <f t="shared" si="32"/>
        <v>90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t="str">
        <f>B44</f>
        <v>是否有地下</v>
      </c>
      <c r="C126" s="3447" t="s">
        <v>3465</v>
      </c>
      <c r="D126" s="3447" t="s">
        <v>3466</v>
      </c>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v>100</v>
      </c>
      <c r="D127" s="485">
        <v>105</v>
      </c>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7"/>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1" t="e">
        <f ca="1">ROUND(IF(D2="——",C52/10000,C52/10000-E2),4)</f>
        <v>#DIV/0!</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#DIV/0!</v>
      </c>
      <c r="D5" s="211" t="s">
        <v>1469</v>
      </c>
      <c r="E5" s="212" t="s">
        <v>1470</v>
      </c>
      <c r="F5" s="212" t="s">
        <v>1471</v>
      </c>
      <c r="G5" s="213"/>
    </row>
    <row r="6" spans="1:8" s="214" customFormat="1" ht="13.5" customHeight="1">
      <c r="A6" s="777" t="s">
        <v>1472</v>
      </c>
      <c r="B6" s="215" t="s">
        <v>1473</v>
      </c>
      <c r="C6" s="216" t="e">
        <f>ROUND(基准地价修正!C33*基准地价修正!D33,0)</f>
        <v>#DIV/0!</v>
      </c>
      <c r="D6" s="217"/>
      <c r="E6" s="218"/>
      <c r="F6" s="218"/>
      <c r="G6" s="219"/>
    </row>
    <row r="7" spans="1:8" s="214" customFormat="1" ht="13.5" customHeight="1">
      <c r="A7" s="777" t="s">
        <v>1474</v>
      </c>
      <c r="B7" s="215" t="s">
        <v>1475</v>
      </c>
      <c r="C7" s="220" t="e">
        <f>ROUND(C6*F7,0)</f>
        <v>#DIV/0!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62850</v>
      </c>
      <c r="D8" s="222"/>
      <c r="E8" s="220"/>
      <c r="F8" s="221"/>
      <c r="G8" s="1855" t="s">
        <v>3435</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62850</v>
      </c>
      <c r="D10" s="844">
        <f ca="1">IF(B1="",'数据-汇总表'!E6,IF(INDIRECT("'数据-取费表'!c"&amp;$G$1)="住宅",INDIRECT("'数据-取费表'!s"&amp;$G$1),INDIRECT("'数据-取费表'!k"&amp;$G$1)+INDIRECT("'数据-取费表'!s"&amp;$G$1)))</f>
        <v>314.25</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314.25</v>
      </c>
      <c r="E19" s="211">
        <f>'数据-取费表'!B31</f>
        <v>200</v>
      </c>
      <c r="F19" s="231"/>
      <c r="G19" s="1855" t="s">
        <v>3436</v>
      </c>
    </row>
    <row r="20" spans="1:7" s="214" customFormat="1" ht="13.5" customHeight="1">
      <c r="A20" s="255" t="s">
        <v>1574</v>
      </c>
      <c r="B20" s="210" t="s">
        <v>1575</v>
      </c>
      <c r="C20" s="232" t="e">
        <f ca="1">ROUND((C5+C19)*F20,0)</f>
        <v>#DIV/0!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t="e">
        <f ca="1">ROUND(SUM(C23:C25),0)</f>
        <v>#DIV/0!</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9" t="s">
        <v>1472</v>
      </c>
      <c r="B23" s="215" t="s">
        <v>1583</v>
      </c>
      <c r="C23" s="1127" t="e">
        <f ca="1">ROUND(IF('数据-取费表'!B22&lt;=1,C5*F22*'数据-取费表'!B22,C5*(POWER((1+F22),'数据-取费表'!B22)-1)),0)</f>
        <v>#DIV/0!</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t="e">
        <f ca="1">ROUND(IF('数据-取费表'!B22&lt;=1,C20*F22*'数据-取费表'!B22/2,C20*(POWER((1+F22),'数据-取费表'!B22/2)-1)),0)</f>
        <v>#DIV/0!</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#DIV/0!</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t="e">
        <f ca="1">ROUND((C5+C19+C20)*F27,0)</f>
        <v>#DIV/0!</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1217719</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1099875</v>
      </c>
      <c r="D34" s="217"/>
      <c r="E34" s="220"/>
      <c r="F34" s="257"/>
      <c r="G34" s="219"/>
    </row>
    <row r="35" spans="1:7" ht="13.5" customHeight="1">
      <c r="A35" s="779" t="s">
        <v>351</v>
      </c>
      <c r="B35" s="215" t="s">
        <v>1527</v>
      </c>
      <c r="C35" s="220">
        <f ca="1">ROUND(C34*F35,0)</f>
        <v>32996</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62850</v>
      </c>
      <c r="D37" s="217">
        <f ca="1">D19</f>
        <v>314.25</v>
      </c>
      <c r="E37" s="249">
        <f>'数据-取费表'!B35</f>
        <v>200</v>
      </c>
      <c r="F37" s="259"/>
      <c r="G37" s="261"/>
    </row>
    <row r="38" spans="1:7" ht="13.5" customHeight="1">
      <c r="A38" s="779" t="s">
        <v>354</v>
      </c>
      <c r="B38" s="215" t="s">
        <v>1533</v>
      </c>
      <c r="C38" s="220">
        <f ca="1">ROUND(C34*F38,0)</f>
        <v>21998</v>
      </c>
      <c r="D38" s="220"/>
      <c r="E38" s="220"/>
      <c r="F38" s="259">
        <f>'数据-取费表'!B36</f>
        <v>0.02</v>
      </c>
      <c r="G38" s="219" t="s">
        <v>1528</v>
      </c>
    </row>
    <row r="39" spans="1:7" s="214" customFormat="1" ht="13.5" customHeight="1">
      <c r="A39" s="255" t="s">
        <v>1534</v>
      </c>
      <c r="B39" s="210" t="s">
        <v>1535</v>
      </c>
      <c r="C39" s="232">
        <f ca="1">ROUND(C33*F20,0)</f>
        <v>24354</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42851</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42011</v>
      </c>
      <c r="D42" s="238"/>
      <c r="E42" s="238"/>
      <c r="F42" s="239"/>
      <c r="G42" s="3656" t="s">
        <v>1591</v>
      </c>
    </row>
    <row r="43" spans="1:7" ht="13.5" customHeight="1">
      <c r="A43" s="779" t="s">
        <v>347</v>
      </c>
      <c r="B43" s="215" t="s">
        <v>1545</v>
      </c>
      <c r="C43" s="238">
        <f ca="1">ROUND(IF('数据-取费表'!B22&lt;=1,C39*F22*'数据-取费表'!B20/2,C39*(POWER((1+F22),'数据-取费表'!B20/2)-1)),0)</f>
        <v>840</v>
      </c>
      <c r="D43" s="238"/>
      <c r="E43" s="238"/>
      <c r="F43" s="239"/>
      <c r="G43" s="3657"/>
    </row>
    <row r="44" spans="1:7" ht="13.5" customHeight="1">
      <c r="A44" s="779" t="s">
        <v>348</v>
      </c>
      <c r="B44" s="215" t="s">
        <v>1546</v>
      </c>
      <c r="C44" s="238">
        <f ca="1">ROUND(IF('数据-取费表'!B22&lt;=1,C40*F22*'数据-取费表'!B20/2,C40*(POWER((1+F22),'数据-取费表'!B20/2)-1)),4)</f>
        <v>6.9999999999999999E-4</v>
      </c>
      <c r="D44" s="238"/>
      <c r="E44" s="238"/>
      <c r="F44" s="239"/>
      <c r="G44" s="3658"/>
    </row>
    <row r="45" spans="1:7" s="214" customFormat="1" ht="13.5" customHeight="1">
      <c r="A45" s="255" t="s">
        <v>1547</v>
      </c>
      <c r="B45" s="244" t="s">
        <v>1513</v>
      </c>
      <c r="C45" s="245">
        <f ca="1">C46</f>
        <v>248415</v>
      </c>
      <c r="D45" s="235">
        <f ca="1">C47</f>
        <v>4.0000000000000001E-3</v>
      </c>
      <c r="E45" s="236" t="s">
        <v>1539</v>
      </c>
      <c r="F45" s="246">
        <f ca="1">F27</f>
        <v>0.2</v>
      </c>
      <c r="G45" s="247" t="s">
        <v>1548</v>
      </c>
    </row>
    <row r="46" spans="1:7" s="214" customFormat="1" ht="13.5" customHeight="1">
      <c r="A46" s="779" t="s">
        <v>346</v>
      </c>
      <c r="B46" s="248" t="s">
        <v>1549</v>
      </c>
      <c r="C46" s="249">
        <f ca="1">ROUND((C33+C39)*F27,0)</f>
        <v>248415</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1663057</v>
      </c>
      <c r="D49" s="232"/>
      <c r="E49" s="232"/>
      <c r="F49" s="264"/>
      <c r="G49" s="234" t="s">
        <v>1554</v>
      </c>
    </row>
    <row r="50" spans="1:7" s="258" customFormat="1">
      <c r="A50" s="255" t="s">
        <v>1555</v>
      </c>
      <c r="B50" s="210" t="s">
        <v>1556</v>
      </c>
      <c r="C50" s="232"/>
      <c r="D50" s="232"/>
      <c r="E50" s="232"/>
      <c r="F50" s="264">
        <f>IF('数据-取费表'!B24=0,'数据-取费表'!N16,1)</f>
        <v>0.74</v>
      </c>
      <c r="G50" s="247"/>
    </row>
    <row r="51" spans="1:7" ht="16.5" customHeight="1">
      <c r="A51" s="255" t="s">
        <v>1558</v>
      </c>
      <c r="B51" s="210" t="s">
        <v>1593</v>
      </c>
      <c r="C51" s="232">
        <f ca="1">ROUND(C49*F50,0)</f>
        <v>1230662</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I41" sqref="I4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16</v>
      </c>
      <c r="G1" s="1377">
        <f>MATCH(C1,'数据-取费表'!A6:A16,0)+5</f>
        <v>6</v>
      </c>
      <c r="H1" s="2690"/>
      <c r="I1" s="2691"/>
      <c r="J1" s="2691"/>
      <c r="K1" s="2692"/>
      <c r="L1" s="2691"/>
      <c r="M1" s="2691"/>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2">
        <f ca="1">ROUND(D2/10000,4)</f>
        <v>679.02210000000002</v>
      </c>
      <c r="C2" s="1386" t="s">
        <v>879</v>
      </c>
      <c r="D2" s="1470">
        <f ca="1">C40+J29+L46</f>
        <v>6790221</v>
      </c>
      <c r="E2" s="1387" t="s">
        <v>880</v>
      </c>
      <c r="F2" s="1388"/>
      <c r="G2" s="2704"/>
      <c r="H2" s="2693"/>
      <c r="I2" s="2693"/>
      <c r="J2" s="2693"/>
      <c r="K2" s="2694"/>
      <c r="L2" s="2693"/>
      <c r="M2" s="2693"/>
    </row>
    <row r="3" spans="1:37" ht="18" customHeight="1" thickBot="1">
      <c r="A3" s="1389" t="s">
        <v>881</v>
      </c>
      <c r="B3" s="1390">
        <f ca="1">IF(ISERROR(D2/F43),0,ROUND(D2/F43,0))</f>
        <v>21608</v>
      </c>
      <c r="C3" s="1386" t="s">
        <v>882</v>
      </c>
      <c r="D3" s="1386"/>
      <c r="E3" s="1387"/>
      <c r="F3" s="1388"/>
      <c r="G3" s="2704"/>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620161</v>
      </c>
      <c r="D5" s="1363" t="s">
        <v>889</v>
      </c>
      <c r="E5" s="1070"/>
      <c r="F5" s="1071"/>
      <c r="G5" s="1383"/>
      <c r="H5" s="299">
        <v>1</v>
      </c>
      <c r="I5" s="300" t="s">
        <v>888</v>
      </c>
      <c r="J5" s="1069">
        <f ca="1">J6+J10+J12</f>
        <v>0</v>
      </c>
      <c r="K5" s="1363" t="s">
        <v>889</v>
      </c>
      <c r="L5" s="1070"/>
      <c r="M5" s="1071"/>
    </row>
    <row r="6" spans="1:37" ht="18" customHeight="1">
      <c r="A6" s="1068" t="s">
        <v>398</v>
      </c>
      <c r="B6" s="3661" t="s">
        <v>694</v>
      </c>
      <c r="C6" s="1073">
        <f ca="1">ROUND(F6*F8*F7*(1-F9),0)</f>
        <v>619387</v>
      </c>
      <c r="D6" s="155" t="s">
        <v>2106</v>
      </c>
      <c r="E6" s="302" t="s">
        <v>696</v>
      </c>
      <c r="F6" s="303">
        <f ca="1">INDIRECT("'数据-取费表'!u"&amp;$G$1)</f>
        <v>6</v>
      </c>
      <c r="G6" s="1383"/>
      <c r="H6" s="1068" t="s">
        <v>398</v>
      </c>
      <c r="I6" s="3661" t="s">
        <v>694</v>
      </c>
      <c r="J6" s="301">
        <f ca="1">ROUND(M6*M8*M7*(1-M9),0)</f>
        <v>0</v>
      </c>
      <c r="K6" s="1375" t="s">
        <v>2107</v>
      </c>
      <c r="L6" s="302" t="s">
        <v>696</v>
      </c>
      <c r="M6" s="303">
        <f ca="1">INDIRECT("'数据-取费表'!z"&amp;$G$1)</f>
        <v>0</v>
      </c>
    </row>
    <row r="7" spans="1:37" ht="18" customHeight="1">
      <c r="A7" s="1072"/>
      <c r="B7" s="3662"/>
      <c r="C7" s="1074"/>
      <c r="D7" s="307"/>
      <c r="E7" s="1075" t="s">
        <v>697</v>
      </c>
      <c r="F7" s="303">
        <f ca="1">IF(INDIRECT("'数据-取费表'!ah"&amp;$G$1)="",INDIRECT("'数据-取费表'!k"&amp;$G$1),INDIRECT("'数据-取费表'!ah"&amp;$G$1))</f>
        <v>314.25</v>
      </c>
      <c r="G7" s="1383"/>
      <c r="H7" s="304"/>
      <c r="I7" s="3662"/>
      <c r="J7" s="306"/>
      <c r="K7" s="307"/>
      <c r="L7" s="302" t="s">
        <v>697</v>
      </c>
      <c r="M7" s="303">
        <f ca="1">F7</f>
        <v>314.25</v>
      </c>
    </row>
    <row r="8" spans="1:37" ht="18" customHeight="1">
      <c r="A8" s="304"/>
      <c r="B8" s="3662"/>
      <c r="C8" s="306"/>
      <c r="D8" s="307"/>
      <c r="E8" s="302" t="s">
        <v>698</v>
      </c>
      <c r="F8" s="303">
        <f ca="1">INDIRECT("'数据-取费表'!ai"&amp;$G$1)</f>
        <v>365</v>
      </c>
      <c r="G8" s="1383"/>
      <c r="H8" s="304"/>
      <c r="I8" s="3662"/>
      <c r="J8" s="306"/>
      <c r="K8" s="307"/>
      <c r="L8" s="302" t="s">
        <v>698</v>
      </c>
      <c r="M8" s="303">
        <f ca="1">INDIRECT("'数据-取费表'!ai"&amp;$G$1)</f>
        <v>365</v>
      </c>
    </row>
    <row r="9" spans="1:37" ht="18" customHeight="1">
      <c r="A9" s="304"/>
      <c r="B9" s="3663"/>
      <c r="C9" s="306"/>
      <c r="D9" s="307"/>
      <c r="E9" s="302" t="s">
        <v>699</v>
      </c>
      <c r="F9" s="312">
        <f ca="1">INDIRECT("'数据-取费表'!w"&amp;$G$1)</f>
        <v>0.1</v>
      </c>
      <c r="G9" s="1383"/>
      <c r="H9" s="304"/>
      <c r="I9" s="3663"/>
      <c r="J9" s="306"/>
      <c r="K9" s="307"/>
      <c r="L9" s="313" t="s">
        <v>699</v>
      </c>
      <c r="M9" s="314">
        <f ca="1">INDIRECT("'数据-取费表'!ab"&amp;$G$1)</f>
        <v>0</v>
      </c>
    </row>
    <row r="10" spans="1:37" ht="18" customHeight="1">
      <c r="A10" s="1068" t="s">
        <v>402</v>
      </c>
      <c r="B10" s="1364" t="s">
        <v>700</v>
      </c>
      <c r="C10" s="316">
        <f ca="1">ROUND(IF(F10="押一",C6/12*F11,IF(F10="押二",C6/12*2*F11,IF(F10="押三",C6/12*3*F11,C11*F11))),0)</f>
        <v>774</v>
      </c>
      <c r="D10" s="1365" t="s">
        <v>2116</v>
      </c>
      <c r="E10" s="313" t="s">
        <v>701</v>
      </c>
      <c r="F10" s="1115" t="s">
        <v>3431</v>
      </c>
      <c r="G10" s="1383"/>
      <c r="H10" s="1068" t="s">
        <v>402</v>
      </c>
      <c r="I10" s="1364" t="s">
        <v>700</v>
      </c>
      <c r="J10" s="301">
        <f ca="1">ROUND(IF(M10="押一",J6/12*M11,IF(M10="押二",J6/12*2*M11,IF(M10="押三",J6/12*3*M11,J11*M11))),0)</f>
        <v>0</v>
      </c>
      <c r="K10" s="1376" t="s">
        <v>2118</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1230662</v>
      </c>
      <c r="D13" s="1080" t="s">
        <v>705</v>
      </c>
      <c r="E13" s="1080" t="s">
        <v>706</v>
      </c>
      <c r="F13" s="1081">
        <f ca="1">INDIRECT("'数据-取费表'!y"&amp;$G$1)</f>
        <v>0.74</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1099875</v>
      </c>
      <c r="D14" s="1344" t="s">
        <v>708</v>
      </c>
      <c r="E14" s="1341"/>
      <c r="F14" s="319"/>
      <c r="G14" s="1383"/>
      <c r="H14" s="981" t="s">
        <v>398</v>
      </c>
      <c r="I14" s="302" t="s">
        <v>709</v>
      </c>
      <c r="J14" s="21">
        <f ca="1">C29</f>
        <v>1663057</v>
      </c>
      <c r="K14" s="12"/>
      <c r="L14" s="806"/>
      <c r="M14" s="807"/>
    </row>
    <row r="15" spans="1:37" s="1396" customFormat="1" ht="18" customHeight="1" thickBot="1">
      <c r="A15" s="981" t="s">
        <v>399</v>
      </c>
      <c r="B15" s="302" t="s">
        <v>710</v>
      </c>
      <c r="C15" s="21">
        <f ca="1">ROUND(C14*F15,0)</f>
        <v>32996</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16631</v>
      </c>
      <c r="K16" s="1086" t="s">
        <v>715</v>
      </c>
      <c r="L16" s="1087"/>
      <c r="M16" s="1071"/>
    </row>
    <row r="17" spans="1:37" s="1396" customFormat="1" ht="18" customHeight="1">
      <c r="A17" s="981" t="s">
        <v>681</v>
      </c>
      <c r="B17" s="302" t="s">
        <v>716</v>
      </c>
      <c r="C17" s="21">
        <f ca="1">ROUND(F17*(F43+INDIRECT("'数据-取费表'!S"&amp;$G$1)),0)</f>
        <v>62850</v>
      </c>
      <c r="D17" s="302" t="s">
        <v>717</v>
      </c>
      <c r="E17" s="302" t="s">
        <v>718</v>
      </c>
      <c r="F17" s="23">
        <f>'数据-取费表'!B35</f>
        <v>200</v>
      </c>
      <c r="G17" s="1395"/>
      <c r="H17" s="981"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21998</v>
      </c>
      <c r="D18" s="302" t="s">
        <v>711</v>
      </c>
      <c r="E18" s="302" t="s">
        <v>712</v>
      </c>
      <c r="F18" s="322">
        <f>'数据-取费表'!B36</f>
        <v>0.02</v>
      </c>
      <c r="G18" s="1395"/>
      <c r="H18" s="981"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1217719</v>
      </c>
      <c r="D19" s="131" t="s">
        <v>726</v>
      </c>
      <c r="E19" s="1359"/>
      <c r="F19" s="23"/>
      <c r="G19" s="1383"/>
      <c r="H19" s="981" t="s">
        <v>399</v>
      </c>
      <c r="I19" s="302" t="s">
        <v>727</v>
      </c>
      <c r="J19" s="21">
        <f ca="1">IF(K19="按租金收入计税",ROUND(J6*M19/(1+'数据-取费表'!C42),0),ROUND(C29*M19*0.7,0))</f>
        <v>0</v>
      </c>
      <c r="K19" s="1369" t="s">
        <v>3339</v>
      </c>
      <c r="L19" s="302" t="s">
        <v>712</v>
      </c>
      <c r="M19" s="322">
        <f>IF(K19="按租金收入计税",'数据-取费表'!B51,'数据-取费表'!B50)</f>
        <v>0.12</v>
      </c>
    </row>
    <row r="20" spans="1:37" s="1396" customFormat="1" ht="18" customHeight="1">
      <c r="A20" s="981" t="s">
        <v>402</v>
      </c>
      <c r="B20" s="302" t="s">
        <v>728</v>
      </c>
      <c r="C20" s="21">
        <f ca="1">ROUND(C19*F20,0)</f>
        <v>24354</v>
      </c>
      <c r="D20" s="323" t="s">
        <v>729</v>
      </c>
      <c r="E20" s="302" t="s">
        <v>712</v>
      </c>
      <c r="F20" s="322">
        <f>'数据-取费表'!B37</f>
        <v>0.02</v>
      </c>
      <c r="G20" s="1395"/>
      <c r="H20" s="981" t="s">
        <v>680</v>
      </c>
      <c r="I20" s="155" t="s">
        <v>730</v>
      </c>
      <c r="J20" s="22">
        <f ca="1">ROUND(M20*M21,0)</f>
        <v>0</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9"/>
      <c r="F22" s="23"/>
      <c r="G22" s="1383"/>
      <c r="H22" s="981" t="s">
        <v>402</v>
      </c>
      <c r="I22" s="302" t="s">
        <v>738</v>
      </c>
      <c r="J22" s="21">
        <f ca="1">ROUND(J14*M22,0)</f>
        <v>16631</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42851</v>
      </c>
      <c r="D23" s="329" t="str">
        <f>IF(F23&lt;=1,"(建造成本+管理费用)×利率×(建设周期÷2)","(建造成本+管理费用)×((1+利率)^(建设周期÷2)-1)")</f>
        <v>(建造成本+管理费用)×((1+利率)^(建设周期÷2)-1)</v>
      </c>
      <c r="E23" s="302" t="s">
        <v>741</v>
      </c>
      <c r="F23" s="325">
        <f>'数据-取费表'!B20</f>
        <v>2</v>
      </c>
      <c r="G23" s="1395"/>
      <c r="H23" s="981"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-16631</v>
      </c>
      <c r="K25" s="1094" t="s">
        <v>753</v>
      </c>
      <c r="L25" s="1095"/>
      <c r="M25" s="1096"/>
    </row>
    <row r="26" spans="1:37" ht="18" customHeight="1">
      <c r="A26" s="981" t="s">
        <v>397</v>
      </c>
      <c r="B26" s="302" t="s">
        <v>754</v>
      </c>
      <c r="C26" s="21">
        <f ca="1">ROUND((C19+C20)*F26,0)</f>
        <v>248415</v>
      </c>
      <c r="D26" s="323" t="s">
        <v>755</v>
      </c>
      <c r="E26" s="313" t="s">
        <v>756</v>
      </c>
      <c r="F26" s="312">
        <f ca="1">INDIRECT("'数据-取费表'!q"&amp;$G$1)</f>
        <v>0.2</v>
      </c>
      <c r="G26" s="1383"/>
      <c r="H26" s="299" t="s">
        <v>395</v>
      </c>
      <c r="I26" s="300" t="s">
        <v>757</v>
      </c>
      <c r="J26" s="301">
        <f ca="1">IF(J5&lt;&gt;0,ROUND(J25*(1-((1+M28)/(1+M26))^M27)/(M26-M28),0),0)</f>
        <v>0</v>
      </c>
      <c r="K26" s="324" t="s">
        <v>758</v>
      </c>
      <c r="L26" s="302" t="s">
        <v>759</v>
      </c>
      <c r="M26" s="312">
        <f ca="1">INDIRECT("'数据-取费表'!I"&amp;$G$1)</f>
        <v>0.06</v>
      </c>
    </row>
    <row r="27" spans="1:37" ht="18" customHeight="1">
      <c r="A27" s="981" t="s">
        <v>399</v>
      </c>
      <c r="B27" s="302" t="s">
        <v>760</v>
      </c>
      <c r="C27" s="21">
        <f ca="1">ROUND(F21*F26,4)</f>
        <v>4.0000000000000001E-3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1663057</v>
      </c>
      <c r="D29" s="1091"/>
      <c r="E29" s="1089"/>
      <c r="F29" s="1092"/>
      <c r="G29" s="1395"/>
      <c r="H29" s="334" t="s">
        <v>396</v>
      </c>
      <c r="I29" s="335" t="s">
        <v>768</v>
      </c>
      <c r="J29" s="336">
        <f ca="1">ROUND(J26/(1+F40)^F41,0)</f>
        <v>0</v>
      </c>
      <c r="K29" s="337" t="s">
        <v>769</v>
      </c>
      <c r="L29" s="338"/>
      <c r="M29" s="339">
        <f ca="1">INDIRECT("'数据-取费表'!k"&amp;$G$1)</f>
        <v>314.25</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65971</v>
      </c>
      <c r="D30" s="1086" t="s">
        <v>715</v>
      </c>
      <c r="E30" s="1087"/>
      <c r="F30" s="1071"/>
      <c r="G30" s="1383"/>
      <c r="H30" s="2695"/>
      <c r="I30" s="1397"/>
      <c r="J30" s="1398"/>
      <c r="K30" s="2473"/>
      <c r="L30" s="2696"/>
      <c r="M30" s="2697"/>
    </row>
    <row r="31" spans="1:37" ht="18" customHeight="1">
      <c r="A31" s="981" t="s">
        <v>398</v>
      </c>
      <c r="B31" s="302" t="s">
        <v>719</v>
      </c>
      <c r="C31" s="2315">
        <f ca="1">ROUND(IF(AND(项目基本情况!B11="自然人",项目基本情况!B10="北京市"),C6*F31/(1+'数据-取费表'!C42),C32+C33+C34),0)</f>
        <v>41292</v>
      </c>
      <c r="D31" s="1344" t="s">
        <v>720</v>
      </c>
      <c r="E31" s="1343" t="s">
        <v>770</v>
      </c>
      <c r="F31" s="2314">
        <f ca="1">IF(项目基本情况!B11="企业","——",IF(M47="住宅",IF(F6*F7*F8/12/(1+'数据-取费表'!F30)&gt;100000,4%,2.5%),IF(F6*F7*F8/12/(1+'数据-取费表'!F30)&gt;100000,12%,7%)))</f>
        <v>7.0000000000000007E-2</v>
      </c>
      <c r="G31" s="1383"/>
      <c r="H31" s="2806" t="s">
        <v>2310</v>
      </c>
      <c r="I31" s="1397"/>
      <c r="J31" s="1398"/>
      <c r="K31" s="2473"/>
      <c r="L31" s="2696"/>
      <c r="M31" s="2697"/>
    </row>
    <row r="32" spans="1:37" ht="18" customHeight="1">
      <c r="A32" s="981" t="s">
        <v>397</v>
      </c>
      <c r="B32" s="302" t="s">
        <v>723</v>
      </c>
      <c r="C32" s="21" t="str">
        <f>IF(项目基本情况!B11="自然人","——",ROUND(C6*F32/(1+'数据-取费表'!C42),0))</f>
        <v>——</v>
      </c>
      <c r="D32" s="1343" t="s">
        <v>724</v>
      </c>
      <c r="E32" s="302" t="s">
        <v>712</v>
      </c>
      <c r="F32" s="331">
        <f>'数据-取费表'!B41</f>
        <v>5.6000000000000001E-2</v>
      </c>
      <c r="G32" s="1383"/>
      <c r="H32" s="2695"/>
      <c r="I32" s="1397"/>
      <c r="J32" s="1398"/>
      <c r="K32" s="2473"/>
      <c r="L32" s="2696"/>
      <c r="M32" s="2697"/>
    </row>
    <row r="33" spans="1:18" ht="18" customHeight="1">
      <c r="A33" s="981" t="s">
        <v>399</v>
      </c>
      <c r="B33" s="302" t="s">
        <v>727</v>
      </c>
      <c r="C33" s="21" t="str">
        <f ca="1">IF(项目基本情况!B11="自然人","——",IF(D33="按租金收入计税",ROUND(C6*F33/(1+'数据-取费表'!C42),0),IF(D33="按房产原值计税",ROUND(C29*F33*0.7,0),INDIRECT("'数据-取费表'!Aj"&amp;$G$1))))</f>
        <v>——</v>
      </c>
      <c r="D33" s="1369" t="s">
        <v>3339</v>
      </c>
      <c r="E33" s="302" t="s">
        <v>712</v>
      </c>
      <c r="F33" s="322">
        <f>IF(D33="按票据","——",IF(D33="按租金收入计税",'数据-取费表'!B51,'数据-取费表'!B50))</f>
        <v>0.12</v>
      </c>
      <c r="G33" s="1383"/>
      <c r="H33" s="2698"/>
      <c r="I33" s="1397"/>
      <c r="J33" s="1398"/>
      <c r="K33" s="2699"/>
      <c r="L33" s="2698"/>
      <c r="M33" s="2698"/>
    </row>
    <row r="34" spans="1:18" ht="18" customHeight="1">
      <c r="A34" s="1068" t="s">
        <v>680</v>
      </c>
      <c r="B34" s="155" t="s">
        <v>730</v>
      </c>
      <c r="C34" s="22" t="str">
        <f>IF(项目基本情况!B11="自然人","——",ROUND(F34*F35,0))</f>
        <v>——</v>
      </c>
      <c r="D34" s="324" t="s">
        <v>731</v>
      </c>
      <c r="E34" s="302" t="s">
        <v>732</v>
      </c>
      <c r="F34" s="325">
        <f>'数据-取费表'!B52</f>
        <v>1.5</v>
      </c>
      <c r="G34" s="1383"/>
      <c r="H34" s="2695"/>
      <c r="I34" s="1397"/>
      <c r="J34" s="1398"/>
      <c r="K34" s="2700"/>
      <c r="L34" s="2701"/>
      <c r="M34" s="2701"/>
    </row>
    <row r="35" spans="1:18" ht="18" customHeight="1">
      <c r="A35" s="1102"/>
      <c r="B35" s="1100"/>
      <c r="C35" s="26"/>
      <c r="D35" s="327"/>
      <c r="E35" s="302" t="s">
        <v>736</v>
      </c>
      <c r="F35" s="303">
        <f ca="1">INDIRECT("'数据-取费表'!r"&amp;$G$1)</f>
        <v>0</v>
      </c>
      <c r="G35" s="1383"/>
      <c r="H35" s="2695"/>
      <c r="I35" s="1397"/>
      <c r="J35" s="1398"/>
      <c r="K35" s="2699"/>
      <c r="L35" s="2698"/>
      <c r="M35" s="2698"/>
    </row>
    <row r="36" spans="1:18" ht="18" customHeight="1">
      <c r="A36" s="1101" t="s">
        <v>402</v>
      </c>
      <c r="B36" s="302" t="s">
        <v>738</v>
      </c>
      <c r="C36" s="21">
        <f ca="1">ROUND(C29*F36,0)</f>
        <v>16631</v>
      </c>
      <c r="D36" s="1343" t="s">
        <v>771</v>
      </c>
      <c r="E36" s="302" t="s">
        <v>712</v>
      </c>
      <c r="F36" s="328">
        <f ca="1">INDIRECT("'数据-取费表'!Ak"&amp;$G$1)</f>
        <v>0.01</v>
      </c>
      <c r="G36" s="1383"/>
      <c r="H36" s="2698"/>
      <c r="I36" s="1397"/>
      <c r="J36" s="1398"/>
      <c r="K36" s="2542"/>
      <c r="L36" s="2698"/>
      <c r="M36" s="2698"/>
    </row>
    <row r="37" spans="1:18" ht="18" customHeight="1">
      <c r="A37" s="981" t="s">
        <v>437</v>
      </c>
      <c r="B37" s="302" t="s">
        <v>742</v>
      </c>
      <c r="C37" s="21">
        <f ca="1">ROUND(C13*F37,0)</f>
        <v>1846</v>
      </c>
      <c r="D37" s="1343" t="s">
        <v>743</v>
      </c>
      <c r="E37" s="302" t="s">
        <v>744</v>
      </c>
      <c r="F37" s="330">
        <f ca="1">INDIRECT("'数据-取费表'!Al"&amp;$G$1)</f>
        <v>1.5E-3</v>
      </c>
      <c r="G37" s="1383"/>
      <c r="H37" s="2698"/>
      <c r="I37" s="1397"/>
      <c r="J37" s="1398"/>
      <c r="K37" s="2542"/>
      <c r="L37" s="2698"/>
      <c r="M37" s="2698"/>
    </row>
    <row r="38" spans="1:18" ht="18" customHeight="1" thickBot="1">
      <c r="A38" s="1088" t="s">
        <v>684</v>
      </c>
      <c r="B38" s="1089" t="s">
        <v>728</v>
      </c>
      <c r="C38" s="1090">
        <f ca="1">ROUND(C5*F38,0)</f>
        <v>6202</v>
      </c>
      <c r="D38" s="1091" t="s">
        <v>748</v>
      </c>
      <c r="E38" s="1089" t="s">
        <v>744</v>
      </c>
      <c r="F38" s="1085">
        <f ca="1">INDIRECT("'数据-取费表'!Am"&amp;$G$1)</f>
        <v>0.01</v>
      </c>
      <c r="G38" s="1383"/>
      <c r="H38" s="2698"/>
      <c r="I38" s="1397"/>
      <c r="J38" s="1398"/>
      <c r="K38" s="2702"/>
      <c r="L38" s="2698"/>
      <c r="M38" s="2698"/>
    </row>
    <row r="39" spans="1:18" ht="24.6" customHeight="1" thickTop="1">
      <c r="A39" s="1078" t="s">
        <v>394</v>
      </c>
      <c r="B39" s="1093" t="s">
        <v>772</v>
      </c>
      <c r="C39" s="310">
        <f ca="1">C5-C30</f>
        <v>554190</v>
      </c>
      <c r="D39" s="1094" t="s">
        <v>773</v>
      </c>
      <c r="E39" s="1095"/>
      <c r="F39" s="1096"/>
      <c r="G39" s="1383"/>
      <c r="H39" s="2698">
        <f ca="1">C39/C5</f>
        <v>0.8936227850509787</v>
      </c>
      <c r="I39" s="1397"/>
      <c r="J39" s="1398"/>
      <c r="K39" s="2702"/>
      <c r="L39" s="2698"/>
      <c r="M39" s="2698"/>
    </row>
    <row r="40" spans="1:18" ht="18" customHeight="1">
      <c r="A40" s="299" t="s">
        <v>395</v>
      </c>
      <c r="B40" s="300" t="s">
        <v>774</v>
      </c>
      <c r="C40" s="301">
        <f ca="1">ROUND(C39*(1-((1+F42)/(1+F40))^F41)/(F40-F42),0)</f>
        <v>6581084</v>
      </c>
      <c r="D40" s="324" t="s">
        <v>758</v>
      </c>
      <c r="E40" s="302" t="s">
        <v>759</v>
      </c>
      <c r="F40" s="312">
        <f ca="1">INDIRECT("'数据-取费表'!I"&amp;$G$1)</f>
        <v>0.06</v>
      </c>
      <c r="G40" s="1383"/>
      <c r="H40" s="1460"/>
      <c r="I40" s="1397"/>
      <c r="J40" s="1398"/>
      <c r="K40" s="2702"/>
      <c r="L40" s="1460"/>
      <c r="M40" s="1460"/>
    </row>
    <row r="41" spans="1:18" ht="18" customHeight="1">
      <c r="A41" s="304"/>
      <c r="B41" s="305"/>
      <c r="C41" s="306"/>
      <c r="D41" s="332" t="s">
        <v>775</v>
      </c>
      <c r="E41" s="302" t="s">
        <v>763</v>
      </c>
      <c r="F41" s="333">
        <f ca="1">IF(INDIRECT("'数据-取费表'!af"&amp;$G$1)=0,INDIRECT("'数据-取费表'!ae"&amp;$G$1),INDIRECT("'数据-取费表'!af"&amp;$G$1))</f>
        <v>16</v>
      </c>
      <c r="G41" s="1383"/>
      <c r="H41" s="1190"/>
      <c r="I41" s="1397"/>
      <c r="J41" s="1398"/>
      <c r="K41" s="2542"/>
      <c r="L41" s="1190"/>
      <c r="M41" s="1190"/>
    </row>
    <row r="42" spans="1:18" ht="18" customHeight="1">
      <c r="A42" s="308"/>
      <c r="B42" s="309"/>
      <c r="C42" s="310"/>
      <c r="D42" s="327"/>
      <c r="E42" s="302" t="s">
        <v>766</v>
      </c>
      <c r="F42" s="312">
        <f ca="1">INDIRECT("'数据-取费表'!v"&amp;$G$1)</f>
        <v>2.5000000000000001E-2</v>
      </c>
      <c r="G42" s="1383"/>
      <c r="H42" s="1190"/>
      <c r="I42" s="1397"/>
      <c r="J42" s="1398"/>
      <c r="K42" s="2542"/>
      <c r="L42" s="1190"/>
      <c r="M42" s="1190"/>
    </row>
    <row r="43" spans="1:18" ht="18" customHeight="1" thickBot="1">
      <c r="A43" s="334" t="s">
        <v>396</v>
      </c>
      <c r="B43" s="335" t="s">
        <v>776</v>
      </c>
      <c r="C43" s="336">
        <f ca="1">ROUND(C40/F43,0)</f>
        <v>20942</v>
      </c>
      <c r="D43" s="337" t="s">
        <v>777</v>
      </c>
      <c r="E43" s="338" t="s">
        <v>778</v>
      </c>
      <c r="F43" s="339">
        <f ca="1">INDIRECT("'数据-取费表'!k"&amp;$G$1)</f>
        <v>314.25</v>
      </c>
      <c r="G43" s="1383"/>
      <c r="H43" s="1190"/>
      <c r="I43" s="1190"/>
      <c r="J43" s="1190"/>
      <c r="K43" s="2542"/>
      <c r="L43" s="1190"/>
      <c r="M43" s="1190"/>
    </row>
    <row r="44" spans="1:18" s="1383" customFormat="1" ht="18" customHeight="1">
      <c r="A44" s="1399"/>
      <c r="B44" s="1399"/>
      <c r="C44" s="1400"/>
      <c r="D44" s="1399"/>
      <c r="E44" s="1399"/>
      <c r="F44" s="1399"/>
      <c r="K44" s="1401"/>
    </row>
    <row r="45" spans="1:18" s="1383" customFormat="1" ht="18" customHeight="1" thickBot="1">
      <c r="A45" s="3428" t="s">
        <v>3355</v>
      </c>
      <c r="B45" s="1399"/>
      <c r="C45" s="1471">
        <f ca="1">ROUND((C68-C40)/10000,4)</f>
        <v>-676.78110000000004</v>
      </c>
      <c r="D45" s="3429" t="s">
        <v>3356</v>
      </c>
      <c r="E45" s="1399"/>
      <c r="F45" s="1399"/>
      <c r="O45" s="1402" t="s">
        <v>808</v>
      </c>
      <c r="P45" s="1460"/>
      <c r="Q45" s="1460"/>
      <c r="R45" s="1460"/>
    </row>
    <row r="46" spans="1:18" s="1383" customFormat="1" ht="13.5" thickBot="1">
      <c r="A46" s="1403" t="s">
        <v>809</v>
      </c>
      <c r="C46" s="1404">
        <f ca="1">ROUND(C45,0)</f>
        <v>-677</v>
      </c>
      <c r="D46" s="1405" t="str">
        <f>C2</f>
        <v>万元</v>
      </c>
      <c r="I46" s="1406" t="s">
        <v>810</v>
      </c>
      <c r="J46" s="1407"/>
      <c r="K46" s="1408"/>
      <c r="L46" s="1409">
        <f ca="1">IF(M47="住宅",0,IF(L48&gt;J51,L60,J60))</f>
        <v>209137</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3411</v>
      </c>
      <c r="K47" s="1415" t="s">
        <v>816</v>
      </c>
      <c r="L47" s="1416">
        <f ca="1">INDIRECT("'数据-取费表'!d"&amp;$G$1)</f>
        <v>40</v>
      </c>
      <c r="M47" s="1379" t="str">
        <f>IF(ISNUMBER(FIND("住宅",C1)),"住宅","非住宅")</f>
        <v>非住宅</v>
      </c>
      <c r="O47" s="1417" t="s">
        <v>403</v>
      </c>
      <c r="P47" s="1418" t="s">
        <v>817</v>
      </c>
      <c r="Q47" s="1419">
        <f ca="1">C40+J29</f>
        <v>6581084</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16</v>
      </c>
      <c r="O48" s="1417" t="s">
        <v>404</v>
      </c>
      <c r="P48" s="1418" t="s">
        <v>821</v>
      </c>
      <c r="Q48" s="1419">
        <f ca="1">J60</f>
        <v>209137</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2002</v>
      </c>
      <c r="K49" s="1422" t="s">
        <v>824</v>
      </c>
      <c r="L49" s="1426"/>
      <c r="O49" s="1427" t="s">
        <v>405</v>
      </c>
      <c r="P49" s="1418" t="s">
        <v>825</v>
      </c>
      <c r="Q49" s="1419">
        <f ca="1">C29</f>
        <v>1663057</v>
      </c>
      <c r="R49" s="1419" t="s">
        <v>818</v>
      </c>
    </row>
    <row r="50" spans="1:18" s="1383" customFormat="1" ht="13.5" thickBot="1">
      <c r="A50" s="975"/>
      <c r="B50" s="978"/>
      <c r="C50" s="979"/>
      <c r="D50" s="952"/>
      <c r="E50" s="1055" t="s">
        <v>697</v>
      </c>
      <c r="F50" s="1056">
        <f ca="1">F7</f>
        <v>314.25</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38</v>
      </c>
      <c r="K51" s="1433" t="s">
        <v>830</v>
      </c>
      <c r="L51" s="1434">
        <f ca="1">ROUND(-PV(INDIRECT("'数据-取费表'!h"&amp;$G$1),J51,(C39-C13*C76),0),0)</f>
        <v>7397307</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16</v>
      </c>
      <c r="R52" s="1419" t="s">
        <v>835</v>
      </c>
    </row>
    <row r="53" spans="1:18" s="1383" customFormat="1" ht="30.75" customHeight="1" thickBot="1">
      <c r="A53" s="1110" t="s">
        <v>440</v>
      </c>
      <c r="B53" s="323" t="s">
        <v>700</v>
      </c>
      <c r="C53" s="316">
        <f ca="1">ROUND(IF(F53="押一",C49/12*F11,IF(F53="押二",C49/12*2*F11,IF(F53="押三",C49/12*3*F11,C54*F11))),0)</f>
        <v>0</v>
      </c>
      <c r="D53" s="1365" t="s">
        <v>2119</v>
      </c>
      <c r="E53" s="313" t="s">
        <v>701</v>
      </c>
      <c r="F53" s="1115"/>
      <c r="I53" s="1438" t="s">
        <v>836</v>
      </c>
      <c r="J53" s="2167">
        <f ca="1">IF(M47="住宅",IF(D1="——",MAX(J51,L48),MAX(J51,L48-'数据-取费表'!B24)),IF(D1="——",MIN(J51,L48),MIN(J51,L48-'数据-取费表'!B24)))</f>
        <v>16</v>
      </c>
      <c r="K53" s="3659" t="s">
        <v>837</v>
      </c>
      <c r="L53" s="3660"/>
      <c r="O53" s="1417" t="s">
        <v>409</v>
      </c>
      <c r="P53" s="1418" t="s">
        <v>838</v>
      </c>
      <c r="Q53" s="1419">
        <f ca="1">Q47+Q48</f>
        <v>6790221</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0.36699999999999999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1230662</v>
      </c>
      <c r="D56" s="1446"/>
      <c r="E56" s="1447"/>
      <c r="F56" s="1439"/>
      <c r="I56" s="1448" t="s">
        <v>842</v>
      </c>
      <c r="J56" s="1449" t="s">
        <v>3386</v>
      </c>
      <c r="K56" s="1420" t="s">
        <v>843</v>
      </c>
      <c r="L56" s="1423" t="str">
        <f ca="1">IF(L48&lt;J51,"——",L48-J51)</f>
        <v>——</v>
      </c>
      <c r="O56" s="1417" t="s">
        <v>403</v>
      </c>
      <c r="P56" s="1418" t="s">
        <v>817</v>
      </c>
      <c r="Q56" s="1419">
        <f ca="1">C40+J29</f>
        <v>6581084</v>
      </c>
      <c r="R56" s="1419" t="s">
        <v>818</v>
      </c>
    </row>
    <row r="57" spans="1:18" s="1383" customFormat="1" ht="24.75" thickBot="1">
      <c r="A57" s="1450"/>
      <c r="B57" s="949" t="s">
        <v>767</v>
      </c>
      <c r="C57" s="238">
        <f ca="1">C29</f>
        <v>1663057</v>
      </c>
      <c r="D57" s="1451"/>
      <c r="E57" s="1452"/>
      <c r="F57" s="1453"/>
      <c r="I57" s="1454" t="s">
        <v>844</v>
      </c>
      <c r="J57" s="1455">
        <f ca="1">IF(OR(M47="住宅",J51&lt;L48,J56="是"),"——",J51-L48)</f>
        <v>22</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18477</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665223</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t="str">
        <f>IF(项目基本情况!B11="自然人","——",ROUND(C48*F60/(1+'数据-取费表'!C42),0))</f>
        <v>——</v>
      </c>
      <c r="D60" s="963" t="s">
        <v>724</v>
      </c>
      <c r="E60" s="949" t="s">
        <v>712</v>
      </c>
      <c r="F60" s="331">
        <f t="shared" ref="F60:F66" si="0">F32</f>
        <v>5.6000000000000001E-2</v>
      </c>
      <c r="I60" s="1457" t="s">
        <v>853</v>
      </c>
      <c r="J60" s="1458">
        <f ca="1">IF(OR(M47="住宅",J51&lt;L48,J56="是"),"0",ROUND(J59/(1+J52)^J53,0))</f>
        <v>209137</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t="str">
        <f ca="1">IF(项目基本情况!B11="自然人","——",IF(D61="按租金收入计税",ROUND(C49*F61/(1+'数据-取费表'!C42),0),IF(D61="按房产原值计税",ROUND(C57*F61*0.7,0),INDIRECT("'数据-取费表'!Aj"&amp;$G$1))))</f>
        <v>——</v>
      </c>
      <c r="D61" s="1369" t="s">
        <v>3339</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t="str">
        <f>IF(项目基本情况!B11="自然人","——",ROUND(F62*F63,0))</f>
        <v>——</v>
      </c>
      <c r="D62" s="964" t="s">
        <v>786</v>
      </c>
      <c r="E62" s="949" t="s">
        <v>787</v>
      </c>
      <c r="F62" s="325">
        <f t="shared" si="0"/>
        <v>1.5</v>
      </c>
      <c r="I62" s="1461" t="s">
        <v>858</v>
      </c>
      <c r="J62" s="1462" t="s">
        <v>859</v>
      </c>
      <c r="K62" s="1462" t="s">
        <v>860</v>
      </c>
      <c r="L62" s="1462" t="s">
        <v>861</v>
      </c>
      <c r="M62" s="1463" t="s">
        <v>862</v>
      </c>
      <c r="O62" s="1417" t="s">
        <v>409</v>
      </c>
      <c r="P62" s="1418" t="s">
        <v>863</v>
      </c>
      <c r="Q62" s="1419">
        <f ca="1">Q56+Q57</f>
        <v>6581084</v>
      </c>
      <c r="R62" s="1419" t="s">
        <v>410</v>
      </c>
    </row>
    <row r="63" spans="1:18" s="1383" customFormat="1" ht="13.5" thickBot="1">
      <c r="A63" s="326"/>
      <c r="B63" s="955"/>
      <c r="C63" s="26"/>
      <c r="D63" s="965"/>
      <c r="E63" s="949"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16631</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1846</v>
      </c>
      <c r="D65" s="963" t="s">
        <v>743</v>
      </c>
      <c r="E65" s="949" t="s">
        <v>744</v>
      </c>
      <c r="F65" s="330">
        <f t="shared" ca="1" si="0"/>
        <v>1.5E-3</v>
      </c>
      <c r="I65" s="1461" t="s">
        <v>867</v>
      </c>
      <c r="J65" s="1462">
        <v>40</v>
      </c>
      <c r="K65" s="1462">
        <v>30</v>
      </c>
      <c r="L65" s="1462">
        <v>50</v>
      </c>
      <c r="M65" s="1464">
        <v>0.02</v>
      </c>
      <c r="O65" s="1417" t="s">
        <v>403</v>
      </c>
      <c r="P65" s="1418" t="s">
        <v>868</v>
      </c>
      <c r="Q65" s="1419">
        <f ca="1">C40+J29</f>
        <v>6581084</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-18477</v>
      </c>
      <c r="D67" s="962" t="s">
        <v>753</v>
      </c>
      <c r="E67" s="967"/>
      <c r="F67" s="968"/>
      <c r="O67" s="1427" t="s">
        <v>405</v>
      </c>
      <c r="P67" s="1418" t="s">
        <v>850</v>
      </c>
      <c r="Q67" s="1465">
        <f ca="1">L51</f>
        <v>7397307</v>
      </c>
      <c r="R67" s="1419" t="s">
        <v>870</v>
      </c>
    </row>
    <row r="68" spans="1:18" s="1383" customFormat="1" ht="16.5" thickBot="1">
      <c r="A68" s="946" t="s">
        <v>395</v>
      </c>
      <c r="B68" s="947" t="s">
        <v>774</v>
      </c>
      <c r="C68" s="301">
        <f ca="1">ROUND(C67*(1-((1+F70)/(1+F68))^F69)/(F68-F70),0)</f>
        <v>-186727</v>
      </c>
      <c r="D68" s="964" t="s">
        <v>758</v>
      </c>
      <c r="E68" s="949" t="s">
        <v>759</v>
      </c>
      <c r="F68" s="312">
        <f ca="1">F40</f>
        <v>0.06</v>
      </c>
      <c r="O68" s="1427" t="s">
        <v>406</v>
      </c>
      <c r="P68" s="1466" t="s">
        <v>871</v>
      </c>
      <c r="Q68" s="1419">
        <f ca="1">ROUND(Q69-Q70*Q71,0)</f>
        <v>468044</v>
      </c>
      <c r="R68" s="1419" t="s">
        <v>414</v>
      </c>
    </row>
    <row r="69" spans="1:18" s="1383" customFormat="1" ht="13.5" thickBot="1">
      <c r="A69" s="950"/>
      <c r="B69" s="951"/>
      <c r="C69" s="306"/>
      <c r="D69" s="969" t="s">
        <v>762</v>
      </c>
      <c r="E69" s="949" t="s">
        <v>763</v>
      </c>
      <c r="F69" s="333">
        <f ca="1">F41</f>
        <v>16</v>
      </c>
      <c r="O69" s="1427" t="s">
        <v>411</v>
      </c>
      <c r="P69" s="1466" t="s">
        <v>872</v>
      </c>
      <c r="Q69" s="1419">
        <f ca="1">C39</f>
        <v>554190</v>
      </c>
      <c r="R69" s="1419" t="s">
        <v>818</v>
      </c>
    </row>
    <row r="70" spans="1:18" s="1383" customFormat="1" ht="13.5" thickBot="1">
      <c r="A70" s="953"/>
      <c r="B70" s="954"/>
      <c r="C70" s="310"/>
      <c r="D70" s="965"/>
      <c r="E70" s="949" t="s">
        <v>766</v>
      </c>
      <c r="F70" s="1053"/>
      <c r="O70" s="1427" t="s">
        <v>412</v>
      </c>
      <c r="P70" s="1466" t="s">
        <v>873</v>
      </c>
      <c r="Q70" s="1419">
        <f ca="1">C13</f>
        <v>1230662</v>
      </c>
      <c r="R70" s="1419" t="s">
        <v>818</v>
      </c>
    </row>
    <row r="71" spans="1:18" s="1383" customFormat="1" ht="13.5" thickBot="1">
      <c r="A71" s="970" t="s">
        <v>396</v>
      </c>
      <c r="B71" s="971" t="s">
        <v>776</v>
      </c>
      <c r="C71" s="336">
        <f ca="1">ROUND(C68/F71,0)</f>
        <v>-594</v>
      </c>
      <c r="D71" s="972" t="s">
        <v>777</v>
      </c>
      <c r="E71" s="973" t="s">
        <v>778</v>
      </c>
      <c r="F71" s="339">
        <f ca="1">F43</f>
        <v>314.25</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86146</v>
      </c>
      <c r="D75" s="1383"/>
      <c r="E75" s="1383"/>
      <c r="F75" s="1383"/>
      <c r="K75" s="1401"/>
      <c r="L75" s="1383"/>
      <c r="O75" s="1417" t="s">
        <v>409</v>
      </c>
      <c r="P75" s="1418" t="s">
        <v>838</v>
      </c>
      <c r="Q75" s="1419">
        <f ca="1">Q65+Q66</f>
        <v>6581084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0.84499999999999997</v>
      </c>
    </row>
    <row r="80" spans="1:18">
      <c r="B80" s="340" t="s">
        <v>800</v>
      </c>
      <c r="C80" s="274">
        <f ca="1">ROUND(C75/C39,3)</f>
        <v>0.155</v>
      </c>
    </row>
    <row r="81" spans="2:3">
      <c r="B81" s="270" t="s">
        <v>801</v>
      </c>
      <c r="C81" s="238"/>
    </row>
    <row r="82" spans="2:3">
      <c r="B82" s="273" t="s">
        <v>802</v>
      </c>
      <c r="C82" s="275">
        <f ca="1">1-C83</f>
        <v>0.81299999999999994</v>
      </c>
    </row>
    <row r="83" spans="2:3">
      <c r="B83" s="273" t="s">
        <v>803</v>
      </c>
      <c r="C83" s="274">
        <f ca="1">ROUND(C13/C40,3)</f>
        <v>0.187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2439</v>
      </c>
      <c r="B1" s="2830"/>
      <c r="C1" s="2842"/>
      <c r="D1" s="2842"/>
      <c r="E1" s="2831"/>
      <c r="F1" s="2832"/>
      <c r="G1" s="2833"/>
      <c r="J1" s="2836" t="s">
        <v>2318</v>
      </c>
      <c r="K1" s="2837"/>
      <c r="L1" s="2837"/>
      <c r="M1" s="2837"/>
      <c r="N1" s="2837"/>
      <c r="O1" s="2837"/>
      <c r="P1" s="2837"/>
      <c r="Q1" s="2837"/>
      <c r="R1" s="2838"/>
      <c r="S1" s="2839"/>
      <c r="T1" s="2839"/>
      <c r="U1" s="2839"/>
    </row>
    <row r="2" spans="1:22" s="2851" customFormat="1" ht="13.15" customHeight="1">
      <c r="A2" s="1384" t="s">
        <v>2319</v>
      </c>
      <c r="B2" s="2841" t="e">
        <f>IF(D2="——",C40,C40+E2)</f>
        <v>#DIV/0!</v>
      </c>
      <c r="C2" s="2842" t="s">
        <v>2320</v>
      </c>
      <c r="D2" s="3440" t="s">
        <v>3362</v>
      </c>
      <c r="E2" s="3441"/>
      <c r="F2" s="2844"/>
      <c r="G2" s="2845"/>
      <c r="H2" s="2846"/>
      <c r="I2" s="2847"/>
      <c r="J2" s="3716" t="s">
        <v>2321</v>
      </c>
      <c r="K2" s="3717"/>
      <c r="L2" s="2848" t="s">
        <v>2322</v>
      </c>
      <c r="M2" s="2848" t="s">
        <v>2323</v>
      </c>
      <c r="N2" s="2848" t="s">
        <v>2324</v>
      </c>
      <c r="O2" s="2848" t="s">
        <v>2325</v>
      </c>
      <c r="P2" s="2848" t="s">
        <v>2326</v>
      </c>
      <c r="Q2" s="2849" t="s">
        <v>2327</v>
      </c>
      <c r="R2" s="2850" t="s">
        <v>2328</v>
      </c>
      <c r="S2" s="2839"/>
      <c r="T2" s="2839"/>
      <c r="U2" s="2839"/>
      <c r="V2" s="2847"/>
    </row>
    <row r="3" spans="1:22" s="2851" customFormat="1" ht="13.15" customHeight="1">
      <c r="A3" s="2852" t="s">
        <v>2329</v>
      </c>
      <c r="B3" s="2853" t="e">
        <f>ROUND(B2*10000/B4,0)</f>
        <v>#DIV/0!</v>
      </c>
      <c r="C3" s="2842" t="s">
        <v>2330</v>
      </c>
      <c r="D3" s="2842"/>
      <c r="E3" s="2843"/>
      <c r="F3" s="2844"/>
      <c r="G3" s="2845"/>
      <c r="H3" s="2846"/>
      <c r="I3" s="2847"/>
      <c r="J3" s="3718" t="s">
        <v>2331</v>
      </c>
      <c r="K3" s="3719"/>
      <c r="L3" s="2854"/>
      <c r="M3" s="2854"/>
      <c r="N3" s="2854"/>
      <c r="O3" s="2854"/>
      <c r="P3" s="2854"/>
      <c r="Q3" s="2855"/>
      <c r="R3" s="2856">
        <f>SUM(L3:Q3)</f>
        <v>0</v>
      </c>
      <c r="S3" s="2839"/>
      <c r="T3" s="2839"/>
      <c r="U3" s="2839"/>
      <c r="V3" s="2847"/>
    </row>
    <row r="4" spans="1:22" s="2851" customFormat="1" ht="13.15" customHeight="1">
      <c r="A4" s="2857" t="s">
        <v>2332</v>
      </c>
      <c r="B4" s="2858"/>
      <c r="C4" s="2842"/>
      <c r="D4" s="2842"/>
      <c r="E4" s="2843"/>
      <c r="F4" s="2844"/>
      <c r="G4" s="2845"/>
      <c r="H4" s="2846"/>
      <c r="I4" s="2847"/>
      <c r="J4" s="3718" t="s">
        <v>2333</v>
      </c>
      <c r="K4" s="3719"/>
      <c r="L4" s="2859"/>
      <c r="M4" s="2859"/>
      <c r="N4" s="2859"/>
      <c r="O4" s="2859"/>
      <c r="P4" s="2859"/>
      <c r="Q4" s="2860"/>
      <c r="R4" s="2861">
        <f>SUM(L4:Q4)</f>
        <v>0</v>
      </c>
      <c r="S4" s="2839"/>
      <c r="T4" s="2839"/>
      <c r="U4" s="2839"/>
      <c r="V4" s="2847"/>
    </row>
    <row r="5" spans="1:22" s="2851" customFormat="1" ht="13.15" customHeight="1" thickBot="1">
      <c r="A5" s="2862" t="s">
        <v>2334</v>
      </c>
      <c r="B5" s="2863"/>
      <c r="C5" s="2842"/>
      <c r="D5" s="2864"/>
      <c r="E5" s="2844"/>
      <c r="F5" s="2844"/>
      <c r="G5" s="2845"/>
      <c r="H5" s="2846"/>
      <c r="I5" s="2847"/>
      <c r="J5" s="2865" t="s">
        <v>2335</v>
      </c>
      <c r="K5" s="2866"/>
      <c r="L5" s="2866"/>
      <c r="M5" s="2867"/>
      <c r="N5" s="2867"/>
      <c r="O5" s="2867"/>
      <c r="P5" s="2867"/>
      <c r="Q5" s="2867"/>
      <c r="R5" s="2850">
        <f>SUM(R14,R19,R24,R25,R27,R28)</f>
        <v>0</v>
      </c>
      <c r="S5" s="2839"/>
      <c r="T5" s="2839" t="s">
        <v>2336</v>
      </c>
      <c r="U5" s="2839" t="e">
        <f>ROUND(R5*10000/365/R3,1)</f>
        <v>#DIV/0!</v>
      </c>
      <c r="V5" s="2847"/>
    </row>
    <row r="6" spans="1:22" s="2851" customFormat="1" ht="13.15" customHeight="1" thickBot="1">
      <c r="A6" s="3724" t="s">
        <v>2337</v>
      </c>
      <c r="B6" s="3725"/>
      <c r="C6" s="3726"/>
      <c r="D6" s="2868"/>
      <c r="E6" s="2869"/>
      <c r="F6" s="2870"/>
      <c r="G6" s="2871"/>
      <c r="H6" s="2846"/>
      <c r="I6" s="2847"/>
      <c r="J6" s="3710">
        <v>1</v>
      </c>
      <c r="K6" s="3711" t="s">
        <v>2338</v>
      </c>
      <c r="L6" s="2872" t="s">
        <v>2339</v>
      </c>
      <c r="M6" s="2873" t="s">
        <v>2340</v>
      </c>
      <c r="N6" s="2873" t="s">
        <v>2341</v>
      </c>
      <c r="O6" s="2873" t="s">
        <v>2342</v>
      </c>
      <c r="P6" s="2873" t="s">
        <v>2343</v>
      </c>
      <c r="Q6" s="2873" t="s">
        <v>2344</v>
      </c>
      <c r="R6" s="2856" t="s">
        <v>2345</v>
      </c>
      <c r="S6" s="2839"/>
      <c r="T6" s="2839" t="s">
        <v>2346</v>
      </c>
      <c r="U6" s="2839"/>
      <c r="V6" s="2847"/>
    </row>
    <row r="7" spans="1:22" s="2851" customFormat="1" ht="13.15" customHeight="1">
      <c r="A7" s="2874" t="s">
        <v>2347</v>
      </c>
      <c r="B7" s="2875"/>
      <c r="C7" s="2876"/>
      <c r="D7" s="2877">
        <f>SUM(D9,D10,D11,D17,0)</f>
        <v>0</v>
      </c>
      <c r="E7" s="2878" t="e">
        <f>E9+E10+E11+E17</f>
        <v>#DIV/0!</v>
      </c>
      <c r="F7" s="2879"/>
      <c r="G7" s="2880"/>
      <c r="H7" s="2846"/>
      <c r="I7" s="2847"/>
      <c r="J7" s="3710"/>
      <c r="K7" s="3712"/>
      <c r="L7" s="2881" t="s">
        <v>2348</v>
      </c>
      <c r="M7" s="2882"/>
      <c r="N7" s="2858"/>
      <c r="O7" s="2883"/>
      <c r="P7" s="2883"/>
      <c r="Q7" s="2884">
        <v>365</v>
      </c>
      <c r="R7" s="2885">
        <f>ROUND(M7*N7*O7*P7*Q7/10000,0)</f>
        <v>0</v>
      </c>
      <c r="S7" s="2839"/>
      <c r="T7" s="2839" t="s">
        <v>2349</v>
      </c>
      <c r="U7" s="2839"/>
      <c r="V7" s="2847"/>
    </row>
    <row r="8" spans="1:22" s="2851" customFormat="1" ht="13.15" customHeight="1">
      <c r="A8" s="2886" t="s">
        <v>2350</v>
      </c>
      <c r="B8" s="3727" t="s">
        <v>2351</v>
      </c>
      <c r="C8" s="3728"/>
      <c r="D8" s="2887" t="s">
        <v>2352</v>
      </c>
      <c r="E8" s="2888" t="s">
        <v>2353</v>
      </c>
      <c r="F8" s="2889" t="s">
        <v>2354</v>
      </c>
      <c r="G8" s="2890"/>
      <c r="H8" s="2846"/>
      <c r="I8" s="2847"/>
      <c r="J8" s="3710"/>
      <c r="K8" s="3712"/>
      <c r="L8" s="2881" t="s">
        <v>2355</v>
      </c>
      <c r="M8" s="2882"/>
      <c r="N8" s="2858"/>
      <c r="O8" s="2883"/>
      <c r="P8" s="2883"/>
      <c r="Q8" s="2884">
        <v>365</v>
      </c>
      <c r="R8" s="2885">
        <f t="shared" ref="R8:R13" si="0">ROUND(M8*N8*O8*P8*Q8/10000,0)</f>
        <v>0</v>
      </c>
      <c r="S8" s="2839"/>
      <c r="T8" s="2839" t="s">
        <v>2356</v>
      </c>
      <c r="U8" s="2839"/>
      <c r="V8" s="2847"/>
    </row>
    <row r="9" spans="1:22" s="2851" customFormat="1" ht="13.15" customHeight="1">
      <c r="A9" s="2886">
        <v>1</v>
      </c>
      <c r="B9" s="3727" t="s">
        <v>2357</v>
      </c>
      <c r="C9" s="3728"/>
      <c r="D9" s="2887">
        <f>ROUND(D6*E9,0)</f>
        <v>0</v>
      </c>
      <c r="E9" s="2891"/>
      <c r="F9" s="2892" t="s">
        <v>2358</v>
      </c>
      <c r="G9" s="2871"/>
      <c r="H9" s="2846"/>
      <c r="I9" s="2847"/>
      <c r="J9" s="3710"/>
      <c r="K9" s="3712"/>
      <c r="L9" s="2881" t="s">
        <v>2359</v>
      </c>
      <c r="M9" s="2882"/>
      <c r="N9" s="2858"/>
      <c r="O9" s="2883"/>
      <c r="P9" s="2883"/>
      <c r="Q9" s="2884">
        <v>365</v>
      </c>
      <c r="R9" s="2885">
        <f t="shared" si="0"/>
        <v>0</v>
      </c>
      <c r="S9" s="2839"/>
      <c r="T9" s="2839"/>
      <c r="U9" s="2839"/>
      <c r="V9" s="2847"/>
    </row>
    <row r="10" spans="1:22" s="2851" customFormat="1" ht="13.15" customHeight="1">
      <c r="A10" s="2886">
        <v>2</v>
      </c>
      <c r="B10" s="3727" t="s">
        <v>2360</v>
      </c>
      <c r="C10" s="3728"/>
      <c r="D10" s="2887">
        <f>ROUND(D6*E10,0)</f>
        <v>0</v>
      </c>
      <c r="E10" s="2891"/>
      <c r="F10" s="2892" t="s">
        <v>2361</v>
      </c>
      <c r="G10" s="2871"/>
      <c r="H10" s="2846"/>
      <c r="I10" s="2847"/>
      <c r="J10" s="3710"/>
      <c r="K10" s="3712"/>
      <c r="L10" s="2881" t="s">
        <v>2362</v>
      </c>
      <c r="M10" s="2882"/>
      <c r="N10" s="2858"/>
      <c r="O10" s="2883"/>
      <c r="P10" s="2883"/>
      <c r="Q10" s="2884">
        <v>365</v>
      </c>
      <c r="R10" s="2885">
        <f t="shared" si="0"/>
        <v>0</v>
      </c>
      <c r="S10" s="2839"/>
      <c r="T10" s="2839"/>
      <c r="U10" s="2839"/>
      <c r="V10" s="2847"/>
    </row>
    <row r="11" spans="1:22" s="2851" customFormat="1" ht="13.15" customHeight="1">
      <c r="A11" s="2886">
        <v>3</v>
      </c>
      <c r="B11" s="3727" t="s">
        <v>2363</v>
      </c>
      <c r="C11" s="3728"/>
      <c r="D11" s="2887">
        <f>D12+D14+D15+D16</f>
        <v>0</v>
      </c>
      <c r="E11" s="2893" t="e">
        <f>D11/D6</f>
        <v>#DIV/0!</v>
      </c>
      <c r="F11" s="2889"/>
      <c r="G11" s="2890"/>
      <c r="H11" s="2846"/>
      <c r="I11" s="2847"/>
      <c r="J11" s="3710"/>
      <c r="K11" s="3712"/>
      <c r="L11" s="2881" t="s">
        <v>2364</v>
      </c>
      <c r="M11" s="2882"/>
      <c r="N11" s="2858"/>
      <c r="O11" s="2883"/>
      <c r="P11" s="2883"/>
      <c r="Q11" s="2884">
        <v>365</v>
      </c>
      <c r="R11" s="2885">
        <f t="shared" si="0"/>
        <v>0</v>
      </c>
      <c r="S11" s="2839"/>
      <c r="T11" s="2839"/>
      <c r="U11" s="2839"/>
      <c r="V11" s="2847"/>
    </row>
    <row r="12" spans="1:22" s="2851" customFormat="1" ht="13.15" customHeight="1">
      <c r="A12" s="2894" t="s">
        <v>2365</v>
      </c>
      <c r="B12" s="3720" t="s">
        <v>2366</v>
      </c>
      <c r="C12" s="3721"/>
      <c r="D12" s="2895">
        <f>ROUND(D13*1.2%*(1-30%),0)</f>
        <v>0</v>
      </c>
      <c r="E12" s="2896">
        <v>1.2E-2</v>
      </c>
      <c r="F12" s="2889" t="s">
        <v>2367</v>
      </c>
      <c r="G12" s="2890"/>
      <c r="H12" s="2846"/>
      <c r="I12" s="2847"/>
      <c r="J12" s="3710"/>
      <c r="K12" s="3712"/>
      <c r="L12" s="2881" t="s">
        <v>2368</v>
      </c>
      <c r="M12" s="2882"/>
      <c r="N12" s="2858"/>
      <c r="O12" s="2883"/>
      <c r="P12" s="2883"/>
      <c r="Q12" s="2884">
        <v>365</v>
      </c>
      <c r="R12" s="2885">
        <f t="shared" si="0"/>
        <v>0</v>
      </c>
      <c r="S12" s="2839"/>
      <c r="T12" s="2839"/>
      <c r="U12" s="2839"/>
      <c r="V12" s="2847"/>
    </row>
    <row r="13" spans="1:22" s="2851" customFormat="1" ht="13.15" customHeight="1">
      <c r="A13" s="2894"/>
      <c r="B13" s="2897"/>
      <c r="C13" s="2898" t="s">
        <v>2369</v>
      </c>
      <c r="D13" s="2899"/>
      <c r="E13" s="2900"/>
      <c r="F13" s="2889"/>
      <c r="G13" s="2890"/>
      <c r="H13" s="2846"/>
      <c r="I13" s="2847"/>
      <c r="J13" s="3710"/>
      <c r="K13" s="3712"/>
      <c r="L13" s="2881" t="s">
        <v>2370</v>
      </c>
      <c r="M13" s="2882"/>
      <c r="N13" s="2858"/>
      <c r="O13" s="2883"/>
      <c r="P13" s="2883"/>
      <c r="Q13" s="2884">
        <v>365</v>
      </c>
      <c r="R13" s="2885">
        <f t="shared" si="0"/>
        <v>0</v>
      </c>
      <c r="S13" s="2839"/>
      <c r="T13" s="2839"/>
      <c r="U13" s="2839"/>
      <c r="V13" s="2847"/>
    </row>
    <row r="14" spans="1:22" s="2851" customFormat="1" ht="13.15" customHeight="1">
      <c r="A14" s="2894" t="s">
        <v>2371</v>
      </c>
      <c r="B14" s="3720" t="s">
        <v>2372</v>
      </c>
      <c r="C14" s="3721"/>
      <c r="D14" s="2895">
        <f>ROUND(E14*B5/10000,0)</f>
        <v>0</v>
      </c>
      <c r="E14" s="2884"/>
      <c r="F14" s="2889" t="s">
        <v>2373</v>
      </c>
      <c r="G14" s="2890"/>
      <c r="H14" s="2846"/>
      <c r="I14" s="2847"/>
      <c r="J14" s="3710"/>
      <c r="K14" s="3713"/>
      <c r="L14" s="2901" t="s">
        <v>2374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2375</v>
      </c>
      <c r="B15" s="3720" t="s">
        <v>2376</v>
      </c>
      <c r="C15" s="3721"/>
      <c r="D15" s="2895">
        <f>ROUND(D6*E15,0)</f>
        <v>0</v>
      </c>
      <c r="E15" s="2896">
        <v>5.5E-2</v>
      </c>
      <c r="F15" s="2889" t="s">
        <v>2377</v>
      </c>
      <c r="G15" s="2871"/>
      <c r="H15" s="2846"/>
      <c r="I15" s="2847"/>
      <c r="J15" s="3710">
        <v>2</v>
      </c>
      <c r="K15" s="3711" t="s">
        <v>2378</v>
      </c>
      <c r="L15" s="2881" t="s">
        <v>2379</v>
      </c>
      <c r="M15" s="2882" t="s">
        <v>2380</v>
      </c>
      <c r="N15" s="2882" t="s">
        <v>2381</v>
      </c>
      <c r="O15" s="2883" t="s">
        <v>2382</v>
      </c>
      <c r="P15" s="2883" t="s">
        <v>2344</v>
      </c>
      <c r="Q15" s="2858" t="s">
        <v>2383</v>
      </c>
      <c r="R15" s="2905" t="s">
        <v>2345</v>
      </c>
      <c r="S15" s="2839"/>
      <c r="T15" s="2839"/>
      <c r="U15" s="2839"/>
      <c r="V15" s="2847"/>
    </row>
    <row r="16" spans="1:22" s="2851" customFormat="1" ht="13.15" customHeight="1">
      <c r="A16" s="2894" t="s">
        <v>2384</v>
      </c>
      <c r="B16" s="3720" t="s">
        <v>2385</v>
      </c>
      <c r="C16" s="3721"/>
      <c r="D16" s="2906">
        <f>D6*E16</f>
        <v>0</v>
      </c>
      <c r="E16" s="2907"/>
      <c r="F16" s="2892" t="s">
        <v>2386</v>
      </c>
      <c r="G16" s="2871"/>
      <c r="H16" s="2846"/>
      <c r="I16" s="2847"/>
      <c r="J16" s="3710"/>
      <c r="K16" s="3712"/>
      <c r="L16" s="2881" t="s">
        <v>2387</v>
      </c>
      <c r="M16" s="2882"/>
      <c r="N16" s="2882"/>
      <c r="O16" s="2883"/>
      <c r="P16" s="2884">
        <v>365</v>
      </c>
      <c r="Q16" s="2858"/>
      <c r="R16" s="2905">
        <f>ROUND(M16*N16*O16*P16/10000,0)</f>
        <v>0</v>
      </c>
      <c r="S16" s="2839"/>
      <c r="T16" s="2839"/>
      <c r="U16" s="2839"/>
      <c r="V16" s="2847"/>
    </row>
    <row r="17" spans="1:22" s="2851" customFormat="1" ht="13.15" customHeight="1" thickBot="1">
      <c r="A17" s="2908">
        <v>4</v>
      </c>
      <c r="B17" s="3722" t="s">
        <v>2388</v>
      </c>
      <c r="C17" s="3723"/>
      <c r="D17" s="2909">
        <f>ROUND(D6*E17,0)</f>
        <v>0</v>
      </c>
      <c r="E17" s="2910"/>
      <c r="F17" s="2911" t="s">
        <v>2389</v>
      </c>
      <c r="G17" s="2871"/>
      <c r="H17" s="2846"/>
      <c r="I17" s="2847"/>
      <c r="J17" s="3710"/>
      <c r="K17" s="3712"/>
      <c r="L17" s="2881" t="s">
        <v>2390</v>
      </c>
      <c r="M17" s="2882"/>
      <c r="N17" s="2882"/>
      <c r="O17" s="2883"/>
      <c r="P17" s="2884">
        <v>365</v>
      </c>
      <c r="Q17" s="2858"/>
      <c r="R17" s="2905">
        <f>ROUND(M17*N17*O17*P17/10000,0)</f>
        <v>0</v>
      </c>
      <c r="S17" s="2839"/>
      <c r="T17" s="2839"/>
      <c r="U17" s="2839"/>
      <c r="V17" s="2847"/>
    </row>
    <row r="18" spans="1:22" s="2851" customFormat="1" ht="13.15" customHeight="1" thickBot="1">
      <c r="A18" s="2874" t="s">
        <v>2391</v>
      </c>
      <c r="B18" s="2875"/>
      <c r="C18" s="2875"/>
      <c r="D18" s="2912">
        <f>ROUND(D6*E18,0)</f>
        <v>0</v>
      </c>
      <c r="E18" s="2913"/>
      <c r="F18" s="2914" t="s">
        <v>2392</v>
      </c>
      <c r="G18" s="2871"/>
      <c r="H18" s="2846"/>
      <c r="I18" s="2847"/>
      <c r="J18" s="3710"/>
      <c r="K18" s="3712"/>
      <c r="L18" s="2881" t="s">
        <v>2393</v>
      </c>
      <c r="M18" s="2882"/>
      <c r="N18" s="2882"/>
      <c r="O18" s="2883"/>
      <c r="P18" s="2884">
        <v>365</v>
      </c>
      <c r="Q18" s="2858"/>
      <c r="R18" s="2905">
        <f>ROUND(M18*N18*O18*P18/10000,0)</f>
        <v>0</v>
      </c>
      <c r="S18" s="2839"/>
      <c r="T18" s="2839"/>
      <c r="U18" s="2839"/>
      <c r="V18" s="2847"/>
    </row>
    <row r="19" spans="1:22" s="2851" customFormat="1" ht="13.15" customHeight="1" thickBot="1">
      <c r="A19" s="2915" t="s">
        <v>2394</v>
      </c>
      <c r="B19" s="2869"/>
      <c r="C19" s="2869"/>
      <c r="D19" s="2869"/>
      <c r="E19" s="2869"/>
      <c r="F19" s="2870"/>
      <c r="G19" s="2890"/>
      <c r="H19" s="2846"/>
      <c r="I19" s="2847"/>
      <c r="J19" s="3710"/>
      <c r="K19" s="3713"/>
      <c r="L19" s="2901" t="s">
        <v>2374</v>
      </c>
      <c r="M19" s="2902"/>
      <c r="N19" s="2902">
        <f>SUM(N16:N18)</f>
        <v>0</v>
      </c>
      <c r="O19" s="2903"/>
      <c r="P19" s="2916" t="s">
        <v>2438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10">
        <v>3</v>
      </c>
      <c r="K20" s="3711" t="s">
        <v>2395</v>
      </c>
      <c r="L20" s="2881" t="s">
        <v>2396</v>
      </c>
      <c r="M20" s="2882" t="s">
        <v>2397</v>
      </c>
      <c r="N20" s="2919" t="s">
        <v>2398</v>
      </c>
      <c r="O20" s="2883" t="s">
        <v>2399</v>
      </c>
      <c r="P20" s="2884" t="s">
        <v>2400</v>
      </c>
      <c r="Q20" s="2858" t="s">
        <v>2401</v>
      </c>
      <c r="R20" s="2905" t="s">
        <v>2402</v>
      </c>
      <c r="S20" s="2920"/>
      <c r="T20" s="2920"/>
      <c r="U20" s="2920"/>
      <c r="V20" s="2847"/>
    </row>
    <row r="21" spans="1:22" s="2851" customFormat="1" ht="13.15" customHeight="1">
      <c r="A21" s="2874"/>
      <c r="B21" s="2875"/>
      <c r="C21" s="2921" t="s">
        <v>2403</v>
      </c>
      <c r="D21" s="2922" t="s">
        <v>2404</v>
      </c>
      <c r="E21" s="2923" t="s">
        <v>2405</v>
      </c>
      <c r="F21" s="2918"/>
      <c r="G21" s="2890"/>
      <c r="H21" s="2846"/>
      <c r="I21" s="2847"/>
      <c r="J21" s="3710"/>
      <c r="K21" s="3712"/>
      <c r="L21" s="2881" t="s">
        <v>2406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2407</v>
      </c>
      <c r="D22" s="2926" t="s">
        <v>2408</v>
      </c>
      <c r="E22" s="2927" t="s">
        <v>2409</v>
      </c>
      <c r="F22" s="2918"/>
      <c r="G22" s="2928"/>
      <c r="H22" s="2846"/>
      <c r="I22" s="2847"/>
      <c r="J22" s="3710"/>
      <c r="K22" s="3712"/>
      <c r="L22" s="2881" t="s">
        <v>2410</v>
      </c>
      <c r="M22" s="2882"/>
      <c r="N22" s="2882"/>
      <c r="O22" s="2883"/>
      <c r="P22" s="2884">
        <v>365</v>
      </c>
      <c r="Q22" s="2858"/>
      <c r="R22" s="2924">
        <f>ROUND(M22*N22*O22*P22/10000,0)</f>
        <v>0</v>
      </c>
      <c r="S22" s="2920"/>
      <c r="T22" s="2920"/>
      <c r="U22" s="2920"/>
      <c r="V22" s="2847"/>
    </row>
    <row r="23" spans="1:22" s="2851" customFormat="1" ht="13.15" customHeight="1">
      <c r="A23" s="2929">
        <v>1</v>
      </c>
      <c r="B23" s="2930" t="s">
        <v>2411</v>
      </c>
      <c r="C23" s="2931">
        <f>D6</f>
        <v>0</v>
      </c>
      <c r="D23" s="2932">
        <f>C23*(1+D24)</f>
        <v>0</v>
      </c>
      <c r="E23" s="2933">
        <f>D23*(1+E24)</f>
        <v>0</v>
      </c>
      <c r="F23" s="2934"/>
      <c r="G23" s="2935"/>
      <c r="H23" s="2846"/>
      <c r="I23" s="2847"/>
      <c r="J23" s="3710"/>
      <c r="K23" s="3712"/>
      <c r="L23" s="2881" t="s">
        <v>2412</v>
      </c>
      <c r="M23" s="2882"/>
      <c r="N23" s="2882"/>
      <c r="O23" s="2883"/>
      <c r="P23" s="2884">
        <v>365</v>
      </c>
      <c r="Q23" s="2858"/>
      <c r="R23" s="2924">
        <f>ROUND(M23*N23*O23*P23/10000,0)</f>
        <v>0</v>
      </c>
      <c r="S23" s="2839"/>
      <c r="T23" s="2839"/>
      <c r="U23" s="2839"/>
      <c r="V23" s="2847"/>
    </row>
    <row r="24" spans="1:22" s="2851" customFormat="1" ht="13.15" customHeight="1">
      <c r="A24" s="2936"/>
      <c r="B24" s="2937" t="s">
        <v>2413</v>
      </c>
      <c r="C24" s="2938"/>
      <c r="D24" s="2939"/>
      <c r="E24" s="2940"/>
      <c r="F24" s="2941"/>
      <c r="G24" s="2935"/>
      <c r="H24" s="2846"/>
      <c r="I24" s="2847"/>
      <c r="J24" s="3710"/>
      <c r="K24" s="3713"/>
      <c r="L24" s="2901" t="s">
        <v>2374</v>
      </c>
      <c r="M24" s="2902">
        <f>SUM(M21:M23)</f>
        <v>0</v>
      </c>
      <c r="N24" s="2902"/>
      <c r="O24" s="2903"/>
      <c r="P24" s="2916" t="s">
        <v>2438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2414</v>
      </c>
      <c r="L25" s="2944"/>
      <c r="M25" s="2944"/>
      <c r="N25" s="2944"/>
      <c r="O25" s="2944"/>
      <c r="P25" s="2945"/>
      <c r="Q25" s="2946">
        <v>0</v>
      </c>
      <c r="R25" s="2917">
        <f>ROUND(R14*Q25,0)</f>
        <v>0</v>
      </c>
      <c r="S25" s="2839"/>
      <c r="T25" s="2839"/>
      <c r="U25" s="2839"/>
      <c r="V25" s="2947"/>
    </row>
    <row r="26" spans="1:22" s="2948" customFormat="1" ht="13.15" customHeight="1">
      <c r="A26" s="2929">
        <v>2</v>
      </c>
      <c r="B26" s="2930" t="s">
        <v>2415</v>
      </c>
      <c r="C26" s="2931">
        <f>D7</f>
        <v>0</v>
      </c>
      <c r="D26" s="2932">
        <f>D23*D27</f>
        <v>0</v>
      </c>
      <c r="E26" s="2933">
        <f>E23*E27</f>
        <v>0</v>
      </c>
      <c r="F26" s="2934"/>
      <c r="G26" s="2935"/>
      <c r="H26" s="2846"/>
      <c r="I26" s="2847"/>
      <c r="J26" s="3714">
        <v>5</v>
      </c>
      <c r="K26" s="2949" t="s">
        <v>2416</v>
      </c>
      <c r="L26" s="2950"/>
      <c r="M26" s="2951"/>
      <c r="N26" s="2952" t="s">
        <v>2417</v>
      </c>
      <c r="O26" s="2952" t="s">
        <v>2418</v>
      </c>
      <c r="P26" s="2953" t="s">
        <v>2419</v>
      </c>
      <c r="Q26" s="2953" t="s">
        <v>2420</v>
      </c>
      <c r="R26" s="2856" t="s">
        <v>2345</v>
      </c>
      <c r="S26" s="2954"/>
      <c r="T26" s="2954"/>
      <c r="U26" s="2954"/>
      <c r="V26" s="2947"/>
    </row>
    <row r="27" spans="1:22" s="2851" customFormat="1" ht="13.15" customHeight="1">
      <c r="A27" s="2936"/>
      <c r="B27" s="2937" t="s">
        <v>2421</v>
      </c>
      <c r="C27" s="2955" t="e">
        <f>E7</f>
        <v>#DIV/0!</v>
      </c>
      <c r="D27" s="2939"/>
      <c r="E27" s="2940"/>
      <c r="F27" s="2941"/>
      <c r="G27" s="2935"/>
      <c r="H27" s="2956"/>
      <c r="I27" s="2947"/>
      <c r="J27" s="3715"/>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2422</v>
      </c>
      <c r="F28" s="2941"/>
      <c r="G28" s="2928"/>
      <c r="H28" s="2956"/>
      <c r="I28" s="2947"/>
      <c r="J28" s="2962">
        <v>6</v>
      </c>
      <c r="K28" s="2963" t="s">
        <v>2423</v>
      </c>
      <c r="L28" s="2964" t="s">
        <v>2424</v>
      </c>
      <c r="M28" s="2965"/>
      <c r="N28" s="2964" t="s">
        <v>2425</v>
      </c>
      <c r="O28" s="2966"/>
      <c r="P28" s="2964" t="s">
        <v>2426</v>
      </c>
      <c r="Q28" s="2967">
        <v>1.4999999999999999E-2</v>
      </c>
      <c r="R28" s="2968"/>
      <c r="S28" s="2920"/>
      <c r="T28" s="2920"/>
      <c r="U28" s="2920"/>
      <c r="V28" s="2947"/>
    </row>
    <row r="29" spans="1:22" s="2948" customFormat="1" ht="13.15" customHeight="1">
      <c r="A29" s="2929">
        <v>3</v>
      </c>
      <c r="B29" s="2930" t="s">
        <v>2427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2428</v>
      </c>
      <c r="K31" s="2837"/>
      <c r="L31" s="2837"/>
      <c r="M31" s="2837"/>
      <c r="N31" s="2837"/>
      <c r="O31" s="2837"/>
      <c r="P31" s="2837"/>
      <c r="Q31" s="2837"/>
      <c r="R31" s="2838"/>
      <c r="S31" s="2920"/>
      <c r="T31" s="2839"/>
      <c r="U31" s="2839"/>
      <c r="V31" s="2947"/>
    </row>
    <row r="32" spans="1:22" s="2948" customFormat="1" ht="13.15" customHeight="1">
      <c r="A32" s="2929">
        <v>4</v>
      </c>
      <c r="B32" s="2930" t="s">
        <v>2429</v>
      </c>
      <c r="C32" s="2931">
        <f>C23-C26-C29</f>
        <v>0</v>
      </c>
      <c r="D32" s="2932">
        <f>D23-D26-D29</f>
        <v>0</v>
      </c>
      <c r="E32" s="2933">
        <f>E23-E26-E29</f>
        <v>0</v>
      </c>
      <c r="F32" s="2934"/>
      <c r="G32" s="2928"/>
      <c r="H32" s="2846"/>
      <c r="I32" s="2847"/>
      <c r="J32" s="3716" t="s">
        <v>2321</v>
      </c>
      <c r="K32" s="3717"/>
      <c r="L32" s="2848" t="s">
        <v>2322</v>
      </c>
      <c r="M32" s="2848" t="s">
        <v>2323</v>
      </c>
      <c r="N32" s="2848" t="s">
        <v>2324</v>
      </c>
      <c r="O32" s="2848" t="s">
        <v>2325</v>
      </c>
      <c r="P32" s="2848" t="s">
        <v>2326</v>
      </c>
      <c r="Q32" s="2849" t="s">
        <v>2327</v>
      </c>
      <c r="R32" s="2971" t="s">
        <v>2328</v>
      </c>
      <c r="S32" s="2920"/>
      <c r="T32" s="2839"/>
      <c r="U32" s="2839"/>
      <c r="V32" s="2947"/>
    </row>
    <row r="33" spans="1:23" s="2851" customFormat="1" ht="13.15" customHeight="1">
      <c r="A33" s="2929"/>
      <c r="B33" s="2930"/>
      <c r="C33" s="2931"/>
      <c r="D33" s="2972"/>
      <c r="E33" s="2973"/>
      <c r="F33" s="2934"/>
      <c r="G33" s="2928"/>
      <c r="H33" s="2956"/>
      <c r="I33" s="2947"/>
      <c r="J33" s="3718" t="s">
        <v>2331</v>
      </c>
      <c r="K33" s="3719"/>
      <c r="L33" s="2854"/>
      <c r="M33" s="2854"/>
      <c r="N33" s="2854"/>
      <c r="O33" s="2854"/>
      <c r="P33" s="2854"/>
      <c r="Q33" s="2855"/>
      <c r="R33" s="2974">
        <f>SUM(L33:Q33)</f>
        <v>0</v>
      </c>
      <c r="S33" s="2920"/>
      <c r="T33" s="2839"/>
      <c r="U33" s="2839"/>
      <c r="V33" s="2847"/>
    </row>
    <row r="34" spans="1:23" s="2851" customFormat="1" ht="13.15" customHeight="1">
      <c r="A34" s="2929">
        <v>5</v>
      </c>
      <c r="B34" s="2930" t="s">
        <v>2430</v>
      </c>
      <c r="C34" s="2975"/>
      <c r="D34" s="2976"/>
      <c r="E34" s="2977"/>
      <c r="F34" s="2934"/>
      <c r="G34" s="2928"/>
      <c r="H34" s="2956"/>
      <c r="I34" s="2947"/>
      <c r="J34" s="3718" t="s">
        <v>2333</v>
      </c>
      <c r="K34" s="3719"/>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2431</v>
      </c>
      <c r="C35" s="2979"/>
      <c r="D35" s="2980"/>
      <c r="E35" s="2981"/>
      <c r="F35" s="2934"/>
      <c r="G35" s="2982"/>
      <c r="H35" s="2846"/>
      <c r="I35" s="2947"/>
      <c r="J35" s="2865" t="s">
        <v>2335</v>
      </c>
      <c r="K35" s="2866"/>
      <c r="L35" s="2866"/>
      <c r="M35" s="2867"/>
      <c r="N35" s="2867"/>
      <c r="O35" s="2867"/>
      <c r="P35" s="2867"/>
      <c r="Q35" s="2867"/>
      <c r="R35" s="2983">
        <f>R40+R41+R43</f>
        <v>0</v>
      </c>
      <c r="S35" s="2920"/>
      <c r="T35" s="2839" t="s">
        <v>2336</v>
      </c>
      <c r="U35" s="2839"/>
      <c r="V35" s="2847"/>
    </row>
    <row r="36" spans="1:23" s="2851" customFormat="1" ht="13.15" customHeight="1" thickBot="1">
      <c r="A36" s="2929">
        <v>7</v>
      </c>
      <c r="B36" s="2984" t="s">
        <v>2432</v>
      </c>
      <c r="C36" s="2985"/>
      <c r="D36" s="2986"/>
      <c r="E36" s="2987"/>
      <c r="F36" s="2988">
        <f>C36+D36+E36</f>
        <v>0</v>
      </c>
      <c r="G36" s="2928"/>
      <c r="H36" s="2846"/>
      <c r="I36" s="2847"/>
      <c r="J36" s="3710">
        <v>1</v>
      </c>
      <c r="K36" s="3711" t="s">
        <v>2433</v>
      </c>
      <c r="L36" s="2872"/>
      <c r="M36" s="2873"/>
      <c r="N36" s="2873"/>
      <c r="O36" s="2873"/>
      <c r="P36" s="2873"/>
      <c r="Q36" s="2873"/>
      <c r="R36" s="2856" t="s">
        <v>2345</v>
      </c>
      <c r="S36" s="2920"/>
      <c r="T36" s="2839" t="s">
        <v>2346</v>
      </c>
      <c r="U36" s="2839"/>
      <c r="V36" s="2847"/>
    </row>
    <row r="37" spans="1:23" s="2851" customFormat="1" ht="13.15" customHeight="1">
      <c r="A37" s="2929"/>
      <c r="B37" s="2930"/>
      <c r="C37" s="2930"/>
      <c r="D37" s="2930"/>
      <c r="E37" s="2930"/>
      <c r="F37" s="2934"/>
      <c r="G37" s="2928"/>
      <c r="H37" s="2846"/>
      <c r="I37" s="2847"/>
      <c r="J37" s="3710"/>
      <c r="K37" s="3712"/>
      <c r="L37" s="2881"/>
      <c r="M37" s="2882"/>
      <c r="N37" s="2858"/>
      <c r="O37" s="2883"/>
      <c r="P37" s="2883"/>
      <c r="Q37" s="2884"/>
      <c r="R37" s="2885"/>
      <c r="S37" s="2920"/>
      <c r="T37" s="2839" t="s">
        <v>2349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10"/>
      <c r="K38" s="3712"/>
      <c r="L38" s="2881"/>
      <c r="M38" s="2882"/>
      <c r="N38" s="2858"/>
      <c r="O38" s="2883"/>
      <c r="P38" s="2883"/>
      <c r="Q38" s="2884"/>
      <c r="R38" s="2885"/>
      <c r="S38" s="2920"/>
      <c r="T38" s="2839" t="s">
        <v>2356</v>
      </c>
      <c r="U38" s="2839"/>
      <c r="V38" s="2847"/>
    </row>
    <row r="39" spans="1:23" s="2851" customFormat="1" ht="13.15" customHeight="1">
      <c r="A39" s="2929">
        <v>9</v>
      </c>
      <c r="B39" s="2930" t="s">
        <v>2434</v>
      </c>
      <c r="C39" s="2895" t="e">
        <f>C38</f>
        <v>#DIV/0!</v>
      </c>
      <c r="D39" s="2930">
        <f>D38/(1+D34)^C36</f>
        <v>0</v>
      </c>
      <c r="E39" s="2930">
        <f>E38/(1+E34)^(C36+D36)</f>
        <v>0</v>
      </c>
      <c r="F39" s="2934"/>
      <c r="G39" s="2989"/>
      <c r="H39" s="2846"/>
      <c r="I39" s="2847"/>
      <c r="J39" s="3710"/>
      <c r="K39" s="3712"/>
      <c r="L39" s="2881"/>
      <c r="M39" s="2882"/>
      <c r="N39" s="2858"/>
      <c r="O39" s="2883"/>
      <c r="P39" s="2883"/>
      <c r="Q39" s="2884"/>
      <c r="R39" s="2885"/>
      <c r="S39" s="2920"/>
      <c r="T39" s="2839"/>
      <c r="U39" s="2839"/>
      <c r="V39" s="2847"/>
    </row>
    <row r="40" spans="1:23" s="2851" customFormat="1" ht="13.15" customHeight="1">
      <c r="A40" s="2990">
        <v>10</v>
      </c>
      <c r="B40" s="2930" t="s">
        <v>2435</v>
      </c>
      <c r="C40" s="2991" t="e">
        <f>C39+D39+E39</f>
        <v>#DIV/0!</v>
      </c>
      <c r="D40" s="2992"/>
      <c r="E40" s="2992"/>
      <c r="F40" s="2993"/>
      <c r="G40" s="2928"/>
      <c r="H40" s="2846"/>
      <c r="I40" s="2847"/>
      <c r="J40" s="3710"/>
      <c r="K40" s="3713"/>
      <c r="L40" s="2901" t="s">
        <v>2374</v>
      </c>
      <c r="M40" s="2902"/>
      <c r="N40" s="2902"/>
      <c r="O40" s="2903"/>
      <c r="P40" s="2903"/>
      <c r="Q40" s="2904"/>
      <c r="R40" s="2850">
        <f>SUM(R37:R39)</f>
        <v>0</v>
      </c>
      <c r="S40" s="2920"/>
      <c r="T40" s="2839"/>
      <c r="U40" s="2839"/>
      <c r="V40" s="2847"/>
    </row>
    <row r="41" spans="1:23" s="2851" customFormat="1" ht="13.15" customHeight="1" thickBot="1">
      <c r="A41" s="2994">
        <v>11</v>
      </c>
      <c r="B41" s="2995" t="s">
        <v>2436</v>
      </c>
      <c r="C41" s="2995" t="e">
        <f>ROUND(C40*10000/B4,0)</f>
        <v>#DIV/0!</v>
      </c>
      <c r="D41" s="2996"/>
      <c r="E41" s="2996"/>
      <c r="F41" s="2997"/>
      <c r="G41" s="2998"/>
      <c r="H41" s="2846"/>
      <c r="I41" s="2847"/>
      <c r="J41" s="2942">
        <v>2</v>
      </c>
      <c r="K41" s="2943" t="s">
        <v>2414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4">
        <v>3</v>
      </c>
      <c r="K42" s="2949" t="s">
        <v>2416</v>
      </c>
      <c r="L42" s="2950"/>
      <c r="M42" s="2951"/>
      <c r="N42" s="2952" t="s">
        <v>2417</v>
      </c>
      <c r="O42" s="2952" t="s">
        <v>2418</v>
      </c>
      <c r="P42" s="2953" t="s">
        <v>2419</v>
      </c>
      <c r="Q42" s="2953" t="s">
        <v>2420</v>
      </c>
      <c r="R42" s="2856" t="s">
        <v>2345</v>
      </c>
      <c r="S42" s="2954"/>
      <c r="T42" s="2954"/>
      <c r="U42" s="2839"/>
      <c r="V42" s="2847"/>
    </row>
    <row r="43" spans="1:23" ht="13.15" customHeight="1">
      <c r="A43" s="2851"/>
      <c r="B43" s="2851"/>
      <c r="C43" s="2851"/>
      <c r="D43" s="2851"/>
      <c r="E43" s="2851"/>
      <c r="F43" s="2851"/>
      <c r="I43" s="2834"/>
      <c r="J43" s="3715"/>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2423</v>
      </c>
      <c r="L44" s="3002" t="s">
        <v>2424</v>
      </c>
      <c r="M44" s="2965"/>
      <c r="N44" s="3002" t="s">
        <v>2425</v>
      </c>
      <c r="O44" s="2965"/>
      <c r="P44" s="3002" t="s">
        <v>2426</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5"/>
      <c r="G1" s="1488"/>
      <c r="H1" s="1488"/>
      <c r="I1" s="1488"/>
      <c r="J1" s="1488"/>
      <c r="K1" s="1488"/>
      <c r="L1" s="1488"/>
      <c r="M1" s="1488"/>
      <c r="N1" s="1488"/>
      <c r="O1" s="1488"/>
      <c r="P1" s="1488"/>
      <c r="Q1" s="1488"/>
      <c r="R1" s="1488"/>
      <c r="S1" s="1488"/>
    </row>
    <row r="2" spans="1:22" ht="15.75">
      <c r="A2" s="1869" t="s">
        <v>1462</v>
      </c>
      <c r="B2" s="1870">
        <f ca="1">SUMIF(B6:B13,"&lt;&gt;#ref!",B6:B13)</f>
        <v>679</v>
      </c>
      <c r="C2" s="1871" t="s">
        <v>1651</v>
      </c>
      <c r="D2" s="1872" t="s">
        <v>1652</v>
      </c>
      <c r="E2" s="2605">
        <f>SUM(E6:E13)</f>
        <v>314.25</v>
      </c>
      <c r="F2" s="2705"/>
      <c r="G2" s="1488"/>
      <c r="H2" s="1488"/>
      <c r="I2" s="1488"/>
      <c r="J2" s="1488"/>
      <c r="K2" s="1488"/>
      <c r="L2" s="1488"/>
      <c r="M2" s="1488"/>
      <c r="N2" s="1488"/>
      <c r="O2" s="1488"/>
      <c r="P2" s="1488"/>
      <c r="Q2" s="1488"/>
      <c r="R2" s="1488"/>
      <c r="S2" s="1488"/>
    </row>
    <row r="3" spans="1:22" ht="15.75">
      <c r="A3" s="1869" t="s">
        <v>686</v>
      </c>
      <c r="B3" s="2599">
        <f ca="1">ROUND(B2*10000/E2,0)</f>
        <v>21607</v>
      </c>
      <c r="C3" s="1871" t="s">
        <v>1659</v>
      </c>
      <c r="D3" s="2707"/>
      <c r="E3" s="2709"/>
      <c r="F3" s="2705"/>
      <c r="G3" s="1488"/>
      <c r="H3" s="1488"/>
      <c r="I3" s="1488"/>
      <c r="J3" s="1488"/>
      <c r="K3" s="1488"/>
      <c r="L3" s="1488"/>
      <c r="M3" s="1488"/>
      <c r="N3" s="1488"/>
      <c r="O3" s="1488"/>
      <c r="P3" s="1488"/>
      <c r="Q3" s="1488"/>
      <c r="R3" s="1488"/>
      <c r="S3" s="1488"/>
    </row>
    <row r="4" spans="1:22" ht="15.75">
      <c r="A4" s="2710"/>
      <c r="B4" s="2707"/>
      <c r="C4" s="2707"/>
      <c r="D4" s="2707"/>
      <c r="E4" s="2709"/>
      <c r="F4" s="2705"/>
      <c r="G4" s="1488"/>
      <c r="H4" s="1488"/>
      <c r="I4" s="1488"/>
      <c r="J4" s="1488"/>
      <c r="K4" s="1488"/>
      <c r="L4" s="1488"/>
      <c r="M4" s="1488"/>
      <c r="N4" s="1488"/>
      <c r="O4" s="1488"/>
      <c r="P4" s="1488"/>
      <c r="Q4" s="1488"/>
      <c r="R4" s="1488"/>
      <c r="S4" s="1488"/>
    </row>
    <row r="5" spans="1:22" ht="15">
      <c r="A5" s="2601" t="s">
        <v>1653</v>
      </c>
      <c r="B5" s="3729" t="s">
        <v>1654</v>
      </c>
      <c r="C5" s="3730"/>
      <c r="D5" s="2706"/>
      <c r="E5" s="1873" t="s">
        <v>1655</v>
      </c>
      <c r="F5" s="1874" t="s">
        <v>1656</v>
      </c>
      <c r="G5" s="1488"/>
      <c r="H5" s="1488"/>
      <c r="I5" s="1488"/>
      <c r="J5" s="1488"/>
      <c r="K5" s="1488"/>
      <c r="L5" s="1488"/>
      <c r="M5" s="1488"/>
      <c r="N5" s="1488"/>
      <c r="O5" s="1488"/>
      <c r="P5" s="1488"/>
      <c r="Q5" s="1488"/>
      <c r="R5" s="1488"/>
      <c r="S5" s="1488"/>
    </row>
    <row r="6" spans="1:22">
      <c r="A6" s="2602" t="str">
        <f>'数据-取费表'!AN6</f>
        <v>收益法</v>
      </c>
      <c r="B6" s="2600">
        <f ca="1">IF(F6="是",'数据-取费表'!AO6,0)</f>
        <v>679</v>
      </c>
      <c r="C6" s="1871" t="s">
        <v>1651</v>
      </c>
      <c r="D6" s="2707"/>
      <c r="E6" s="2604">
        <f>IF(OR(A6=0,F6="否"),0,'数据-取费表'!K6+'数据-取费表'!S6)</f>
        <v>314.25</v>
      </c>
      <c r="F6" s="1875" t="s">
        <v>1657</v>
      </c>
      <c r="G6" s="1488"/>
      <c r="H6" s="1488"/>
      <c r="I6" s="1488"/>
      <c r="J6" s="1488"/>
      <c r="K6" s="1488"/>
      <c r="L6" s="1488"/>
      <c r="M6" s="1488"/>
      <c r="N6" s="1488"/>
      <c r="O6" s="1488"/>
      <c r="P6" s="1488"/>
      <c r="Q6" s="1488"/>
      <c r="R6" s="1488"/>
      <c r="S6" s="1488"/>
    </row>
    <row r="7" spans="1:22">
      <c r="A7" s="2602">
        <f>'数据-取费表'!AN7</f>
        <v>0</v>
      </c>
      <c r="B7" s="2600" t="e">
        <f ca="1">IF(F7="是",'数据-取费表'!AO7,0)</f>
        <v>#REF!</v>
      </c>
      <c r="C7" s="1871" t="s">
        <v>1651</v>
      </c>
      <c r="D7" s="2707"/>
      <c r="E7" s="2604">
        <f>IF(OR(A7=0,F7="否"),0,'数据-取费表'!K7+'数据-取费表'!S7)</f>
        <v>0</v>
      </c>
      <c r="F7" s="1875" t="s">
        <v>1657</v>
      </c>
      <c r="G7" s="1488"/>
      <c r="H7" s="1488"/>
      <c r="I7" s="1488"/>
      <c r="J7" s="1488"/>
      <c r="K7" s="1488"/>
      <c r="L7" s="1488"/>
      <c r="M7" s="1488"/>
      <c r="N7" s="1488"/>
      <c r="O7" s="1488"/>
      <c r="P7" s="1488"/>
      <c r="Q7" s="1488"/>
      <c r="R7" s="1488"/>
      <c r="S7" s="1488"/>
    </row>
    <row r="8" spans="1:22">
      <c r="A8" s="2602">
        <f>'数据-取费表'!AN8</f>
        <v>0</v>
      </c>
      <c r="B8" s="2600" t="e">
        <f ca="1">IF(F8="是",'数据-取费表'!AO8,0)</f>
        <v>#REF!</v>
      </c>
      <c r="C8" s="1871" t="s">
        <v>1651</v>
      </c>
      <c r="D8" s="2707"/>
      <c r="E8" s="2604">
        <f>IF(OR(A8=0,F8="否"),0,'数据-取费表'!K8+'数据-取费表'!S8)</f>
        <v>0</v>
      </c>
      <c r="F8" s="1875" t="s">
        <v>1657</v>
      </c>
      <c r="G8" s="1488"/>
      <c r="H8" s="1488"/>
      <c r="I8" s="1488"/>
      <c r="J8" s="1488"/>
      <c r="K8" s="1488"/>
      <c r="L8" s="1488"/>
      <c r="M8" s="1488"/>
      <c r="N8" s="1488"/>
      <c r="O8" s="1488"/>
      <c r="P8" s="1488"/>
      <c r="Q8" s="1488"/>
      <c r="R8" s="1488"/>
      <c r="S8" s="1488"/>
    </row>
    <row r="9" spans="1:22">
      <c r="A9" s="2602">
        <f>'数据-取费表'!AN9</f>
        <v>0</v>
      </c>
      <c r="B9" s="2600" t="e">
        <f ca="1">IF(F9="是",'数据-取费表'!AO9,0)</f>
        <v>#REF!</v>
      </c>
      <c r="C9" s="1871" t="s">
        <v>1651</v>
      </c>
      <c r="D9" s="2707"/>
      <c r="E9" s="2604">
        <f>IF(OR(A9=0,F9="否"),0,'数据-取费表'!K9+'数据-取费表'!S9)</f>
        <v>0</v>
      </c>
      <c r="F9" s="1875" t="s">
        <v>1657</v>
      </c>
      <c r="G9" s="1488"/>
      <c r="H9" s="1488"/>
      <c r="I9" s="1488"/>
      <c r="J9" s="1488"/>
      <c r="K9" s="1488"/>
      <c r="L9" s="1488"/>
      <c r="M9" s="1488"/>
      <c r="N9" s="1488"/>
      <c r="O9" s="1488"/>
      <c r="P9" s="1488"/>
      <c r="Q9" s="1488"/>
      <c r="R9" s="1488"/>
      <c r="S9" s="1488"/>
    </row>
    <row r="10" spans="1:22">
      <c r="A10" s="2602">
        <f>'数据-取费表'!AN10</f>
        <v>0</v>
      </c>
      <c r="B10" s="2600" t="e">
        <f ca="1">IF(F10="是",'数据-取费表'!AO10,0)</f>
        <v>#REF!</v>
      </c>
      <c r="C10" s="1871" t="s">
        <v>1651</v>
      </c>
      <c r="D10" s="2707"/>
      <c r="E10" s="2604">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2">
        <f>'数据-取费表'!AN11</f>
        <v>0</v>
      </c>
      <c r="B11" s="2600" t="e">
        <f ca="1">IF(F11="是",'数据-取费表'!AO11,0)</f>
        <v>#REF!</v>
      </c>
      <c r="C11" s="1871" t="s">
        <v>1651</v>
      </c>
      <c r="D11" s="2707"/>
      <c r="E11" s="2604">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2">
        <f>'数据-取费表'!AN12</f>
        <v>0</v>
      </c>
      <c r="B12" s="2600" t="e">
        <f ca="1">IF(F12="是",'数据-取费表'!AO12,0)</f>
        <v>#REF!</v>
      </c>
      <c r="C12" s="1871" t="s">
        <v>1651</v>
      </c>
      <c r="D12" s="2707"/>
      <c r="E12" s="2604">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3">
        <f>'数据-取费表'!AN13</f>
        <v>0</v>
      </c>
      <c r="B13" s="2600" t="e">
        <f ca="1">IF(F13="是",'数据-取费表'!AO13,0)</f>
        <v>#REF!</v>
      </c>
      <c r="C13" s="1876" t="s">
        <v>1651</v>
      </c>
      <c r="D13" s="2708"/>
      <c r="E13" s="2604">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3"/>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4"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1"/>
      <c r="M2" s="2712"/>
      <c r="N2" s="2712"/>
      <c r="O2" s="2712"/>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314.25</v>
      </c>
      <c r="E3" s="906"/>
      <c r="F3" s="1887"/>
      <c r="G3" s="906"/>
      <c r="H3" s="906"/>
      <c r="I3" s="906"/>
      <c r="J3" s="906"/>
      <c r="K3" s="1883"/>
      <c r="L3" s="2711"/>
      <c r="M3" s="2712"/>
      <c r="N3" s="2712"/>
      <c r="O3" s="2712"/>
      <c r="P3" s="1884"/>
      <c r="Q3" s="1885"/>
      <c r="R3" s="1885"/>
      <c r="S3" s="1885"/>
      <c r="T3" s="1885"/>
      <c r="U3" s="1885"/>
      <c r="V3" s="1885"/>
      <c r="W3" s="1885"/>
      <c r="X3" s="1885"/>
      <c r="Y3" s="1885"/>
      <c r="Z3" s="1885"/>
      <c r="AA3" s="1885"/>
      <c r="AB3" s="1885"/>
      <c r="AC3" s="1060"/>
    </row>
    <row r="4" spans="1:29" ht="15">
      <c r="A4" s="355" t="s">
        <v>1666</v>
      </c>
      <c r="B4" s="356"/>
      <c r="C4" s="3683" t="s">
        <v>1667</v>
      </c>
      <c r="D4" s="3684"/>
      <c r="E4" s="3685" t="s">
        <v>1668</v>
      </c>
      <c r="F4" s="3686"/>
      <c r="G4" s="3683" t="s">
        <v>1669</v>
      </c>
      <c r="H4" s="3684"/>
      <c r="I4" s="3683" t="s">
        <v>1670</v>
      </c>
      <c r="J4" s="3684"/>
      <c r="K4" s="1888" t="s">
        <v>1671</v>
      </c>
      <c r="L4" s="2713"/>
      <c r="M4" s="2714"/>
      <c r="N4" s="2714"/>
      <c r="O4" s="2714"/>
      <c r="P4" s="3687" t="s">
        <v>1672</v>
      </c>
      <c r="Q4" s="3688"/>
      <c r="R4" s="3693" t="s">
        <v>1668</v>
      </c>
      <c r="S4" s="3694"/>
      <c r="T4" s="3693" t="s">
        <v>1669</v>
      </c>
      <c r="U4" s="3694"/>
      <c r="V4" s="3678" t="s">
        <v>1670</v>
      </c>
      <c r="W4" s="3678"/>
      <c r="X4" s="1354"/>
      <c r="Y4" s="3693" t="s">
        <v>1672</v>
      </c>
      <c r="Z4" s="3694"/>
      <c r="AA4" s="3680" t="s">
        <v>1668</v>
      </c>
      <c r="AB4" s="3680" t="s">
        <v>1669</v>
      </c>
      <c r="AC4" s="3680" t="s">
        <v>1670</v>
      </c>
    </row>
    <row r="5" spans="1:29" ht="15">
      <c r="A5" s="358"/>
      <c r="B5" s="359"/>
      <c r="C5" s="3731" t="s">
        <v>1673</v>
      </c>
      <c r="D5" s="3702"/>
      <c r="E5" s="3732" t="s">
        <v>1674</v>
      </c>
      <c r="F5" s="3709"/>
      <c r="G5" s="3731" t="s">
        <v>1675</v>
      </c>
      <c r="H5" s="3702"/>
      <c r="I5" s="3731" t="s">
        <v>1676</v>
      </c>
      <c r="J5" s="3702"/>
      <c r="K5" s="1889"/>
      <c r="L5" s="2713"/>
      <c r="M5" s="2714"/>
      <c r="N5" s="2714"/>
      <c r="O5" s="2714"/>
      <c r="P5" s="3689"/>
      <c r="Q5" s="3690"/>
      <c r="R5" s="3695"/>
      <c r="S5" s="3696"/>
      <c r="T5" s="3695"/>
      <c r="U5" s="3696"/>
      <c r="V5" s="3678"/>
      <c r="W5" s="3678"/>
      <c r="X5" s="1354"/>
      <c r="Y5" s="3695"/>
      <c r="Z5" s="3696"/>
      <c r="AA5" s="3681"/>
      <c r="AB5" s="3681"/>
      <c r="AC5" s="3681"/>
    </row>
    <row r="6" spans="1:29" ht="15.75" thickBot="1">
      <c r="A6" s="360"/>
      <c r="B6" s="361"/>
      <c r="C6" s="3699" t="s">
        <v>1677</v>
      </c>
      <c r="D6" s="3700"/>
      <c r="E6" s="3706" t="s">
        <v>1677</v>
      </c>
      <c r="F6" s="3707"/>
      <c r="G6" s="3699" t="s">
        <v>1677</v>
      </c>
      <c r="H6" s="3700"/>
      <c r="I6" s="3699" t="s">
        <v>1677</v>
      </c>
      <c r="J6" s="3700"/>
      <c r="K6" s="1889" t="s">
        <v>1678</v>
      </c>
      <c r="L6" s="2713"/>
      <c r="M6" s="2714"/>
      <c r="N6" s="2714"/>
      <c r="O6" s="2714"/>
      <c r="P6" s="3691"/>
      <c r="Q6" s="3692"/>
      <c r="R6" s="3695"/>
      <c r="S6" s="3696"/>
      <c r="T6" s="3697"/>
      <c r="U6" s="3698"/>
      <c r="V6" s="3678"/>
      <c r="W6" s="3678"/>
      <c r="X6" s="1354"/>
      <c r="Y6" s="3697"/>
      <c r="Z6" s="3698"/>
      <c r="AA6" s="3682"/>
      <c r="AB6" s="3682"/>
      <c r="AC6" s="3682"/>
    </row>
    <row r="7" spans="1:29" s="108" customFormat="1" ht="15.75" thickBot="1">
      <c r="A7" s="362" t="s">
        <v>1679</v>
      </c>
      <c r="B7" s="363"/>
      <c r="C7" s="364">
        <f>'数据-取费表'!B2</f>
        <v>45435</v>
      </c>
      <c r="D7" s="365">
        <v>100</v>
      </c>
      <c r="E7" s="366"/>
      <c r="F7" s="367">
        <f>SUMIF(58:58,YEAR(E7)&amp;"-"&amp;MONTH(E7),59:59)</f>
        <v>0</v>
      </c>
      <c r="G7" s="366"/>
      <c r="H7" s="365">
        <f>SUMIF(58:58,YEAR(G7)&amp;"-"&amp;MONTH(G7),59:59)</f>
        <v>0</v>
      </c>
      <c r="I7" s="366"/>
      <c r="J7" s="365">
        <f>SUMIF(58:58,YEAR(I7)&amp;"-"&amp;MONTH(I7),59:59)</f>
        <v>0</v>
      </c>
      <c r="K7" s="1890"/>
      <c r="L7" s="2715"/>
      <c r="M7" s="2716"/>
      <c r="N7" s="2716"/>
      <c r="O7" s="2716"/>
      <c r="P7" s="3703" t="s">
        <v>1680</v>
      </c>
      <c r="Q7" s="3705"/>
      <c r="R7" s="700" t="s">
        <v>20</v>
      </c>
      <c r="S7" s="701">
        <f t="shared" ref="S7:S15" si="0">F7</f>
        <v>0</v>
      </c>
      <c r="T7" s="700" t="s">
        <v>20</v>
      </c>
      <c r="U7" s="701">
        <f t="shared" ref="U7:U15" si="1">H7</f>
        <v>0</v>
      </c>
      <c r="V7" s="700" t="s">
        <v>20</v>
      </c>
      <c r="W7" s="701">
        <f t="shared" ref="W7:W15" si="2">J7</f>
        <v>0</v>
      </c>
      <c r="X7" s="702"/>
      <c r="Y7" s="3703" t="s">
        <v>1680</v>
      </c>
      <c r="Z7" s="3704"/>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5"/>
      <c r="M8" s="2716"/>
      <c r="N8" s="2716"/>
      <c r="O8" s="2716"/>
      <c r="P8" s="3703" t="s">
        <v>1683</v>
      </c>
      <c r="Q8" s="3704"/>
      <c r="R8" s="700" t="s">
        <v>20</v>
      </c>
      <c r="S8" s="701">
        <f t="shared" si="0"/>
        <v>100</v>
      </c>
      <c r="T8" s="700" t="s">
        <v>20</v>
      </c>
      <c r="U8" s="701">
        <f t="shared" si="1"/>
        <v>100</v>
      </c>
      <c r="V8" s="700" t="s">
        <v>20</v>
      </c>
      <c r="W8" s="701">
        <f t="shared" si="2"/>
        <v>100</v>
      </c>
      <c r="X8" s="702"/>
      <c r="Y8" s="3703" t="s">
        <v>1683</v>
      </c>
      <c r="Z8" s="3704"/>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5"/>
      <c r="M9" s="2716"/>
      <c r="N9" s="2716"/>
      <c r="O9" s="2716"/>
      <c r="P9" s="3679"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0"/>
      <c r="L10" s="2717"/>
      <c r="M10" s="2718"/>
      <c r="N10" s="2718"/>
      <c r="O10" s="2718"/>
      <c r="P10" s="3679"/>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79"/>
      <c r="Q11" s="1342" t="str">
        <f t="shared" si="6"/>
        <v>容积率</v>
      </c>
      <c r="R11" s="700" t="s">
        <v>18</v>
      </c>
      <c r="S11" s="701" t="e">
        <f t="shared" si="0"/>
        <v>#N/A</v>
      </c>
      <c r="T11" s="700" t="s">
        <v>18</v>
      </c>
      <c r="U11" s="701" t="e">
        <f t="shared" si="1"/>
        <v>#N/A</v>
      </c>
      <c r="V11" s="700" t="s">
        <v>18</v>
      </c>
      <c r="W11" s="701" t="e">
        <f t="shared" si="2"/>
        <v>#N/A</v>
      </c>
      <c r="X11" s="702"/>
      <c r="Y11" s="3559"/>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5"/>
      <c r="M12" s="2716"/>
      <c r="N12" s="2716"/>
      <c r="O12" s="2716"/>
      <c r="P12" s="3679"/>
      <c r="Q12" s="1342">
        <f t="shared" si="6"/>
        <v>111</v>
      </c>
      <c r="R12" s="700" t="s">
        <v>18</v>
      </c>
      <c r="S12" s="701">
        <f t="shared" si="0"/>
        <v>100</v>
      </c>
      <c r="T12" s="700" t="s">
        <v>18</v>
      </c>
      <c r="U12" s="701">
        <f t="shared" si="1"/>
        <v>100</v>
      </c>
      <c r="V12" s="700" t="s">
        <v>18</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0"/>
      <c r="M13" s="2714"/>
      <c r="N13" s="2714"/>
      <c r="O13" s="2714"/>
      <c r="P13" s="3679"/>
      <c r="Q13" s="1342">
        <f t="shared" si="6"/>
        <v>111</v>
      </c>
      <c r="R13" s="700" t="s">
        <v>18</v>
      </c>
      <c r="S13" s="701">
        <f t="shared" si="0"/>
        <v>100</v>
      </c>
      <c r="T13" s="700" t="s">
        <v>18</v>
      </c>
      <c r="U13" s="701">
        <f t="shared" si="1"/>
        <v>100</v>
      </c>
      <c r="V13" s="700" t="s">
        <v>18</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0"/>
      <c r="M14" s="2714"/>
      <c r="N14" s="2714"/>
      <c r="O14" s="2714"/>
      <c r="P14" s="3679"/>
      <c r="Q14" s="1342">
        <f t="shared" si="6"/>
        <v>111</v>
      </c>
      <c r="R14" s="700" t="s">
        <v>18</v>
      </c>
      <c r="S14" s="701">
        <f t="shared" si="0"/>
        <v>100</v>
      </c>
      <c r="T14" s="700" t="s">
        <v>18</v>
      </c>
      <c r="U14" s="701">
        <f t="shared" si="1"/>
        <v>100</v>
      </c>
      <c r="V14" s="700" t="s">
        <v>18</v>
      </c>
      <c r="W14" s="701">
        <f t="shared" si="2"/>
        <v>100</v>
      </c>
      <c r="X14" s="702"/>
      <c r="Y14" s="3559"/>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69" t="s">
        <v>1691</v>
      </c>
      <c r="Q15" s="1351" t="str">
        <f t="shared" si="6"/>
        <v>居住社区成熟度</v>
      </c>
      <c r="R15" s="704" t="s">
        <v>18</v>
      </c>
      <c r="S15" s="705">
        <f t="shared" si="0"/>
        <v>100</v>
      </c>
      <c r="T15" s="704" t="s">
        <v>18</v>
      </c>
      <c r="U15" s="705">
        <f t="shared" si="1"/>
        <v>100</v>
      </c>
      <c r="V15" s="704" t="s">
        <v>18</v>
      </c>
      <c r="W15" s="705">
        <f t="shared" si="2"/>
        <v>100</v>
      </c>
      <c r="X15" s="1354"/>
      <c r="Y15" s="3671"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0"/>
      <c r="M16" s="2714"/>
      <c r="N16" s="2714"/>
      <c r="O16" s="2714"/>
      <c r="P16" s="3670"/>
      <c r="Q16" s="1351"/>
      <c r="R16" s="704"/>
      <c r="S16" s="705"/>
      <c r="T16" s="704"/>
      <c r="U16" s="705"/>
      <c r="V16" s="704"/>
      <c r="W16" s="705"/>
      <c r="X16" s="1354"/>
      <c r="Y16" s="3672"/>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0"/>
      <c r="Q17" s="1351" t="str">
        <f>B17</f>
        <v>交通便捷度</v>
      </c>
      <c r="R17" s="704" t="s">
        <v>18</v>
      </c>
      <c r="S17" s="705">
        <f>F17</f>
        <v>100</v>
      </c>
      <c r="T17" s="704" t="s">
        <v>18</v>
      </c>
      <c r="U17" s="705">
        <f>H17</f>
        <v>100</v>
      </c>
      <c r="V17" s="704" t="s">
        <v>18</v>
      </c>
      <c r="W17" s="705">
        <f>J17</f>
        <v>100</v>
      </c>
      <c r="X17" s="1354"/>
      <c r="Y17" s="3672"/>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0"/>
      <c r="M18" s="2714"/>
      <c r="N18" s="2714"/>
      <c r="O18" s="2714"/>
      <c r="P18" s="3670"/>
      <c r="Q18" s="1351"/>
      <c r="R18" s="704"/>
      <c r="S18" s="705"/>
      <c r="T18" s="704"/>
      <c r="U18" s="705"/>
      <c r="V18" s="704"/>
      <c r="W18" s="705"/>
      <c r="X18" s="1354"/>
      <c r="Y18" s="3672"/>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0"/>
      <c r="Q19" s="1351" t="str">
        <f>B19</f>
        <v>公共配套设施</v>
      </c>
      <c r="R19" s="704" t="s">
        <v>18</v>
      </c>
      <c r="S19" s="705">
        <f>F19</f>
        <v>100</v>
      </c>
      <c r="T19" s="704" t="s">
        <v>18</v>
      </c>
      <c r="U19" s="705">
        <f>H19</f>
        <v>100</v>
      </c>
      <c r="V19" s="704" t="s">
        <v>18</v>
      </c>
      <c r="W19" s="705">
        <f>J19</f>
        <v>100</v>
      </c>
      <c r="X19" s="1354"/>
      <c r="Y19" s="3672"/>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0"/>
      <c r="M20" s="2714"/>
      <c r="N20" s="2714"/>
      <c r="O20" s="2714"/>
      <c r="P20" s="3670"/>
      <c r="Q20" s="1351"/>
      <c r="R20" s="704"/>
      <c r="S20" s="705"/>
      <c r="T20" s="704"/>
      <c r="U20" s="705"/>
      <c r="V20" s="704"/>
      <c r="W20" s="705"/>
      <c r="X20" s="1354"/>
      <c r="Y20" s="3672"/>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0"/>
      <c r="Q21" s="1351" t="str">
        <f>B21</f>
        <v>基础设施水平</v>
      </c>
      <c r="R21" s="704" t="s">
        <v>14</v>
      </c>
      <c r="S21" s="705">
        <f>F21</f>
        <v>100</v>
      </c>
      <c r="T21" s="704" t="s">
        <v>14</v>
      </c>
      <c r="U21" s="705">
        <f>H21</f>
        <v>100</v>
      </c>
      <c r="V21" s="704" t="s">
        <v>14</v>
      </c>
      <c r="W21" s="705">
        <f>J21</f>
        <v>100</v>
      </c>
      <c r="X21" s="1354"/>
      <c r="Y21" s="3672"/>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0"/>
      <c r="M22" s="2714"/>
      <c r="N22" s="2714"/>
      <c r="O22" s="2714"/>
      <c r="P22" s="3670"/>
      <c r="Q22" s="1351"/>
      <c r="R22" s="704"/>
      <c r="S22" s="705"/>
      <c r="T22" s="704"/>
      <c r="U22" s="705"/>
      <c r="V22" s="704"/>
      <c r="W22" s="705"/>
      <c r="X22" s="1354"/>
      <c r="Y22" s="3672"/>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0"/>
      <c r="Q23" s="1351" t="str">
        <f>B23</f>
        <v>自然及人文环境</v>
      </c>
      <c r="R23" s="704" t="s">
        <v>18</v>
      </c>
      <c r="S23" s="705">
        <f>F23</f>
        <v>100</v>
      </c>
      <c r="T23" s="704" t="s">
        <v>18</v>
      </c>
      <c r="U23" s="705">
        <f>H23</f>
        <v>100</v>
      </c>
      <c r="V23" s="704" t="s">
        <v>18</v>
      </c>
      <c r="W23" s="705">
        <f>J23</f>
        <v>100</v>
      </c>
      <c r="X23" s="1354"/>
      <c r="Y23" s="3672"/>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0"/>
      <c r="M24" s="2714"/>
      <c r="N24" s="2714"/>
      <c r="O24" s="2714"/>
      <c r="P24" s="3670"/>
      <c r="Q24" s="1351"/>
      <c r="R24" s="704"/>
      <c r="S24" s="705"/>
      <c r="T24" s="704"/>
      <c r="U24" s="705"/>
      <c r="V24" s="704"/>
      <c r="W24" s="705"/>
      <c r="X24" s="1354"/>
      <c r="Y24" s="3672"/>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0"/>
      <c r="M25" s="2714"/>
      <c r="N25" s="2714"/>
      <c r="O25" s="2714"/>
      <c r="P25" s="3670"/>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672"/>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0"/>
      <c r="M26" s="2714"/>
      <c r="N26" s="2714"/>
      <c r="O26" s="2714"/>
      <c r="P26" s="3670"/>
      <c r="Q26" s="1351" t="str">
        <f t="shared" si="11"/>
        <v>朝向</v>
      </c>
      <c r="R26" s="704" t="s">
        <v>18</v>
      </c>
      <c r="S26" s="705">
        <f t="shared" si="12"/>
        <v>100</v>
      </c>
      <c r="T26" s="704" t="s">
        <v>18</v>
      </c>
      <c r="U26" s="705">
        <f t="shared" si="13"/>
        <v>100</v>
      </c>
      <c r="V26" s="704" t="s">
        <v>18</v>
      </c>
      <c r="W26" s="705">
        <f t="shared" si="14"/>
        <v>100</v>
      </c>
      <c r="X26" s="1354"/>
      <c r="Y26" s="3672"/>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5"/>
      <c r="M27" s="2716"/>
      <c r="N27" s="2716"/>
      <c r="O27" s="2716"/>
      <c r="P27" s="3670"/>
      <c r="Q27" s="1342">
        <f t="shared" si="11"/>
        <v>111</v>
      </c>
      <c r="R27" s="700" t="s">
        <v>18</v>
      </c>
      <c r="S27" s="701">
        <f t="shared" si="12"/>
        <v>100</v>
      </c>
      <c r="T27" s="700" t="s">
        <v>18</v>
      </c>
      <c r="U27" s="701">
        <f t="shared" si="13"/>
        <v>100</v>
      </c>
      <c r="V27" s="700" t="s">
        <v>18</v>
      </c>
      <c r="W27" s="701">
        <f t="shared" si="14"/>
        <v>100</v>
      </c>
      <c r="X27" s="702"/>
      <c r="Y27" s="3672"/>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0"/>
      <c r="M28" s="2714"/>
      <c r="N28" s="2714"/>
      <c r="O28" s="2714"/>
      <c r="P28" s="3670"/>
      <c r="Q28" s="1351">
        <f t="shared" si="11"/>
        <v>111</v>
      </c>
      <c r="R28" s="704" t="s">
        <v>18</v>
      </c>
      <c r="S28" s="705">
        <f t="shared" si="12"/>
        <v>100</v>
      </c>
      <c r="T28" s="704" t="s">
        <v>18</v>
      </c>
      <c r="U28" s="705">
        <f t="shared" si="13"/>
        <v>100</v>
      </c>
      <c r="V28" s="704" t="s">
        <v>18</v>
      </c>
      <c r="W28" s="705">
        <f t="shared" si="14"/>
        <v>100</v>
      </c>
      <c r="X28" s="1354"/>
      <c r="Y28" s="3672"/>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0"/>
      <c r="M29" s="2714"/>
      <c r="N29" s="2714"/>
      <c r="O29" s="2714"/>
      <c r="P29" s="3670"/>
      <c r="Q29" s="1351">
        <f t="shared" si="11"/>
        <v>111</v>
      </c>
      <c r="R29" s="704" t="s">
        <v>18</v>
      </c>
      <c r="S29" s="705">
        <f t="shared" si="12"/>
        <v>100</v>
      </c>
      <c r="T29" s="704" t="s">
        <v>18</v>
      </c>
      <c r="U29" s="705">
        <f t="shared" si="13"/>
        <v>100</v>
      </c>
      <c r="V29" s="704" t="s">
        <v>18</v>
      </c>
      <c r="W29" s="705">
        <f t="shared" si="14"/>
        <v>100</v>
      </c>
      <c r="X29" s="1354"/>
      <c r="Y29" s="3672"/>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0"/>
      <c r="M30" s="2714"/>
      <c r="N30" s="2714"/>
      <c r="O30" s="2714"/>
      <c r="P30" s="3670"/>
      <c r="Q30" s="1351">
        <f t="shared" si="11"/>
        <v>111</v>
      </c>
      <c r="R30" s="704" t="s">
        <v>18</v>
      </c>
      <c r="S30" s="705">
        <f t="shared" si="12"/>
        <v>100</v>
      </c>
      <c r="T30" s="704" t="s">
        <v>18</v>
      </c>
      <c r="U30" s="705">
        <f t="shared" si="13"/>
        <v>100</v>
      </c>
      <c r="V30" s="704" t="s">
        <v>18</v>
      </c>
      <c r="W30" s="705">
        <f t="shared" si="14"/>
        <v>100</v>
      </c>
      <c r="X30" s="1354"/>
      <c r="Y30" s="3672"/>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0"/>
      <c r="M31" s="2714"/>
      <c r="N31" s="2714"/>
      <c r="O31" s="2714"/>
      <c r="P31" s="3670"/>
      <c r="Q31" s="1351">
        <f t="shared" si="11"/>
        <v>111</v>
      </c>
      <c r="R31" s="704" t="s">
        <v>18</v>
      </c>
      <c r="S31" s="705">
        <f t="shared" si="12"/>
        <v>100</v>
      </c>
      <c r="T31" s="704" t="s">
        <v>18</v>
      </c>
      <c r="U31" s="705">
        <f t="shared" si="13"/>
        <v>100</v>
      </c>
      <c r="V31" s="704" t="s">
        <v>18</v>
      </c>
      <c r="W31" s="705">
        <f t="shared" si="14"/>
        <v>100</v>
      </c>
      <c r="X31" s="1354"/>
      <c r="Y31" s="3672"/>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0"/>
      <c r="M32" s="2714"/>
      <c r="N32" s="2714"/>
      <c r="O32" s="2714"/>
      <c r="P32" s="3673" t="s">
        <v>1696</v>
      </c>
      <c r="Q32" s="1351" t="str">
        <f t="shared" si="11"/>
        <v>建筑类型</v>
      </c>
      <c r="R32" s="704" t="s">
        <v>18</v>
      </c>
      <c r="S32" s="705">
        <f t="shared" si="12"/>
        <v>100</v>
      </c>
      <c r="T32" s="704" t="s">
        <v>18</v>
      </c>
      <c r="U32" s="705">
        <f t="shared" si="13"/>
        <v>100</v>
      </c>
      <c r="V32" s="704" t="s">
        <v>18</v>
      </c>
      <c r="W32" s="705">
        <f t="shared" si="14"/>
        <v>100</v>
      </c>
      <c r="X32" s="1354"/>
      <c r="Y32" s="3676"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9"/>
      <c r="M33" s="2721"/>
      <c r="N33" s="2721"/>
      <c r="O33" s="2721"/>
      <c r="P33" s="3674"/>
      <c r="Q33" s="706" t="str">
        <f t="shared" si="11"/>
        <v>项目建筑规模</v>
      </c>
      <c r="R33" s="707" t="s">
        <v>18</v>
      </c>
      <c r="S33" s="708" t="e">
        <f t="shared" si="12"/>
        <v>#N/A</v>
      </c>
      <c r="T33" s="707" t="s">
        <v>18</v>
      </c>
      <c r="U33" s="708" t="e">
        <f t="shared" si="13"/>
        <v>#N/A</v>
      </c>
      <c r="V33" s="707" t="s">
        <v>18</v>
      </c>
      <c r="W33" s="708" t="e">
        <f t="shared" si="14"/>
        <v>#N/A</v>
      </c>
      <c r="X33" s="709"/>
      <c r="Y33" s="3676"/>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0"/>
      <c r="M34" s="2714"/>
      <c r="N34" s="2714"/>
      <c r="O34" s="2714"/>
      <c r="P34" s="3674"/>
      <c r="Q34" s="1351" t="str">
        <f t="shared" si="11"/>
        <v>建筑结构</v>
      </c>
      <c r="R34" s="704" t="s">
        <v>18</v>
      </c>
      <c r="S34" s="705">
        <f t="shared" si="12"/>
        <v>100</v>
      </c>
      <c r="T34" s="704" t="s">
        <v>18</v>
      </c>
      <c r="U34" s="705">
        <f t="shared" si="13"/>
        <v>100</v>
      </c>
      <c r="V34" s="704" t="s">
        <v>18</v>
      </c>
      <c r="W34" s="705">
        <f t="shared" si="14"/>
        <v>100</v>
      </c>
      <c r="X34" s="1354"/>
      <c r="Y34" s="3676"/>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0"/>
      <c r="M35" s="2714"/>
      <c r="N35" s="2714"/>
      <c r="O35" s="2714"/>
      <c r="P35" s="3674"/>
      <c r="Q35" s="1351" t="str">
        <f t="shared" si="11"/>
        <v>建筑品质</v>
      </c>
      <c r="R35" s="704" t="s">
        <v>18</v>
      </c>
      <c r="S35" s="705">
        <f t="shared" si="12"/>
        <v>100</v>
      </c>
      <c r="T35" s="704" t="s">
        <v>18</v>
      </c>
      <c r="U35" s="705">
        <f t="shared" si="13"/>
        <v>100</v>
      </c>
      <c r="V35" s="704" t="s">
        <v>18</v>
      </c>
      <c r="W35" s="705">
        <f t="shared" si="14"/>
        <v>100</v>
      </c>
      <c r="X35" s="1354"/>
      <c r="Y35" s="3676"/>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0"/>
      <c r="M36" s="2714"/>
      <c r="N36" s="2714"/>
      <c r="O36" s="2714"/>
      <c r="P36" s="3674"/>
      <c r="Q36" s="1351" t="str">
        <f t="shared" si="11"/>
        <v>公共部分装修</v>
      </c>
      <c r="R36" s="704" t="s">
        <v>18</v>
      </c>
      <c r="S36" s="705">
        <f t="shared" si="12"/>
        <v>100</v>
      </c>
      <c r="T36" s="704" t="s">
        <v>18</v>
      </c>
      <c r="U36" s="705">
        <f t="shared" si="13"/>
        <v>100</v>
      </c>
      <c r="V36" s="704" t="s">
        <v>18</v>
      </c>
      <c r="W36" s="705">
        <f t="shared" si="14"/>
        <v>100</v>
      </c>
      <c r="X36" s="1354"/>
      <c r="Y36" s="3676"/>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4"/>
      <c r="Q37" s="1342" t="str">
        <f t="shared" si="11"/>
        <v>成新度</v>
      </c>
      <c r="R37" s="700" t="s">
        <v>18</v>
      </c>
      <c r="S37" s="701" t="e">
        <f t="shared" si="12"/>
        <v>#N/A</v>
      </c>
      <c r="T37" s="700" t="s">
        <v>18</v>
      </c>
      <c r="U37" s="701" t="e">
        <f t="shared" si="13"/>
        <v>#N/A</v>
      </c>
      <c r="V37" s="700" t="s">
        <v>18</v>
      </c>
      <c r="W37" s="701" t="e">
        <f t="shared" si="14"/>
        <v>#N/A</v>
      </c>
      <c r="X37" s="702"/>
      <c r="Y37" s="3676"/>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0"/>
      <c r="M38" s="2714"/>
      <c r="N38" s="2714"/>
      <c r="O38" s="2714"/>
      <c r="P38" s="3674" t="s">
        <v>1696</v>
      </c>
      <c r="Q38" s="1351" t="str">
        <f t="shared" si="11"/>
        <v>物业管理</v>
      </c>
      <c r="R38" s="704" t="s">
        <v>18</v>
      </c>
      <c r="S38" s="705">
        <f t="shared" si="12"/>
        <v>100</v>
      </c>
      <c r="T38" s="704" t="s">
        <v>18</v>
      </c>
      <c r="U38" s="705">
        <f t="shared" si="13"/>
        <v>100</v>
      </c>
      <c r="V38" s="704" t="s">
        <v>18</v>
      </c>
      <c r="W38" s="705">
        <f t="shared" si="14"/>
        <v>100</v>
      </c>
      <c r="X38" s="1354"/>
      <c r="Y38" s="3676"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0"/>
      <c r="M39" s="2714"/>
      <c r="N39" s="2714"/>
      <c r="O39" s="2714"/>
      <c r="P39" s="3674"/>
      <c r="Q39" s="1351" t="str">
        <f t="shared" si="11"/>
        <v>市政基础设施</v>
      </c>
      <c r="R39" s="704" t="s">
        <v>18</v>
      </c>
      <c r="S39" s="705">
        <f t="shared" si="12"/>
        <v>100</v>
      </c>
      <c r="T39" s="704" t="s">
        <v>18</v>
      </c>
      <c r="U39" s="705">
        <f t="shared" si="13"/>
        <v>100</v>
      </c>
      <c r="V39" s="704" t="s">
        <v>18</v>
      </c>
      <c r="W39" s="705">
        <f t="shared" si="14"/>
        <v>100</v>
      </c>
      <c r="X39" s="1354"/>
      <c r="Y39" s="3676"/>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0"/>
      <c r="M40" s="2714"/>
      <c r="N40" s="2714"/>
      <c r="O40" s="2714"/>
      <c r="P40" s="3674"/>
      <c r="Q40" s="1351" t="str">
        <f t="shared" si="11"/>
        <v>房型</v>
      </c>
      <c r="R40" s="704" t="s">
        <v>18</v>
      </c>
      <c r="S40" s="705">
        <f t="shared" si="12"/>
        <v>100</v>
      </c>
      <c r="T40" s="704" t="s">
        <v>18</v>
      </c>
      <c r="U40" s="705">
        <f t="shared" si="13"/>
        <v>100</v>
      </c>
      <c r="V40" s="704" t="s">
        <v>18</v>
      </c>
      <c r="W40" s="705">
        <f t="shared" si="14"/>
        <v>100</v>
      </c>
      <c r="X40" s="1354"/>
      <c r="Y40" s="3676"/>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9"/>
      <c r="M41" s="2721"/>
      <c r="N41" s="2721"/>
      <c r="O41" s="2721"/>
      <c r="P41" s="3674"/>
      <c r="Q41" s="706" t="str">
        <f t="shared" si="11"/>
        <v>单套/主力户型建筑面积</v>
      </c>
      <c r="R41" s="707" t="s">
        <v>18</v>
      </c>
      <c r="S41" s="708">
        <f t="shared" si="12"/>
        <v>100</v>
      </c>
      <c r="T41" s="707" t="s">
        <v>18</v>
      </c>
      <c r="U41" s="708">
        <f t="shared" si="13"/>
        <v>100</v>
      </c>
      <c r="V41" s="707" t="s">
        <v>18</v>
      </c>
      <c r="W41" s="708">
        <f t="shared" si="14"/>
        <v>100</v>
      </c>
      <c r="X41" s="709"/>
      <c r="Y41" s="3676"/>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0"/>
      <c r="M42" s="2714"/>
      <c r="N42" s="2714"/>
      <c r="O42" s="2714"/>
      <c r="P42" s="3674"/>
      <c r="Q42" s="1351" t="str">
        <f t="shared" si="11"/>
        <v>内部装修</v>
      </c>
      <c r="R42" s="704" t="s">
        <v>18</v>
      </c>
      <c r="S42" s="705">
        <f t="shared" si="12"/>
        <v>100</v>
      </c>
      <c r="T42" s="704" t="s">
        <v>18</v>
      </c>
      <c r="U42" s="705">
        <f t="shared" si="13"/>
        <v>100</v>
      </c>
      <c r="V42" s="704" t="s">
        <v>18</v>
      </c>
      <c r="W42" s="705">
        <f t="shared" si="14"/>
        <v>100</v>
      </c>
      <c r="X42" s="1354"/>
      <c r="Y42" s="3676"/>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0"/>
      <c r="M43" s="2714"/>
      <c r="N43" s="2714"/>
      <c r="O43" s="2714"/>
      <c r="P43" s="3674"/>
      <c r="Q43" s="1351" t="str">
        <f t="shared" si="11"/>
        <v>内部装修维护情况</v>
      </c>
      <c r="R43" s="704" t="s">
        <v>18</v>
      </c>
      <c r="S43" s="705">
        <f t="shared" si="12"/>
        <v>100</v>
      </c>
      <c r="T43" s="704" t="s">
        <v>18</v>
      </c>
      <c r="U43" s="705">
        <f t="shared" si="13"/>
        <v>100</v>
      </c>
      <c r="V43" s="704" t="s">
        <v>18</v>
      </c>
      <c r="W43" s="705">
        <f t="shared" si="14"/>
        <v>100</v>
      </c>
      <c r="X43" s="1354"/>
      <c r="Y43" s="3676"/>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5"/>
      <c r="M44" s="2716"/>
      <c r="N44" s="2716"/>
      <c r="O44" s="2716"/>
      <c r="P44" s="3674"/>
      <c r="Q44" s="1342">
        <f t="shared" si="11"/>
        <v>111</v>
      </c>
      <c r="R44" s="700" t="s">
        <v>18</v>
      </c>
      <c r="S44" s="701">
        <f t="shared" si="12"/>
        <v>100</v>
      </c>
      <c r="T44" s="700" t="s">
        <v>18</v>
      </c>
      <c r="U44" s="701">
        <f t="shared" si="13"/>
        <v>100</v>
      </c>
      <c r="V44" s="700" t="s">
        <v>18</v>
      </c>
      <c r="W44" s="701">
        <f t="shared" si="14"/>
        <v>100</v>
      </c>
      <c r="X44" s="702"/>
      <c r="Y44" s="3676"/>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0"/>
      <c r="M45" s="2714"/>
      <c r="N45" s="2714"/>
      <c r="O45" s="2714"/>
      <c r="P45" s="3674"/>
      <c r="Q45" s="1351">
        <f t="shared" si="11"/>
        <v>111</v>
      </c>
      <c r="R45" s="704" t="s">
        <v>18</v>
      </c>
      <c r="S45" s="705">
        <f t="shared" si="12"/>
        <v>100</v>
      </c>
      <c r="T45" s="704" t="s">
        <v>18</v>
      </c>
      <c r="U45" s="705">
        <f t="shared" si="13"/>
        <v>100</v>
      </c>
      <c r="V45" s="704" t="s">
        <v>18</v>
      </c>
      <c r="W45" s="705">
        <f t="shared" si="14"/>
        <v>100</v>
      </c>
      <c r="X45" s="1354"/>
      <c r="Y45" s="3676"/>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0"/>
      <c r="M46" s="2714"/>
      <c r="N46" s="2714"/>
      <c r="O46" s="2714"/>
      <c r="P46" s="3675"/>
      <c r="Q46" s="1351">
        <f t="shared" si="11"/>
        <v>111</v>
      </c>
      <c r="R46" s="704" t="s">
        <v>17</v>
      </c>
      <c r="S46" s="705">
        <f t="shared" si="12"/>
        <v>100</v>
      </c>
      <c r="T46" s="704" t="s">
        <v>17</v>
      </c>
      <c r="U46" s="705">
        <f t="shared" si="13"/>
        <v>100</v>
      </c>
      <c r="V46" s="704" t="s">
        <v>17</v>
      </c>
      <c r="W46" s="705">
        <f t="shared" si="14"/>
        <v>100</v>
      </c>
      <c r="X46" s="1354"/>
      <c r="Y46" s="3677"/>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2"/>
      <c r="M47" s="2723"/>
      <c r="N47" s="2714"/>
      <c r="O47" s="2723"/>
      <c r="P47" s="3664" t="str">
        <f>A47</f>
        <v>成交单价（元/平方米）</v>
      </c>
      <c r="Q47" s="3664"/>
      <c r="R47" s="3665">
        <f>E47</f>
        <v>0</v>
      </c>
      <c r="S47" s="3665"/>
      <c r="T47" s="3665">
        <f>G47</f>
        <v>0</v>
      </c>
      <c r="U47" s="3665"/>
      <c r="V47" s="3665">
        <f>I47</f>
        <v>0</v>
      </c>
      <c r="W47" s="3665"/>
      <c r="X47" s="689"/>
      <c r="Y47" s="711"/>
      <c r="Z47" s="689"/>
      <c r="AA47" s="689"/>
      <c r="AB47" s="689"/>
      <c r="AC47" s="689"/>
    </row>
    <row r="48" spans="1:29" ht="15.75" thickBot="1">
      <c r="A48" s="437" t="s">
        <v>1709</v>
      </c>
      <c r="B48" s="438"/>
      <c r="C48" s="1159" t="e">
        <f>R49</f>
        <v>#DIV/0!</v>
      </c>
      <c r="D48" s="2316" t="s">
        <v>2138</v>
      </c>
      <c r="E48" s="1160" t="e">
        <f>R48</f>
        <v>#DIV/0!</v>
      </c>
      <c r="F48" s="2317"/>
      <c r="G48" s="1159" t="e">
        <f>T48</f>
        <v>#DIV/0!</v>
      </c>
      <c r="H48" s="2317"/>
      <c r="I48" s="1160" t="e">
        <f>V48</f>
        <v>#DIV/0!</v>
      </c>
      <c r="J48" s="2317"/>
      <c r="K48" s="2318">
        <f>F48+H48+J48</f>
        <v>0</v>
      </c>
      <c r="L48" s="2722"/>
      <c r="M48" s="2723"/>
      <c r="N48" s="2723"/>
      <c r="O48" s="2723"/>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2"/>
      <c r="M49" s="2723"/>
      <c r="N49" s="2723"/>
      <c r="O49" s="2723"/>
      <c r="P49" s="3666" t="str">
        <f>A49</f>
        <v>估价对象XX用房的比较价值（楼面单价，元/平方米）</v>
      </c>
      <c r="Q49" s="3667"/>
      <c r="R49" s="3668" t="e">
        <f>IF(F1="售价",ROUND(IF(D48="简单平均",AVERAGE(R48:V48),R48*F48+T48*H48+V48*J48),0),ROUND(IF(D48="简单平均",AVERAGE(R48:V48),R48*F48+T48*H48+V48*J48),1))</f>
        <v>#DIV/0!</v>
      </c>
      <c r="S49" s="3668"/>
      <c r="T49" s="3668"/>
      <c r="U49" s="3668"/>
      <c r="V49" s="3668"/>
      <c r="W49" s="3668"/>
      <c r="X49" s="689"/>
      <c r="Y49" s="689"/>
      <c r="Z49" s="689"/>
      <c r="AA49" s="689"/>
      <c r="AB49" s="689"/>
      <c r="AC49" s="689"/>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6"/>
    </row>
    <row r="55" spans="1:29" s="451" customFormat="1">
      <c r="A55" s="2726"/>
      <c r="B55" s="2729"/>
      <c r="C55" s="2730"/>
      <c r="D55" s="2726"/>
      <c r="E55" s="2726"/>
      <c r="F55" s="2726"/>
      <c r="G55" s="2726"/>
      <c r="H55" s="2726"/>
      <c r="I55" s="2726"/>
      <c r="J55" s="2726"/>
      <c r="K55" s="2731"/>
      <c r="L55" s="2725"/>
      <c r="M55" s="2726"/>
      <c r="N55" s="2726"/>
      <c r="O55" s="2726"/>
      <c r="P55" s="1916"/>
    </row>
    <row r="56" spans="1:29">
      <c r="A56" s="2723"/>
      <c r="B56" s="2729"/>
      <c r="C56" s="2730"/>
      <c r="D56" s="2723"/>
      <c r="E56" s="2723"/>
      <c r="F56" s="2723"/>
      <c r="G56" s="2723"/>
      <c r="H56" s="2723"/>
      <c r="I56" s="2723"/>
      <c r="J56" s="2723"/>
      <c r="K56" s="2728"/>
      <c r="L56" s="2724"/>
      <c r="M56" s="2723"/>
      <c r="N56" s="2723"/>
      <c r="O56" s="2723"/>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314.25</v>
      </c>
      <c r="E3" s="1953"/>
      <c r="F3" s="908"/>
      <c r="G3" s="907"/>
      <c r="H3" s="907"/>
      <c r="I3" s="907"/>
      <c r="J3" s="907"/>
      <c r="K3" s="909"/>
      <c r="L3" s="2732"/>
      <c r="M3" s="2733"/>
      <c r="N3" s="2733"/>
      <c r="O3" s="2733"/>
      <c r="P3" s="698"/>
      <c r="Q3" s="698"/>
      <c r="R3" s="698"/>
      <c r="S3" s="698"/>
      <c r="T3" s="698"/>
      <c r="U3" s="698"/>
      <c r="V3" s="698"/>
      <c r="W3" s="698"/>
      <c r="X3" s="698"/>
      <c r="Y3" s="698"/>
      <c r="Z3" s="698"/>
      <c r="AA3" s="698"/>
      <c r="AB3" s="698"/>
      <c r="AC3" s="699"/>
    </row>
    <row r="4" spans="1:29" ht="15">
      <c r="A4" s="355" t="s">
        <v>1769</v>
      </c>
      <c r="B4" s="356"/>
      <c r="C4" s="3683" t="s">
        <v>1770</v>
      </c>
      <c r="D4" s="3684"/>
      <c r="E4" s="3685" t="s">
        <v>1771</v>
      </c>
      <c r="F4" s="3686"/>
      <c r="G4" s="3683" t="s">
        <v>1772</v>
      </c>
      <c r="H4" s="3684"/>
      <c r="I4" s="3683" t="s">
        <v>1773</v>
      </c>
      <c r="J4" s="3684"/>
      <c r="K4" s="559" t="s">
        <v>1774</v>
      </c>
      <c r="L4" s="2713"/>
      <c r="M4" s="2714"/>
      <c r="N4" s="2714"/>
      <c r="O4" s="2714"/>
      <c r="P4" s="3739" t="s">
        <v>1775</v>
      </c>
      <c r="Q4" s="3740"/>
      <c r="R4" s="3743" t="s">
        <v>1771</v>
      </c>
      <c r="S4" s="3744"/>
      <c r="T4" s="3743" t="s">
        <v>1772</v>
      </c>
      <c r="U4" s="3744"/>
      <c r="V4" s="3745" t="s">
        <v>1773</v>
      </c>
      <c r="W4" s="3745"/>
      <c r="X4" s="1957"/>
      <c r="Y4" s="3743" t="s">
        <v>1775</v>
      </c>
      <c r="Z4" s="3744"/>
      <c r="AA4" s="3747" t="s">
        <v>1771</v>
      </c>
      <c r="AB4" s="3747" t="s">
        <v>1772</v>
      </c>
      <c r="AC4" s="3736" t="s">
        <v>1773</v>
      </c>
    </row>
    <row r="5" spans="1:29" ht="15">
      <c r="A5" s="358"/>
      <c r="B5" s="359"/>
      <c r="C5" s="3731" t="s">
        <v>1673</v>
      </c>
      <c r="D5" s="3702"/>
      <c r="E5" s="3732" t="s">
        <v>1674</v>
      </c>
      <c r="F5" s="3709"/>
      <c r="G5" s="3731" t="s">
        <v>1675</v>
      </c>
      <c r="H5" s="3702"/>
      <c r="I5" s="3731" t="s">
        <v>1676</v>
      </c>
      <c r="J5" s="3702"/>
      <c r="K5" s="559"/>
      <c r="L5" s="2713"/>
      <c r="M5" s="2714"/>
      <c r="N5" s="2714"/>
      <c r="O5" s="2714"/>
      <c r="P5" s="3741"/>
      <c r="Q5" s="3690"/>
      <c r="R5" s="3695"/>
      <c r="S5" s="3696"/>
      <c r="T5" s="3695"/>
      <c r="U5" s="3696"/>
      <c r="V5" s="3678"/>
      <c r="W5" s="3678"/>
      <c r="X5" s="1354"/>
      <c r="Y5" s="3695"/>
      <c r="Z5" s="3696"/>
      <c r="AA5" s="3681"/>
      <c r="AB5" s="3681"/>
      <c r="AC5" s="3737"/>
    </row>
    <row r="6" spans="1:29" ht="15.75" thickBot="1">
      <c r="A6" s="360"/>
      <c r="B6" s="361"/>
      <c r="C6" s="3699" t="s">
        <v>1677</v>
      </c>
      <c r="D6" s="3700"/>
      <c r="E6" s="3706" t="s">
        <v>1677</v>
      </c>
      <c r="F6" s="3707"/>
      <c r="G6" s="3699" t="s">
        <v>1677</v>
      </c>
      <c r="H6" s="3700"/>
      <c r="I6" s="3699" t="s">
        <v>1677</v>
      </c>
      <c r="J6" s="3700"/>
      <c r="K6" s="559" t="s">
        <v>1678</v>
      </c>
      <c r="L6" s="2713"/>
      <c r="M6" s="2714"/>
      <c r="N6" s="2714"/>
      <c r="O6" s="2714"/>
      <c r="P6" s="3742"/>
      <c r="Q6" s="3692"/>
      <c r="R6" s="3695"/>
      <c r="S6" s="3696"/>
      <c r="T6" s="3697"/>
      <c r="U6" s="3698"/>
      <c r="V6" s="3678"/>
      <c r="W6" s="3678"/>
      <c r="X6" s="1354"/>
      <c r="Y6" s="3697"/>
      <c r="Z6" s="3698"/>
      <c r="AA6" s="3682"/>
      <c r="AB6" s="3682"/>
      <c r="AC6" s="3738"/>
    </row>
    <row r="7" spans="1:29" s="108" customFormat="1" ht="15.75" thickBot="1">
      <c r="A7" s="362" t="s">
        <v>1679</v>
      </c>
      <c r="B7" s="363"/>
      <c r="C7" s="364">
        <f>'数据-取费表'!B2</f>
        <v>45435</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46" t="s">
        <v>1680</v>
      </c>
      <c r="Q7" s="3705"/>
      <c r="R7" s="700" t="s">
        <v>14</v>
      </c>
      <c r="S7" s="701">
        <f t="shared" ref="S7:S15" si="0">F7</f>
        <v>0</v>
      </c>
      <c r="T7" s="700" t="s">
        <v>14</v>
      </c>
      <c r="U7" s="701">
        <f t="shared" ref="U7:U15" si="1">H7</f>
        <v>0</v>
      </c>
      <c r="V7" s="700" t="s">
        <v>14</v>
      </c>
      <c r="W7" s="701">
        <f t="shared" ref="W7:W15" si="2">J7</f>
        <v>0</v>
      </c>
      <c r="X7" s="702"/>
      <c r="Y7" s="3703" t="s">
        <v>1680</v>
      </c>
      <c r="Z7" s="3704"/>
      <c r="AA7" s="703" t="e">
        <f>D7/F7</f>
        <v>#DIV/0!</v>
      </c>
      <c r="AB7" s="703"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46" t="s">
        <v>1683</v>
      </c>
      <c r="Q8" s="3704"/>
      <c r="R8" s="700" t="s">
        <v>14</v>
      </c>
      <c r="S8" s="701">
        <f t="shared" si="0"/>
        <v>100</v>
      </c>
      <c r="T8" s="700" t="s">
        <v>14</v>
      </c>
      <c r="U8" s="701">
        <f t="shared" si="1"/>
        <v>100</v>
      </c>
      <c r="V8" s="700" t="s">
        <v>14</v>
      </c>
      <c r="W8" s="701">
        <f t="shared" si="2"/>
        <v>100</v>
      </c>
      <c r="X8" s="702"/>
      <c r="Y8" s="3703" t="s">
        <v>1683</v>
      </c>
      <c r="Z8" s="3704"/>
      <c r="AA8" s="703">
        <f t="shared" ref="AA8:AA47" si="3">D8/F8</f>
        <v>1</v>
      </c>
      <c r="AB8" s="703">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9"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1958">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7"/>
      <c r="M10" s="2718"/>
      <c r="N10" s="2718"/>
      <c r="O10" s="2718"/>
      <c r="P10" s="3679"/>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9"/>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5"/>
      <c r="M12" s="2716"/>
      <c r="N12" s="2716"/>
      <c r="O12" s="2716"/>
      <c r="P12" s="3679"/>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0"/>
      <c r="M13" s="2714"/>
      <c r="N13" s="2714"/>
      <c r="O13" s="2714"/>
      <c r="P13" s="3679"/>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0"/>
      <c r="M14" s="2714"/>
      <c r="N14" s="2714"/>
      <c r="O14" s="2714"/>
      <c r="P14" s="3679"/>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1958">
        <f t="shared" si="5"/>
        <v>1</v>
      </c>
    </row>
    <row r="15" spans="1:29" ht="71.25">
      <c r="A15" s="391" t="s">
        <v>1690</v>
      </c>
      <c r="B15" s="576"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69" t="s">
        <v>1691</v>
      </c>
      <c r="Q15" s="1351" t="str">
        <f t="shared" si="6"/>
        <v>办公集聚程度</v>
      </c>
      <c r="R15" s="704" t="s">
        <v>14</v>
      </c>
      <c r="S15" s="705">
        <f t="shared" si="0"/>
        <v>100</v>
      </c>
      <c r="T15" s="704" t="s">
        <v>14</v>
      </c>
      <c r="U15" s="705">
        <f t="shared" si="1"/>
        <v>100</v>
      </c>
      <c r="V15" s="704" t="s">
        <v>14</v>
      </c>
      <c r="W15" s="705">
        <f t="shared" si="2"/>
        <v>100</v>
      </c>
      <c r="X15" s="1354"/>
      <c r="Y15" s="3671" t="s">
        <v>1691</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0"/>
      <c r="M16" s="2714"/>
      <c r="N16" s="2714"/>
      <c r="O16" s="2714"/>
      <c r="P16" s="3670"/>
      <c r="Q16" s="1351"/>
      <c r="R16" s="704"/>
      <c r="S16" s="705"/>
      <c r="T16" s="704"/>
      <c r="U16" s="705"/>
      <c r="V16" s="704"/>
      <c r="W16" s="705"/>
      <c r="X16" s="1354"/>
      <c r="Y16" s="3672"/>
      <c r="Z16" s="1355"/>
      <c r="AA16" s="1352">
        <v>1</v>
      </c>
      <c r="AB16" s="1352">
        <v>1</v>
      </c>
      <c r="AC16" s="1961">
        <v>1</v>
      </c>
    </row>
    <row r="17" spans="1:29" ht="71.25">
      <c r="A17" s="379"/>
      <c r="B17" s="578"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0"/>
      <c r="Q17" s="1351" t="str">
        <f>B17</f>
        <v>交通便捷度</v>
      </c>
      <c r="R17" s="704" t="s">
        <v>14</v>
      </c>
      <c r="S17" s="705">
        <f>F17</f>
        <v>100</v>
      </c>
      <c r="T17" s="704" t="s">
        <v>14</v>
      </c>
      <c r="U17" s="705">
        <f>H17</f>
        <v>100</v>
      </c>
      <c r="V17" s="704" t="s">
        <v>14</v>
      </c>
      <c r="W17" s="705">
        <f>J17</f>
        <v>100</v>
      </c>
      <c r="X17" s="1354"/>
      <c r="Y17" s="3672"/>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0"/>
      <c r="M18" s="2714"/>
      <c r="N18" s="2714"/>
      <c r="O18" s="2714"/>
      <c r="P18" s="3670"/>
      <c r="Q18" s="1351"/>
      <c r="R18" s="704"/>
      <c r="S18" s="705"/>
      <c r="T18" s="704"/>
      <c r="U18" s="705"/>
      <c r="V18" s="704"/>
      <c r="W18" s="705"/>
      <c r="X18" s="1354"/>
      <c r="Y18" s="3672"/>
      <c r="Z18" s="1355"/>
      <c r="AA18" s="1352">
        <v>1</v>
      </c>
      <c r="AB18" s="1352">
        <v>1</v>
      </c>
      <c r="AC18" s="1961">
        <v>1</v>
      </c>
    </row>
    <row r="19" spans="1:29" ht="42.75">
      <c r="A19" s="379"/>
      <c r="B19" s="578"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0"/>
      <c r="Q19" s="1351" t="str">
        <f>B19</f>
        <v>公共配套设施</v>
      </c>
      <c r="R19" s="704" t="s">
        <v>14</v>
      </c>
      <c r="S19" s="705">
        <f>F19</f>
        <v>100</v>
      </c>
      <c r="T19" s="704" t="s">
        <v>14</v>
      </c>
      <c r="U19" s="705">
        <f>H19</f>
        <v>100</v>
      </c>
      <c r="V19" s="704" t="s">
        <v>14</v>
      </c>
      <c r="W19" s="705">
        <f>J19</f>
        <v>100</v>
      </c>
      <c r="X19" s="1354"/>
      <c r="Y19" s="3672"/>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0"/>
      <c r="M20" s="2714"/>
      <c r="N20" s="2714"/>
      <c r="O20" s="2714"/>
      <c r="P20" s="3670"/>
      <c r="Q20" s="1351"/>
      <c r="R20" s="704"/>
      <c r="S20" s="705"/>
      <c r="T20" s="704"/>
      <c r="U20" s="705"/>
      <c r="V20" s="704"/>
      <c r="W20" s="705"/>
      <c r="X20" s="1354"/>
      <c r="Y20" s="3672"/>
      <c r="Z20" s="1355"/>
      <c r="AA20" s="1352">
        <v>1</v>
      </c>
      <c r="AB20" s="1352">
        <v>1</v>
      </c>
      <c r="AC20" s="1961">
        <v>1</v>
      </c>
    </row>
    <row r="21" spans="1:29" ht="28.5">
      <c r="A21" s="379"/>
      <c r="B21" s="580"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0"/>
      <c r="Q21" s="1351" t="str">
        <f>B21</f>
        <v>基础设施水平</v>
      </c>
      <c r="R21" s="704" t="s">
        <v>14</v>
      </c>
      <c r="S21" s="705">
        <f>F21</f>
        <v>100</v>
      </c>
      <c r="T21" s="704" t="s">
        <v>14</v>
      </c>
      <c r="U21" s="705">
        <f>H21</f>
        <v>100</v>
      </c>
      <c r="V21" s="704" t="s">
        <v>14</v>
      </c>
      <c r="W21" s="705">
        <f>J21</f>
        <v>100</v>
      </c>
      <c r="X21" s="1354"/>
      <c r="Y21" s="3672"/>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0"/>
      <c r="M22" s="2714"/>
      <c r="N22" s="2714"/>
      <c r="O22" s="2714"/>
      <c r="P22" s="3670"/>
      <c r="Q22" s="1351"/>
      <c r="R22" s="704"/>
      <c r="S22" s="705"/>
      <c r="T22" s="704"/>
      <c r="U22" s="705"/>
      <c r="V22" s="704"/>
      <c r="W22" s="705"/>
      <c r="X22" s="1354"/>
      <c r="Y22" s="3672"/>
      <c r="Z22" s="1355"/>
      <c r="AA22" s="1352">
        <v>1</v>
      </c>
      <c r="AB22" s="1352">
        <v>1</v>
      </c>
      <c r="AC22" s="1961">
        <v>1</v>
      </c>
    </row>
    <row r="23" spans="1:29" ht="42.75">
      <c r="A23" s="379"/>
      <c r="B23" s="578"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0"/>
      <c r="Q23" s="1351" t="str">
        <f>B23</f>
        <v>环境质量</v>
      </c>
      <c r="R23" s="704" t="s">
        <v>14</v>
      </c>
      <c r="S23" s="705">
        <f>F23</f>
        <v>100</v>
      </c>
      <c r="T23" s="704" t="s">
        <v>14</v>
      </c>
      <c r="U23" s="705">
        <f>H23</f>
        <v>100</v>
      </c>
      <c r="V23" s="704" t="s">
        <v>14</v>
      </c>
      <c r="W23" s="705">
        <f>J23</f>
        <v>100</v>
      </c>
      <c r="X23" s="1354"/>
      <c r="Y23" s="3672"/>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0"/>
      <c r="M24" s="2714"/>
      <c r="N24" s="2714"/>
      <c r="O24" s="2714"/>
      <c r="P24" s="3670"/>
      <c r="Q24" s="1351"/>
      <c r="R24" s="704"/>
      <c r="S24" s="705"/>
      <c r="T24" s="704"/>
      <c r="U24" s="705"/>
      <c r="V24" s="704"/>
      <c r="W24" s="705"/>
      <c r="X24" s="1354"/>
      <c r="Y24" s="3672"/>
      <c r="Z24" s="1355"/>
      <c r="AA24" s="1352">
        <v>1</v>
      </c>
      <c r="AB24" s="1352">
        <v>1</v>
      </c>
      <c r="AC24" s="1961">
        <v>1</v>
      </c>
    </row>
    <row r="25" spans="1:29" ht="27">
      <c r="A25" s="358"/>
      <c r="B25" s="578"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0"/>
      <c r="M25" s="2714"/>
      <c r="N25" s="2714"/>
      <c r="O25" s="2714"/>
      <c r="P25" s="3670"/>
      <c r="Q25" s="1351" t="str">
        <f>B25</f>
        <v>毗邻道路的类型与等级</v>
      </c>
      <c r="R25" s="704" t="s">
        <v>14</v>
      </c>
      <c r="S25" s="705">
        <f>F25</f>
        <v>100</v>
      </c>
      <c r="T25" s="704" t="s">
        <v>14</v>
      </c>
      <c r="U25" s="705">
        <f>H25</f>
        <v>100</v>
      </c>
      <c r="V25" s="704" t="s">
        <v>14</v>
      </c>
      <c r="W25" s="705">
        <f>J25</f>
        <v>100</v>
      </c>
      <c r="X25" s="1354"/>
      <c r="Y25" s="3672"/>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0"/>
      <c r="M26" s="2714"/>
      <c r="N26" s="2714"/>
      <c r="O26" s="2714"/>
      <c r="P26" s="3670"/>
      <c r="Q26" s="1351"/>
      <c r="R26" s="704"/>
      <c r="S26" s="705"/>
      <c r="T26" s="704"/>
      <c r="U26" s="705"/>
      <c r="V26" s="704"/>
      <c r="W26" s="705"/>
      <c r="X26" s="1354"/>
      <c r="Y26" s="3672"/>
      <c r="Z26" s="1355"/>
      <c r="AA26" s="1352">
        <v>1</v>
      </c>
      <c r="AB26" s="1352">
        <v>1</v>
      </c>
      <c r="AC26" s="1961">
        <v>1</v>
      </c>
    </row>
    <row r="27" spans="1:29" ht="15">
      <c r="A27" s="379"/>
      <c r="B27" s="579" t="s">
        <v>1783</v>
      </c>
      <c r="C27" s="581"/>
      <c r="D27" s="386">
        <v>100</v>
      </c>
      <c r="E27" s="565"/>
      <c r="F27" s="386">
        <f>SUMIF(89:89,E27,90:90)-SUMIF(89:89,C27,90:90)+100</f>
        <v>100</v>
      </c>
      <c r="G27" s="581"/>
      <c r="H27" s="386">
        <f>SUMIF(89:89,G27,90:90)-SUMIF(89:89,C27,90:90)+100</f>
        <v>100</v>
      </c>
      <c r="I27" s="565"/>
      <c r="J27" s="386">
        <f>SUMIF(89:89,I27,90:90)-SUMIF(89:89,C27,90:90)+100</f>
        <v>100</v>
      </c>
      <c r="K27" s="561"/>
      <c r="L27" s="2720"/>
      <c r="M27" s="2714"/>
      <c r="N27" s="2714"/>
      <c r="O27" s="2714"/>
      <c r="P27" s="3670"/>
      <c r="Q27" s="1351" t="str">
        <f t="shared" ref="Q27:Q47" si="11">B27</f>
        <v>楼层</v>
      </c>
      <c r="R27" s="704" t="s">
        <v>14</v>
      </c>
      <c r="S27" s="705">
        <f>F27</f>
        <v>100</v>
      </c>
      <c r="T27" s="704" t="s">
        <v>14</v>
      </c>
      <c r="U27" s="705">
        <f>H27</f>
        <v>100</v>
      </c>
      <c r="V27" s="704" t="s">
        <v>14</v>
      </c>
      <c r="W27" s="705">
        <f>J27</f>
        <v>100</v>
      </c>
      <c r="X27" s="1354"/>
      <c r="Y27" s="3672"/>
      <c r="Z27" s="1355" t="str">
        <f>Q27</f>
        <v>楼层</v>
      </c>
      <c r="AA27" s="1352">
        <f t="shared" si="3"/>
        <v>1</v>
      </c>
      <c r="AB27" s="1352">
        <f t="shared" si="4"/>
        <v>1</v>
      </c>
      <c r="AC27" s="1961">
        <f t="shared" si="5"/>
        <v>1</v>
      </c>
    </row>
    <row r="28" spans="1:29" s="108" customFormat="1" ht="15">
      <c r="A28" s="382"/>
      <c r="B28" s="578"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5"/>
      <c r="M28" s="2716"/>
      <c r="N28" s="2716"/>
      <c r="O28" s="2716"/>
      <c r="P28" s="3670"/>
      <c r="Q28" s="1342" t="str">
        <f t="shared" si="11"/>
        <v>朝向</v>
      </c>
      <c r="R28" s="700" t="s">
        <v>14</v>
      </c>
      <c r="S28" s="701">
        <f>F28</f>
        <v>100</v>
      </c>
      <c r="T28" s="700" t="s">
        <v>14</v>
      </c>
      <c r="U28" s="701">
        <f>H28</f>
        <v>100</v>
      </c>
      <c r="V28" s="700" t="s">
        <v>14</v>
      </c>
      <c r="W28" s="701">
        <f>J28</f>
        <v>100</v>
      </c>
      <c r="X28" s="702"/>
      <c r="Y28" s="3672"/>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0"/>
      <c r="M29" s="2714"/>
      <c r="N29" s="2714"/>
      <c r="O29" s="2714"/>
      <c r="P29" s="3670"/>
      <c r="Q29" s="1351">
        <f t="shared" si="11"/>
        <v>111</v>
      </c>
      <c r="R29" s="704" t="s">
        <v>14</v>
      </c>
      <c r="S29" s="705">
        <f t="shared" ref="S29:S47" si="12">F29</f>
        <v>100</v>
      </c>
      <c r="T29" s="704" t="s">
        <v>14</v>
      </c>
      <c r="U29" s="705">
        <f t="shared" ref="U29:U47" si="13">H29</f>
        <v>100</v>
      </c>
      <c r="V29" s="704" t="s">
        <v>14</v>
      </c>
      <c r="W29" s="705">
        <f t="shared" ref="W29:W47" si="14">J29</f>
        <v>100</v>
      </c>
      <c r="X29" s="1354"/>
      <c r="Y29" s="3672"/>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0"/>
      <c r="M30" s="2714"/>
      <c r="N30" s="2714"/>
      <c r="O30" s="2714"/>
      <c r="P30" s="3670"/>
      <c r="Q30" s="1351">
        <f t="shared" si="11"/>
        <v>111</v>
      </c>
      <c r="R30" s="704" t="s">
        <v>14</v>
      </c>
      <c r="S30" s="705">
        <f t="shared" si="12"/>
        <v>100</v>
      </c>
      <c r="T30" s="704" t="s">
        <v>14</v>
      </c>
      <c r="U30" s="705">
        <f t="shared" si="13"/>
        <v>100</v>
      </c>
      <c r="V30" s="704" t="s">
        <v>14</v>
      </c>
      <c r="W30" s="705">
        <f t="shared" si="14"/>
        <v>100</v>
      </c>
      <c r="X30" s="1354"/>
      <c r="Y30" s="3672"/>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0"/>
      <c r="M31" s="2714"/>
      <c r="N31" s="2714"/>
      <c r="O31" s="2714"/>
      <c r="P31" s="3670"/>
      <c r="Q31" s="1351">
        <f t="shared" si="11"/>
        <v>111</v>
      </c>
      <c r="R31" s="704" t="s">
        <v>14</v>
      </c>
      <c r="S31" s="705">
        <f t="shared" si="12"/>
        <v>100</v>
      </c>
      <c r="T31" s="704" t="s">
        <v>14</v>
      </c>
      <c r="U31" s="705">
        <f t="shared" si="13"/>
        <v>100</v>
      </c>
      <c r="V31" s="704" t="s">
        <v>14</v>
      </c>
      <c r="W31" s="705">
        <f t="shared" si="14"/>
        <v>100</v>
      </c>
      <c r="X31" s="1354"/>
      <c r="Y31" s="3672"/>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0"/>
      <c r="M32" s="2714"/>
      <c r="N32" s="2714"/>
      <c r="O32" s="2714"/>
      <c r="P32" s="3670"/>
      <c r="Q32" s="1351">
        <f t="shared" si="11"/>
        <v>111</v>
      </c>
      <c r="R32" s="704" t="s">
        <v>14</v>
      </c>
      <c r="S32" s="705">
        <f t="shared" si="12"/>
        <v>100</v>
      </c>
      <c r="T32" s="704" t="s">
        <v>14</v>
      </c>
      <c r="U32" s="705">
        <f t="shared" si="13"/>
        <v>100</v>
      </c>
      <c r="V32" s="704" t="s">
        <v>14</v>
      </c>
      <c r="W32" s="705">
        <f t="shared" si="14"/>
        <v>100</v>
      </c>
      <c r="X32" s="1354"/>
      <c r="Y32" s="3672"/>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0"/>
      <c r="M33" s="2714"/>
      <c r="N33" s="2714"/>
      <c r="O33" s="2714"/>
      <c r="P33" s="3673" t="s">
        <v>1696</v>
      </c>
      <c r="Q33" s="1351" t="str">
        <f t="shared" si="11"/>
        <v>建筑类型</v>
      </c>
      <c r="R33" s="704" t="s">
        <v>14</v>
      </c>
      <c r="S33" s="705">
        <f t="shared" si="12"/>
        <v>100</v>
      </c>
      <c r="T33" s="704" t="s">
        <v>14</v>
      </c>
      <c r="U33" s="705">
        <f t="shared" si="13"/>
        <v>100</v>
      </c>
      <c r="V33" s="704" t="s">
        <v>14</v>
      </c>
      <c r="W33" s="705">
        <f t="shared" si="14"/>
        <v>100</v>
      </c>
      <c r="X33" s="1354"/>
      <c r="Y33" s="3676"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74"/>
      <c r="Q34" s="706" t="str">
        <f t="shared" si="11"/>
        <v>项目建筑规模</v>
      </c>
      <c r="R34" s="707" t="s">
        <v>14</v>
      </c>
      <c r="S34" s="708" t="e">
        <f t="shared" si="12"/>
        <v>#N/A</v>
      </c>
      <c r="T34" s="707" t="s">
        <v>14</v>
      </c>
      <c r="U34" s="708" t="e">
        <f t="shared" si="13"/>
        <v>#N/A</v>
      </c>
      <c r="V34" s="707" t="s">
        <v>14</v>
      </c>
      <c r="W34" s="708" t="e">
        <f t="shared" si="14"/>
        <v>#N/A</v>
      </c>
      <c r="X34" s="709"/>
      <c r="Y34" s="3676"/>
      <c r="Z34" s="710"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4"/>
      <c r="Q35" s="1351" t="str">
        <f t="shared" si="11"/>
        <v>建筑结构</v>
      </c>
      <c r="R35" s="704" t="s">
        <v>14</v>
      </c>
      <c r="S35" s="705">
        <f t="shared" si="12"/>
        <v>100</v>
      </c>
      <c r="T35" s="704" t="s">
        <v>14</v>
      </c>
      <c r="U35" s="705">
        <f t="shared" si="13"/>
        <v>100</v>
      </c>
      <c r="V35" s="704" t="s">
        <v>14</v>
      </c>
      <c r="W35" s="705">
        <f t="shared" si="14"/>
        <v>100</v>
      </c>
      <c r="X35" s="1354"/>
      <c r="Y35" s="3676"/>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4"/>
      <c r="Q36" s="1351" t="str">
        <f t="shared" si="11"/>
        <v>公共部分装修</v>
      </c>
      <c r="R36" s="704" t="s">
        <v>14</v>
      </c>
      <c r="S36" s="705">
        <f t="shared" si="12"/>
        <v>100</v>
      </c>
      <c r="T36" s="704" t="s">
        <v>14</v>
      </c>
      <c r="U36" s="705">
        <f t="shared" si="13"/>
        <v>100</v>
      </c>
      <c r="V36" s="704" t="s">
        <v>14</v>
      </c>
      <c r="W36" s="705">
        <f t="shared" si="14"/>
        <v>100</v>
      </c>
      <c r="X36" s="1354"/>
      <c r="Y36" s="3676"/>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74"/>
      <c r="Q37" s="1351" t="str">
        <f t="shared" si="11"/>
        <v>成新度</v>
      </c>
      <c r="R37" s="704" t="s">
        <v>14</v>
      </c>
      <c r="S37" s="705" t="e">
        <f t="shared" si="12"/>
        <v>#N/A</v>
      </c>
      <c r="T37" s="704" t="s">
        <v>14</v>
      </c>
      <c r="U37" s="705" t="e">
        <f t="shared" si="13"/>
        <v>#N/A</v>
      </c>
      <c r="V37" s="704" t="s">
        <v>14</v>
      </c>
      <c r="W37" s="705" t="e">
        <f t="shared" si="14"/>
        <v>#N/A</v>
      </c>
      <c r="X37" s="1354"/>
      <c r="Y37" s="3676"/>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4"/>
      <c r="Q38" s="1342" t="str">
        <f t="shared" si="11"/>
        <v>写字楼等级</v>
      </c>
      <c r="R38" s="700" t="s">
        <v>14</v>
      </c>
      <c r="S38" s="701">
        <f t="shared" si="12"/>
        <v>100</v>
      </c>
      <c r="T38" s="700" t="s">
        <v>14</v>
      </c>
      <c r="U38" s="701">
        <f t="shared" si="13"/>
        <v>100</v>
      </c>
      <c r="V38" s="700" t="s">
        <v>14</v>
      </c>
      <c r="W38" s="701">
        <f t="shared" si="14"/>
        <v>100</v>
      </c>
      <c r="X38" s="702"/>
      <c r="Y38" s="3676"/>
      <c r="Z38" s="52"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4" t="s">
        <v>1696</v>
      </c>
      <c r="Q39" s="1351" t="str">
        <f t="shared" si="11"/>
        <v>物业管理</v>
      </c>
      <c r="R39" s="704" t="s">
        <v>14</v>
      </c>
      <c r="S39" s="705">
        <f t="shared" si="12"/>
        <v>100</v>
      </c>
      <c r="T39" s="704" t="s">
        <v>14</v>
      </c>
      <c r="U39" s="705">
        <f t="shared" si="13"/>
        <v>100</v>
      </c>
      <c r="V39" s="704" t="s">
        <v>14</v>
      </c>
      <c r="W39" s="705">
        <f t="shared" si="14"/>
        <v>100</v>
      </c>
      <c r="X39" s="1354"/>
      <c r="Y39" s="3676"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4"/>
      <c r="Q40" s="1351" t="str">
        <f t="shared" si="11"/>
        <v>市政基础设施</v>
      </c>
      <c r="R40" s="704" t="s">
        <v>14</v>
      </c>
      <c r="S40" s="705">
        <f t="shared" si="12"/>
        <v>100</v>
      </c>
      <c r="T40" s="704" t="s">
        <v>14</v>
      </c>
      <c r="U40" s="705">
        <f t="shared" si="13"/>
        <v>100</v>
      </c>
      <c r="V40" s="704" t="s">
        <v>14</v>
      </c>
      <c r="W40" s="705">
        <f t="shared" si="14"/>
        <v>100</v>
      </c>
      <c r="X40" s="1354"/>
      <c r="Y40" s="3676"/>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4"/>
      <c r="Q41" s="1351" t="str">
        <f t="shared" si="11"/>
        <v>层高</v>
      </c>
      <c r="R41" s="704" t="s">
        <v>14</v>
      </c>
      <c r="S41" s="705">
        <f t="shared" si="12"/>
        <v>100</v>
      </c>
      <c r="T41" s="704" t="s">
        <v>14</v>
      </c>
      <c r="U41" s="705">
        <f t="shared" si="13"/>
        <v>100</v>
      </c>
      <c r="V41" s="704" t="s">
        <v>14</v>
      </c>
      <c r="W41" s="705">
        <f t="shared" si="14"/>
        <v>100</v>
      </c>
      <c r="X41" s="1354"/>
      <c r="Y41" s="3676"/>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4"/>
      <c r="Q42" s="706" t="str">
        <f t="shared" si="11"/>
        <v>单套建筑面积</v>
      </c>
      <c r="R42" s="707" t="s">
        <v>14</v>
      </c>
      <c r="S42" s="708">
        <f t="shared" si="12"/>
        <v>100</v>
      </c>
      <c r="T42" s="707" t="s">
        <v>14</v>
      </c>
      <c r="U42" s="708">
        <f t="shared" si="13"/>
        <v>100</v>
      </c>
      <c r="V42" s="707" t="s">
        <v>14</v>
      </c>
      <c r="W42" s="708">
        <f t="shared" si="14"/>
        <v>100</v>
      </c>
      <c r="X42" s="709"/>
      <c r="Y42" s="3676"/>
      <c r="Z42" s="710"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4"/>
      <c r="Q43" s="1351" t="str">
        <f t="shared" si="11"/>
        <v>内部装修</v>
      </c>
      <c r="R43" s="704" t="s">
        <v>14</v>
      </c>
      <c r="S43" s="705">
        <f t="shared" si="12"/>
        <v>100</v>
      </c>
      <c r="T43" s="704" t="s">
        <v>14</v>
      </c>
      <c r="U43" s="705">
        <f t="shared" si="13"/>
        <v>100</v>
      </c>
      <c r="V43" s="704" t="s">
        <v>14</v>
      </c>
      <c r="W43" s="705">
        <f t="shared" si="14"/>
        <v>100</v>
      </c>
      <c r="X43" s="1354"/>
      <c r="Y43" s="3676"/>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0"/>
      <c r="M44" s="2714"/>
      <c r="N44" s="2714"/>
      <c r="O44" s="2714"/>
      <c r="P44" s="3674"/>
      <c r="Q44" s="1351" t="str">
        <f t="shared" si="11"/>
        <v>内部装修维护情况</v>
      </c>
      <c r="R44" s="704" t="s">
        <v>14</v>
      </c>
      <c r="S44" s="705">
        <f t="shared" si="12"/>
        <v>100</v>
      </c>
      <c r="T44" s="704" t="s">
        <v>14</v>
      </c>
      <c r="U44" s="705">
        <f t="shared" si="13"/>
        <v>100</v>
      </c>
      <c r="V44" s="704" t="s">
        <v>14</v>
      </c>
      <c r="W44" s="705">
        <f t="shared" si="14"/>
        <v>100</v>
      </c>
      <c r="X44" s="1354"/>
      <c r="Y44" s="3676"/>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4"/>
      <c r="Q45" s="1342">
        <f t="shared" si="11"/>
        <v>111</v>
      </c>
      <c r="R45" s="700" t="s">
        <v>14</v>
      </c>
      <c r="S45" s="701">
        <f t="shared" si="12"/>
        <v>100</v>
      </c>
      <c r="T45" s="700" t="s">
        <v>14</v>
      </c>
      <c r="U45" s="701">
        <f t="shared" si="13"/>
        <v>100</v>
      </c>
      <c r="V45" s="700" t="s">
        <v>14</v>
      </c>
      <c r="W45" s="701">
        <f t="shared" si="14"/>
        <v>100</v>
      </c>
      <c r="X45" s="702"/>
      <c r="Y45" s="3676"/>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4"/>
      <c r="Q46" s="1351">
        <f t="shared" si="11"/>
        <v>111</v>
      </c>
      <c r="R46" s="704" t="s">
        <v>14</v>
      </c>
      <c r="S46" s="705">
        <f t="shared" si="12"/>
        <v>100</v>
      </c>
      <c r="T46" s="704" t="s">
        <v>14</v>
      </c>
      <c r="U46" s="705">
        <f t="shared" si="13"/>
        <v>100</v>
      </c>
      <c r="V46" s="704" t="s">
        <v>14</v>
      </c>
      <c r="W46" s="705">
        <f t="shared" si="14"/>
        <v>100</v>
      </c>
      <c r="X46" s="1354"/>
      <c r="Y46" s="3676"/>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5"/>
      <c r="Q47" s="1351">
        <f t="shared" si="11"/>
        <v>111</v>
      </c>
      <c r="R47" s="704" t="s">
        <v>14</v>
      </c>
      <c r="S47" s="705">
        <f t="shared" si="12"/>
        <v>100</v>
      </c>
      <c r="T47" s="704" t="s">
        <v>14</v>
      </c>
      <c r="U47" s="705">
        <f t="shared" si="13"/>
        <v>100</v>
      </c>
      <c r="V47" s="704" t="s">
        <v>14</v>
      </c>
      <c r="W47" s="705">
        <f t="shared" si="14"/>
        <v>100</v>
      </c>
      <c r="X47" s="1354"/>
      <c r="Y47" s="3677"/>
      <c r="Z47" s="1355">
        <f t="shared" si="15"/>
        <v>111</v>
      </c>
      <c r="AA47" s="1352">
        <f t="shared" si="3"/>
        <v>1</v>
      </c>
      <c r="AB47" s="1352">
        <f t="shared" si="4"/>
        <v>1</v>
      </c>
      <c r="AC47" s="1961">
        <f t="shared" si="5"/>
        <v>1</v>
      </c>
    </row>
    <row r="48" spans="1:29" ht="15">
      <c r="A48" s="430" t="s">
        <v>1708</v>
      </c>
      <c r="B48" s="431"/>
      <c r="C48" s="1153" t="s">
        <v>0</v>
      </c>
      <c r="D48" s="1154"/>
      <c r="E48" s="1155"/>
      <c r="F48" s="1156"/>
      <c r="G48" s="1157"/>
      <c r="H48" s="1158"/>
      <c r="I48" s="1155"/>
      <c r="J48" s="436"/>
      <c r="K48" s="713"/>
      <c r="L48" s="2722"/>
      <c r="M48" s="2714"/>
      <c r="N48" s="2714"/>
      <c r="O48" s="2714"/>
      <c r="P48" s="3679" t="str">
        <f>A48</f>
        <v>成交单价（元/平方米）</v>
      </c>
      <c r="Q48" s="3664"/>
      <c r="R48" s="3665">
        <f>E48</f>
        <v>0</v>
      </c>
      <c r="S48" s="3665"/>
      <c r="T48" s="3665">
        <f>G48</f>
        <v>0</v>
      </c>
      <c r="U48" s="3665"/>
      <c r="V48" s="3665">
        <f>I48</f>
        <v>0</v>
      </c>
      <c r="W48" s="3665"/>
      <c r="X48" s="397"/>
      <c r="Y48" s="711"/>
      <c r="Z48" s="397"/>
      <c r="AA48" s="397"/>
      <c r="AB48" s="397"/>
      <c r="AC48" s="577"/>
    </row>
    <row r="49" spans="1:29" ht="15.75" thickBot="1">
      <c r="A49" s="437" t="s">
        <v>1793</v>
      </c>
      <c r="B49" s="438"/>
      <c r="C49" s="1159" t="e">
        <f>R50</f>
        <v>#DIV/0!</v>
      </c>
      <c r="D49" s="2316" t="s">
        <v>2138</v>
      </c>
      <c r="E49" s="1160" t="e">
        <f>R49</f>
        <v>#DIV/0!</v>
      </c>
      <c r="F49" s="2317"/>
      <c r="G49" s="1159" t="e">
        <f>T49</f>
        <v>#DIV/0!</v>
      </c>
      <c r="H49" s="2317"/>
      <c r="I49" s="1160" t="e">
        <f>V49</f>
        <v>#DIV/0!</v>
      </c>
      <c r="J49" s="2317"/>
      <c r="K49" s="2319">
        <f>F49+H49+J49</f>
        <v>0</v>
      </c>
      <c r="L49" s="2722"/>
      <c r="M49" s="2714"/>
      <c r="N49" s="2714"/>
      <c r="O49" s="2714"/>
      <c r="P49" s="3679"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7"/>
    </row>
    <row r="50" spans="1:29" ht="15.75" thickBot="1">
      <c r="A50" s="441" t="s">
        <v>1794</v>
      </c>
      <c r="B50" s="442"/>
      <c r="C50" s="1162" t="e">
        <f>R50</f>
        <v>#DIV/0!</v>
      </c>
      <c r="D50" s="1162"/>
      <c r="E50" s="1162"/>
      <c r="F50" s="1162"/>
      <c r="G50" s="1162"/>
      <c r="H50" s="1162"/>
      <c r="I50" s="1162"/>
      <c r="J50" s="443"/>
      <c r="K50" s="714"/>
      <c r="L50" s="2722"/>
      <c r="M50" s="2714"/>
      <c r="N50" s="2714"/>
      <c r="O50" s="2714"/>
      <c r="P50" s="3733" t="str">
        <f>A50</f>
        <v>估价对象XX用房的比较价值（楼面单价，元/平方米）</v>
      </c>
      <c r="Q50" s="3734"/>
      <c r="R50" s="3735" t="e">
        <f>IF(F1="售价",ROUND(IF(D49="简单平均",AVERAGE(R49:V49),R49*F49+T49*H49+V49*J49),0),ROUND(IF(D49="简单平均",AVERAGE(R49:V49),R49*F49+T49*H49+V49*J49),1))</f>
        <v>#DIV/0!</v>
      </c>
      <c r="S50" s="3735"/>
      <c r="T50" s="3735"/>
      <c r="U50" s="3735"/>
      <c r="V50" s="3735"/>
      <c r="W50" s="3735"/>
      <c r="X50" s="1945"/>
      <c r="Y50" s="1945"/>
      <c r="Z50" s="1945"/>
      <c r="AA50" s="1945"/>
      <c r="AB50" s="1945"/>
      <c r="AC50" s="1946"/>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3" t="s">
        <v>1798</v>
      </c>
      <c r="B58" s="689"/>
      <c r="C58" s="694"/>
      <c r="D58" s="694"/>
      <c r="E58" s="694"/>
      <c r="F58" s="695"/>
      <c r="G58" s="695"/>
      <c r="H58" s="694"/>
      <c r="I58" s="694"/>
      <c r="J58" s="694"/>
      <c r="K58" s="696"/>
      <c r="L58" s="941"/>
      <c r="M58" s="939"/>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7"/>
      <c r="Q59" s="2739"/>
      <c r="R59" s="2739"/>
      <c r="S59" s="2739"/>
      <c r="T59" s="2739"/>
      <c r="U59" s="2739"/>
      <c r="V59" s="2739"/>
      <c r="W59" s="2739"/>
      <c r="X59" s="2739"/>
      <c r="Y59" s="2739"/>
      <c r="Z59" s="2739"/>
      <c r="AA59" s="2739"/>
      <c r="AB59" s="2739"/>
      <c r="AC59" s="2739"/>
    </row>
    <row r="60" spans="1:29" s="108" customFormat="1" ht="15">
      <c r="A60" s="458"/>
      <c r="B60" s="459"/>
      <c r="C60" s="1182">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7" t="s">
        <v>1799</v>
      </c>
      <c r="D83" s="607" t="s">
        <v>1800</v>
      </c>
      <c r="E83" s="607" t="s">
        <v>1801</v>
      </c>
      <c r="F83" s="607" t="s">
        <v>1802</v>
      </c>
      <c r="G83" s="607" t="s">
        <v>1803</v>
      </c>
      <c r="H83" s="488"/>
      <c r="I83" s="488"/>
      <c r="J83" s="488"/>
      <c r="K83" s="488"/>
      <c r="L83" s="488"/>
      <c r="M83" s="1128"/>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6"/>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7"/>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0"/>
      <c r="J111" s="570"/>
      <c r="K111" s="571"/>
      <c r="L111" s="572"/>
      <c r="M111" s="573"/>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3" t="s">
        <v>1825</v>
      </c>
      <c r="C119" s="532"/>
      <c r="D119" s="532"/>
      <c r="E119" s="532"/>
      <c r="F119" s="532"/>
      <c r="G119" s="532"/>
      <c r="H119" s="532"/>
      <c r="I119" s="532"/>
      <c r="J119" s="532"/>
      <c r="K119" s="532"/>
      <c r="L119" s="1967"/>
      <c r="M119" s="1968"/>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7"/>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314.25</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83" t="s">
        <v>1770</v>
      </c>
      <c r="D4" s="3684"/>
      <c r="E4" s="3685" t="s">
        <v>1771</v>
      </c>
      <c r="F4" s="3686"/>
      <c r="G4" s="3683" t="s">
        <v>1772</v>
      </c>
      <c r="H4" s="3684"/>
      <c r="I4" s="3683" t="s">
        <v>1773</v>
      </c>
      <c r="J4" s="3684"/>
      <c r="K4" s="559" t="s">
        <v>1774</v>
      </c>
      <c r="L4" s="912"/>
      <c r="M4" s="913"/>
      <c r="N4" s="913"/>
      <c r="O4" s="913"/>
      <c r="P4" s="3687" t="s">
        <v>1775</v>
      </c>
      <c r="Q4" s="3688"/>
      <c r="R4" s="3693" t="s">
        <v>1771</v>
      </c>
      <c r="S4" s="3694"/>
      <c r="T4" s="3693" t="s">
        <v>1772</v>
      </c>
      <c r="U4" s="3694"/>
      <c r="V4" s="3678" t="s">
        <v>1773</v>
      </c>
      <c r="W4" s="3678"/>
      <c r="X4" s="1354"/>
      <c r="Y4" s="3693" t="s">
        <v>1775</v>
      </c>
      <c r="Z4" s="3694"/>
      <c r="AA4" s="3680" t="s">
        <v>1771</v>
      </c>
      <c r="AB4" s="3681" t="s">
        <v>1772</v>
      </c>
      <c r="AC4" s="3680" t="s">
        <v>1773</v>
      </c>
    </row>
    <row r="5" spans="1:29" ht="15">
      <c r="A5" s="358"/>
      <c r="B5" s="359"/>
      <c r="C5" s="3731" t="s">
        <v>1673</v>
      </c>
      <c r="D5" s="3702"/>
      <c r="E5" s="3732" t="s">
        <v>1674</v>
      </c>
      <c r="F5" s="3709"/>
      <c r="G5" s="3731" t="s">
        <v>1675</v>
      </c>
      <c r="H5" s="3702"/>
      <c r="I5" s="3731" t="s">
        <v>1676</v>
      </c>
      <c r="J5" s="3702"/>
      <c r="K5" s="559"/>
      <c r="L5" s="912"/>
      <c r="M5" s="913"/>
      <c r="N5" s="913"/>
      <c r="O5" s="913"/>
      <c r="P5" s="3689"/>
      <c r="Q5" s="3690"/>
      <c r="R5" s="3695"/>
      <c r="S5" s="3696"/>
      <c r="T5" s="3695"/>
      <c r="U5" s="3696"/>
      <c r="V5" s="3678"/>
      <c r="W5" s="3678"/>
      <c r="X5" s="1354"/>
      <c r="Y5" s="3695"/>
      <c r="Z5" s="3696"/>
      <c r="AA5" s="3681"/>
      <c r="AB5" s="3681"/>
      <c r="AC5" s="3681"/>
    </row>
    <row r="6" spans="1:29" ht="15.75" thickBot="1">
      <c r="A6" s="360"/>
      <c r="B6" s="361"/>
      <c r="C6" s="3699" t="s">
        <v>1677</v>
      </c>
      <c r="D6" s="3700"/>
      <c r="E6" s="3706" t="s">
        <v>1677</v>
      </c>
      <c r="F6" s="3707"/>
      <c r="G6" s="3699" t="s">
        <v>1677</v>
      </c>
      <c r="H6" s="3700"/>
      <c r="I6" s="3699" t="s">
        <v>1677</v>
      </c>
      <c r="J6" s="3700"/>
      <c r="K6" s="559" t="s">
        <v>1678</v>
      </c>
      <c r="L6" s="912"/>
      <c r="M6" s="913"/>
      <c r="N6" s="913"/>
      <c r="O6" s="913"/>
      <c r="P6" s="3691"/>
      <c r="Q6" s="3692"/>
      <c r="R6" s="3695"/>
      <c r="S6" s="3696"/>
      <c r="T6" s="3697"/>
      <c r="U6" s="3698"/>
      <c r="V6" s="3678"/>
      <c r="W6" s="3678"/>
      <c r="X6" s="1354"/>
      <c r="Y6" s="3697"/>
      <c r="Z6" s="3698"/>
      <c r="AA6" s="3682"/>
      <c r="AB6" s="3682"/>
      <c r="AC6" s="3682"/>
    </row>
    <row r="7" spans="1:29" s="108" customFormat="1" ht="15.75" thickBot="1">
      <c r="A7" s="362" t="s">
        <v>1679</v>
      </c>
      <c r="B7" s="363"/>
      <c r="C7" s="364">
        <f>'数据-取费表'!B2</f>
        <v>45435</v>
      </c>
      <c r="D7" s="365">
        <v>100</v>
      </c>
      <c r="E7" s="366"/>
      <c r="F7" s="367">
        <f>SUMIF(52:52,YEAR(E7)&amp;"-"&amp;MONTH(E7),53:53)</f>
        <v>0</v>
      </c>
      <c r="G7" s="366"/>
      <c r="H7" s="365">
        <f>SUMIF(52:52,YEAR(G7)&amp;"-"&amp;MONTH(G7),53:53)</f>
        <v>0</v>
      </c>
      <c r="I7" s="366"/>
      <c r="J7" s="365">
        <f>SUMIF(52:52,YEAR(I7)&amp;"-"&amp;MONTH(I7),53:53)</f>
        <v>0</v>
      </c>
      <c r="K7" s="560"/>
      <c r="L7" s="914"/>
      <c r="M7" s="915"/>
      <c r="N7" s="915"/>
      <c r="O7" s="915"/>
      <c r="P7" s="3703" t="s">
        <v>1680</v>
      </c>
      <c r="Q7" s="3705"/>
      <c r="R7" s="700" t="s">
        <v>14</v>
      </c>
      <c r="S7" s="701">
        <f t="shared" ref="S7:S15" si="0">F7</f>
        <v>0</v>
      </c>
      <c r="T7" s="700" t="s">
        <v>14</v>
      </c>
      <c r="U7" s="701">
        <f t="shared" ref="U7:U15" si="1">H7</f>
        <v>0</v>
      </c>
      <c r="V7" s="700" t="s">
        <v>14</v>
      </c>
      <c r="W7" s="701">
        <f t="shared" ref="W7:W15" si="2">J7</f>
        <v>0</v>
      </c>
      <c r="X7" s="702"/>
      <c r="Y7" s="3703" t="s">
        <v>1680</v>
      </c>
      <c r="Z7" s="3704"/>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03" t="s">
        <v>1683</v>
      </c>
      <c r="Q8" s="3704"/>
      <c r="R8" s="700" t="s">
        <v>14</v>
      </c>
      <c r="S8" s="701">
        <f t="shared" si="0"/>
        <v>100</v>
      </c>
      <c r="T8" s="700" t="s">
        <v>14</v>
      </c>
      <c r="U8" s="701">
        <f t="shared" si="1"/>
        <v>100</v>
      </c>
      <c r="V8" s="700" t="s">
        <v>14</v>
      </c>
      <c r="W8" s="701">
        <f t="shared" si="2"/>
        <v>100</v>
      </c>
      <c r="X8" s="702"/>
      <c r="Y8" s="3703" t="s">
        <v>1683</v>
      </c>
      <c r="Z8" s="3704"/>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64"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664"/>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64"/>
      <c r="Q11" s="1342" t="str">
        <f t="shared" si="6"/>
        <v>容积率</v>
      </c>
      <c r="R11" s="700" t="s">
        <v>14</v>
      </c>
      <c r="S11" s="701">
        <f t="shared" si="0"/>
        <v>100</v>
      </c>
      <c r="T11" s="700" t="s">
        <v>14</v>
      </c>
      <c r="U11" s="701">
        <f t="shared" si="1"/>
        <v>100</v>
      </c>
      <c r="V11" s="700" t="s">
        <v>14</v>
      </c>
      <c r="W11" s="701">
        <f t="shared" si="2"/>
        <v>100</v>
      </c>
      <c r="X11" s="702"/>
      <c r="Y11" s="3559"/>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664"/>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664"/>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664"/>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71" t="s">
        <v>1691</v>
      </c>
      <c r="Q15" s="1351" t="str">
        <f t="shared" si="6"/>
        <v>产业集聚程度</v>
      </c>
      <c r="R15" s="704" t="s">
        <v>14</v>
      </c>
      <c r="S15" s="705">
        <f t="shared" si="0"/>
        <v>100</v>
      </c>
      <c r="T15" s="704" t="s">
        <v>14</v>
      </c>
      <c r="U15" s="705">
        <f t="shared" si="1"/>
        <v>100</v>
      </c>
      <c r="V15" s="704" t="s">
        <v>14</v>
      </c>
      <c r="W15" s="705">
        <f t="shared" si="2"/>
        <v>100</v>
      </c>
      <c r="X15" s="1354"/>
      <c r="Y15" s="3671"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672"/>
      <c r="Q16" s="1351"/>
      <c r="R16" s="704"/>
      <c r="S16" s="705"/>
      <c r="T16" s="704"/>
      <c r="U16" s="705"/>
      <c r="V16" s="704"/>
      <c r="W16" s="705"/>
      <c r="X16" s="1354"/>
      <c r="Y16" s="3672"/>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72"/>
      <c r="Q17" s="1351" t="str">
        <f>B17</f>
        <v>交通便捷度</v>
      </c>
      <c r="R17" s="704" t="s">
        <v>14</v>
      </c>
      <c r="S17" s="705">
        <f>F17</f>
        <v>100</v>
      </c>
      <c r="T17" s="704" t="s">
        <v>14</v>
      </c>
      <c r="U17" s="705">
        <f>H17</f>
        <v>100</v>
      </c>
      <c r="V17" s="704" t="s">
        <v>14</v>
      </c>
      <c r="W17" s="705">
        <f>J17</f>
        <v>100</v>
      </c>
      <c r="X17" s="1354"/>
      <c r="Y17" s="3672"/>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672"/>
      <c r="Q18" s="1351"/>
      <c r="R18" s="704"/>
      <c r="S18" s="705"/>
      <c r="T18" s="704"/>
      <c r="U18" s="705"/>
      <c r="V18" s="704"/>
      <c r="W18" s="705"/>
      <c r="X18" s="1354"/>
      <c r="Y18" s="3672"/>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72"/>
      <c r="Q19" s="1351" t="str">
        <f>B19</f>
        <v>公共配套设施</v>
      </c>
      <c r="R19" s="704" t="s">
        <v>14</v>
      </c>
      <c r="S19" s="705">
        <f>F19</f>
        <v>100</v>
      </c>
      <c r="T19" s="704" t="s">
        <v>14</v>
      </c>
      <c r="U19" s="705">
        <f>H19</f>
        <v>100</v>
      </c>
      <c r="V19" s="704" t="s">
        <v>14</v>
      </c>
      <c r="W19" s="705">
        <f>J19</f>
        <v>100</v>
      </c>
      <c r="X19" s="1354"/>
      <c r="Y19" s="3672"/>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672"/>
      <c r="Q20" s="1351"/>
      <c r="R20" s="704"/>
      <c r="S20" s="705"/>
      <c r="T20" s="704"/>
      <c r="U20" s="705"/>
      <c r="V20" s="704"/>
      <c r="W20" s="705"/>
      <c r="X20" s="1354"/>
      <c r="Y20" s="3672"/>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72"/>
      <c r="Q21" s="1351" t="str">
        <f>B21</f>
        <v>基础设施水平</v>
      </c>
      <c r="R21" s="704" t="s">
        <v>14</v>
      </c>
      <c r="S21" s="705">
        <f>F21</f>
        <v>100</v>
      </c>
      <c r="T21" s="704" t="s">
        <v>14</v>
      </c>
      <c r="U21" s="705">
        <f>H21</f>
        <v>100</v>
      </c>
      <c r="V21" s="704" t="s">
        <v>14</v>
      </c>
      <c r="W21" s="705">
        <f>J21</f>
        <v>100</v>
      </c>
      <c r="X21" s="1354"/>
      <c r="Y21" s="3672"/>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672"/>
      <c r="Q22" s="1351"/>
      <c r="R22" s="704"/>
      <c r="S22" s="705"/>
      <c r="T22" s="704"/>
      <c r="U22" s="705"/>
      <c r="V22" s="704"/>
      <c r="W22" s="705"/>
      <c r="X22" s="1354"/>
      <c r="Y22" s="3672"/>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72"/>
      <c r="Q23" s="1351" t="str">
        <f>B23</f>
        <v>环境质量</v>
      </c>
      <c r="R23" s="704" t="s">
        <v>14</v>
      </c>
      <c r="S23" s="705">
        <f>F23</f>
        <v>100</v>
      </c>
      <c r="T23" s="704" t="s">
        <v>14</v>
      </c>
      <c r="U23" s="705">
        <f>H23</f>
        <v>100</v>
      </c>
      <c r="V23" s="704" t="s">
        <v>14</v>
      </c>
      <c r="W23" s="705">
        <f>J23</f>
        <v>100</v>
      </c>
      <c r="X23" s="1354"/>
      <c r="Y23" s="3672"/>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672"/>
      <c r="Q24" s="1351"/>
      <c r="R24" s="704"/>
      <c r="S24" s="705"/>
      <c r="T24" s="704"/>
      <c r="U24" s="705"/>
      <c r="V24" s="704"/>
      <c r="W24" s="705"/>
      <c r="X24" s="1354"/>
      <c r="Y24" s="3672"/>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72"/>
      <c r="Q25" s="1351">
        <f>B25</f>
        <v>111</v>
      </c>
      <c r="R25" s="704" t="s">
        <v>14</v>
      </c>
      <c r="S25" s="705">
        <f>F25</f>
        <v>100</v>
      </c>
      <c r="T25" s="704" t="s">
        <v>14</v>
      </c>
      <c r="U25" s="705">
        <f>H25</f>
        <v>100</v>
      </c>
      <c r="V25" s="704" t="s">
        <v>14</v>
      </c>
      <c r="W25" s="705">
        <f>J25</f>
        <v>100</v>
      </c>
      <c r="X25" s="1354"/>
      <c r="Y25" s="3672"/>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72"/>
      <c r="Q26" s="1351">
        <f t="shared" ref="Q26:Q40" si="11">B26</f>
        <v>111</v>
      </c>
      <c r="R26" s="704" t="s">
        <v>14</v>
      </c>
      <c r="S26" s="705">
        <f>F26</f>
        <v>100</v>
      </c>
      <c r="T26" s="704" t="s">
        <v>14</v>
      </c>
      <c r="U26" s="705">
        <f>H26</f>
        <v>100</v>
      </c>
      <c r="V26" s="704" t="s">
        <v>14</v>
      </c>
      <c r="W26" s="705">
        <f>J26</f>
        <v>100</v>
      </c>
      <c r="X26" s="1354"/>
      <c r="Y26" s="3672"/>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72"/>
      <c r="Q27" s="1342">
        <f t="shared" si="11"/>
        <v>111</v>
      </c>
      <c r="R27" s="700" t="s">
        <v>14</v>
      </c>
      <c r="S27" s="701">
        <f>F27</f>
        <v>100</v>
      </c>
      <c r="T27" s="700" t="s">
        <v>14</v>
      </c>
      <c r="U27" s="701">
        <f>H27</f>
        <v>100</v>
      </c>
      <c r="V27" s="700" t="s">
        <v>14</v>
      </c>
      <c r="W27" s="701">
        <f>J27</f>
        <v>100</v>
      </c>
      <c r="X27" s="702"/>
      <c r="Y27" s="3672"/>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72"/>
      <c r="Q28" s="1351">
        <f t="shared" si="11"/>
        <v>111</v>
      </c>
      <c r="R28" s="704" t="s">
        <v>14</v>
      </c>
      <c r="S28" s="705">
        <f t="shared" ref="S28:S40" si="12">F28</f>
        <v>100</v>
      </c>
      <c r="T28" s="704" t="s">
        <v>14</v>
      </c>
      <c r="U28" s="705">
        <f t="shared" ref="U28:U40" si="13">H28</f>
        <v>100</v>
      </c>
      <c r="V28" s="704" t="s">
        <v>14</v>
      </c>
      <c r="W28" s="705">
        <f t="shared" ref="W28:W40" si="14">J28</f>
        <v>100</v>
      </c>
      <c r="X28" s="1354"/>
      <c r="Y28" s="3672"/>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48" t="s">
        <v>1696</v>
      </c>
      <c r="Q29" s="1351" t="str">
        <f t="shared" si="11"/>
        <v>建筑类型</v>
      </c>
      <c r="R29" s="704" t="s">
        <v>14</v>
      </c>
      <c r="S29" s="705">
        <f t="shared" si="12"/>
        <v>100</v>
      </c>
      <c r="T29" s="704" t="s">
        <v>14</v>
      </c>
      <c r="U29" s="705">
        <f t="shared" si="13"/>
        <v>100</v>
      </c>
      <c r="V29" s="704" t="s">
        <v>14</v>
      </c>
      <c r="W29" s="705">
        <f t="shared" si="14"/>
        <v>100</v>
      </c>
      <c r="X29" s="1354"/>
      <c r="Y29" s="3676"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76"/>
      <c r="Q30" s="706" t="str">
        <f t="shared" si="11"/>
        <v>项目建筑规模</v>
      </c>
      <c r="R30" s="707" t="s">
        <v>14</v>
      </c>
      <c r="S30" s="708" t="e">
        <f t="shared" si="12"/>
        <v>#N/A</v>
      </c>
      <c r="T30" s="707" t="s">
        <v>14</v>
      </c>
      <c r="U30" s="708" t="e">
        <f t="shared" si="13"/>
        <v>#N/A</v>
      </c>
      <c r="V30" s="707" t="s">
        <v>14</v>
      </c>
      <c r="W30" s="708" t="e">
        <f t="shared" si="14"/>
        <v>#N/A</v>
      </c>
      <c r="X30" s="709"/>
      <c r="Y30" s="3676"/>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76"/>
      <c r="Q31" s="1351" t="str">
        <f t="shared" si="11"/>
        <v>建筑结构</v>
      </c>
      <c r="R31" s="704" t="s">
        <v>14</v>
      </c>
      <c r="S31" s="705">
        <f t="shared" si="12"/>
        <v>100</v>
      </c>
      <c r="T31" s="704" t="s">
        <v>14</v>
      </c>
      <c r="U31" s="705">
        <f t="shared" si="13"/>
        <v>100</v>
      </c>
      <c r="V31" s="704" t="s">
        <v>14</v>
      </c>
      <c r="W31" s="705">
        <f t="shared" si="14"/>
        <v>100</v>
      </c>
      <c r="X31" s="1354"/>
      <c r="Y31" s="3676"/>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76"/>
      <c r="Q32" s="1351" t="str">
        <f t="shared" si="11"/>
        <v>公共部分装修</v>
      </c>
      <c r="R32" s="704" t="s">
        <v>14</v>
      </c>
      <c r="S32" s="705">
        <f t="shared" si="12"/>
        <v>100</v>
      </c>
      <c r="T32" s="704" t="s">
        <v>14</v>
      </c>
      <c r="U32" s="705">
        <f t="shared" si="13"/>
        <v>100</v>
      </c>
      <c r="V32" s="704" t="s">
        <v>14</v>
      </c>
      <c r="W32" s="705">
        <f t="shared" si="14"/>
        <v>100</v>
      </c>
      <c r="X32" s="1354"/>
      <c r="Y32" s="3676"/>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76"/>
      <c r="Q33" s="1351" t="str">
        <f t="shared" si="11"/>
        <v>成新度</v>
      </c>
      <c r="R33" s="704" t="s">
        <v>14</v>
      </c>
      <c r="S33" s="705" t="e">
        <f t="shared" si="12"/>
        <v>#N/A</v>
      </c>
      <c r="T33" s="704" t="s">
        <v>14</v>
      </c>
      <c r="U33" s="705" t="e">
        <f t="shared" si="13"/>
        <v>#N/A</v>
      </c>
      <c r="V33" s="704" t="s">
        <v>14</v>
      </c>
      <c r="W33" s="705" t="e">
        <f t="shared" si="14"/>
        <v>#N/A</v>
      </c>
      <c r="X33" s="1354"/>
      <c r="Y33" s="3676"/>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76"/>
      <c r="Q34" s="1342" t="str">
        <f t="shared" si="11"/>
        <v>物业管理</v>
      </c>
      <c r="R34" s="700" t="s">
        <v>14</v>
      </c>
      <c r="S34" s="701">
        <f t="shared" si="12"/>
        <v>100</v>
      </c>
      <c r="T34" s="700" t="s">
        <v>14</v>
      </c>
      <c r="U34" s="701">
        <f t="shared" si="13"/>
        <v>100</v>
      </c>
      <c r="V34" s="700" t="s">
        <v>14</v>
      </c>
      <c r="W34" s="701">
        <f t="shared" si="14"/>
        <v>100</v>
      </c>
      <c r="X34" s="702"/>
      <c r="Y34" s="3676"/>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76" t="s">
        <v>1696</v>
      </c>
      <c r="Q35" s="1351" t="str">
        <f t="shared" si="11"/>
        <v>市政基础设施</v>
      </c>
      <c r="R35" s="704" t="s">
        <v>14</v>
      </c>
      <c r="S35" s="705">
        <f t="shared" si="12"/>
        <v>100</v>
      </c>
      <c r="T35" s="704" t="s">
        <v>14</v>
      </c>
      <c r="U35" s="705">
        <f t="shared" si="13"/>
        <v>100</v>
      </c>
      <c r="V35" s="704" t="s">
        <v>14</v>
      </c>
      <c r="W35" s="705">
        <f t="shared" si="14"/>
        <v>100</v>
      </c>
      <c r="X35" s="1354"/>
      <c r="Y35" s="3676"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76"/>
      <c r="Q36" s="1351" t="str">
        <f t="shared" si="11"/>
        <v>内部装修</v>
      </c>
      <c r="R36" s="704" t="s">
        <v>14</v>
      </c>
      <c r="S36" s="705">
        <f t="shared" si="12"/>
        <v>100</v>
      </c>
      <c r="T36" s="704" t="s">
        <v>14</v>
      </c>
      <c r="U36" s="705">
        <f t="shared" si="13"/>
        <v>100</v>
      </c>
      <c r="V36" s="704" t="s">
        <v>14</v>
      </c>
      <c r="W36" s="705">
        <f t="shared" si="14"/>
        <v>100</v>
      </c>
      <c r="X36" s="1354"/>
      <c r="Y36" s="3676"/>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76"/>
      <c r="Q37" s="1351" t="str">
        <f t="shared" si="11"/>
        <v>内部装修状况</v>
      </c>
      <c r="R37" s="704" t="s">
        <v>14</v>
      </c>
      <c r="S37" s="705">
        <f t="shared" si="12"/>
        <v>100</v>
      </c>
      <c r="T37" s="704" t="s">
        <v>14</v>
      </c>
      <c r="U37" s="705">
        <f t="shared" si="13"/>
        <v>100</v>
      </c>
      <c r="V37" s="704" t="s">
        <v>14</v>
      </c>
      <c r="W37" s="705">
        <f t="shared" si="14"/>
        <v>100</v>
      </c>
      <c r="X37" s="1354"/>
      <c r="Y37" s="3676"/>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76"/>
      <c r="Q38" s="706">
        <f t="shared" si="11"/>
        <v>111</v>
      </c>
      <c r="R38" s="707" t="s">
        <v>14</v>
      </c>
      <c r="S38" s="708">
        <f t="shared" si="12"/>
        <v>100</v>
      </c>
      <c r="T38" s="707" t="s">
        <v>14</v>
      </c>
      <c r="U38" s="708">
        <f t="shared" si="13"/>
        <v>100</v>
      </c>
      <c r="V38" s="707" t="s">
        <v>14</v>
      </c>
      <c r="W38" s="708">
        <f t="shared" si="14"/>
        <v>100</v>
      </c>
      <c r="X38" s="709"/>
      <c r="Y38" s="3676"/>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76"/>
      <c r="Q39" s="1351">
        <f t="shared" si="11"/>
        <v>111</v>
      </c>
      <c r="R39" s="704" t="s">
        <v>14</v>
      </c>
      <c r="S39" s="705">
        <f t="shared" si="12"/>
        <v>100</v>
      </c>
      <c r="T39" s="704" t="s">
        <v>14</v>
      </c>
      <c r="U39" s="705">
        <f t="shared" si="13"/>
        <v>100</v>
      </c>
      <c r="V39" s="704" t="s">
        <v>14</v>
      </c>
      <c r="W39" s="705">
        <f t="shared" si="14"/>
        <v>100</v>
      </c>
      <c r="X39" s="1354"/>
      <c r="Y39" s="3676"/>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677"/>
      <c r="Q40" s="1351">
        <f t="shared" si="11"/>
        <v>111</v>
      </c>
      <c r="R40" s="704" t="s">
        <v>14</v>
      </c>
      <c r="S40" s="705">
        <f t="shared" si="12"/>
        <v>100</v>
      </c>
      <c r="T40" s="704" t="s">
        <v>14</v>
      </c>
      <c r="U40" s="705">
        <f t="shared" si="13"/>
        <v>100</v>
      </c>
      <c r="V40" s="704" t="s">
        <v>14</v>
      </c>
      <c r="W40" s="705">
        <f t="shared" si="14"/>
        <v>100</v>
      </c>
      <c r="X40" s="1354"/>
      <c r="Y40" s="3677"/>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664" t="str">
        <f>A41</f>
        <v>成交单价（元/平方米）</v>
      </c>
      <c r="Q41" s="3664"/>
      <c r="R41" s="3665">
        <f>E41</f>
        <v>0</v>
      </c>
      <c r="S41" s="3665"/>
      <c r="T41" s="3665">
        <f>G41</f>
        <v>0</v>
      </c>
      <c r="U41" s="3665"/>
      <c r="V41" s="3665">
        <f>I41</f>
        <v>0</v>
      </c>
      <c r="W41" s="3665"/>
      <c r="X41" s="689"/>
      <c r="Y41" s="711"/>
      <c r="Z41" s="689"/>
      <c r="AA41" s="689"/>
      <c r="AB41" s="689"/>
      <c r="AC41" s="689"/>
    </row>
    <row r="42" spans="1:29" ht="15.75" thickBot="1">
      <c r="A42" s="437" t="s">
        <v>1793</v>
      </c>
      <c r="B42" s="438"/>
      <c r="C42" s="1159" t="e">
        <f>R43</f>
        <v>#DIV/0!</v>
      </c>
      <c r="D42" s="2316" t="s">
        <v>2138</v>
      </c>
      <c r="E42" s="1160" t="e">
        <f>R42</f>
        <v>#DIV/0!</v>
      </c>
      <c r="F42" s="2317"/>
      <c r="G42" s="1159" t="e">
        <f>T42</f>
        <v>#DIV/0!</v>
      </c>
      <c r="H42" s="2317"/>
      <c r="I42" s="1160" t="e">
        <f>V42</f>
        <v>#DIV/0!</v>
      </c>
      <c r="J42" s="2317"/>
      <c r="K42" s="2319">
        <f>F42+H42+J42</f>
        <v>0</v>
      </c>
      <c r="L42" s="925"/>
      <c r="M42" s="926"/>
      <c r="N42" s="913"/>
      <c r="O42" s="926"/>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666" t="str">
        <f>A43</f>
        <v>估价对象XX用房的比较价值（楼面单价，元/平方米）</v>
      </c>
      <c r="Q43" s="3667"/>
      <c r="R43" s="3668" t="e">
        <f>IF(F1="售价",ROUND(IF(D42="简单平均",AVERAGE(R42:V42),R42*F42+T42*H42+V42*J42),0),ROUND(IF(D42="简单平均",AVERAGE(R42:V42),R42*F42+T42*H42+V42*J42),1))</f>
        <v>#DIV/0!</v>
      </c>
      <c r="S43" s="3668"/>
      <c r="T43" s="3668"/>
      <c r="U43" s="3668"/>
      <c r="V43" s="3668"/>
      <c r="W43" s="3668"/>
      <c r="X43" s="689"/>
      <c r="Y43" s="689"/>
      <c r="Z43" s="689"/>
      <c r="AA43" s="689"/>
      <c r="AB43" s="689"/>
      <c r="AC43" s="689"/>
    </row>
    <row r="44" spans="1:29">
      <c r="A44" s="2723"/>
      <c r="B44" s="2723"/>
      <c r="C44" s="2723"/>
      <c r="D44" s="2723"/>
      <c r="E44" s="2723"/>
      <c r="F44" s="2723"/>
      <c r="G44" s="2727"/>
      <c r="H44" s="2723"/>
      <c r="I44" s="2723"/>
      <c r="J44" s="2723"/>
      <c r="K44" s="2728"/>
      <c r="L44" s="888"/>
      <c r="M44" s="926"/>
      <c r="N44" s="926"/>
      <c r="O44" s="926"/>
    </row>
    <row r="45" spans="1:29">
      <c r="A45" s="2723"/>
      <c r="B45" s="2723"/>
      <c r="C45" s="2723"/>
      <c r="D45" s="2723"/>
      <c r="E45" s="2723"/>
      <c r="F45" s="2723"/>
      <c r="G45" s="2723"/>
      <c r="H45" s="2723"/>
      <c r="I45" s="2723"/>
      <c r="J45" s="2723"/>
      <c r="K45" s="2728"/>
      <c r="L45" s="888"/>
      <c r="M45" s="926"/>
      <c r="N45" s="926"/>
      <c r="O45" s="926"/>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8"/>
      <c r="M46" s="926"/>
      <c r="N46" s="926"/>
      <c r="O46" s="926"/>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8"/>
      <c r="M47" s="926"/>
      <c r="N47" s="926"/>
      <c r="O47" s="926"/>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9"/>
      <c r="M48" s="927"/>
      <c r="N48" s="927"/>
      <c r="O48" s="927"/>
    </row>
    <row r="49" spans="1:17" s="451" customFormat="1">
      <c r="A49" s="2726"/>
      <c r="B49" s="2729"/>
      <c r="C49" s="2730"/>
      <c r="D49" s="2726"/>
      <c r="E49" s="2726"/>
      <c r="F49" s="2726"/>
      <c r="G49" s="2726"/>
      <c r="H49" s="2726"/>
      <c r="I49" s="2726"/>
      <c r="J49" s="2726"/>
      <c r="K49" s="2731"/>
      <c r="L49" s="929"/>
      <c r="M49" s="927"/>
      <c r="N49" s="927"/>
      <c r="O49" s="927"/>
    </row>
    <row r="50" spans="1:17">
      <c r="A50" s="2723"/>
      <c r="B50" s="2729"/>
      <c r="C50" s="2730"/>
      <c r="D50" s="2723"/>
      <c r="E50" s="2723"/>
      <c r="F50" s="2723"/>
      <c r="G50" s="2723"/>
      <c r="H50" s="2723"/>
      <c r="I50" s="2723"/>
      <c r="J50" s="2723"/>
      <c r="K50" s="2728"/>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3337</v>
      </c>
      <c r="C1" s="1223" t="s">
        <v>1662</v>
      </c>
      <c r="D1" s="1224"/>
      <c r="E1" s="3430"/>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2"/>
      <c r="M2" s="2733"/>
      <c r="N2" s="2733"/>
      <c r="O2" s="2733"/>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2"/>
      <c r="M3" s="2733" t="e">
        <f ca="1">IF(C2="——",IF(B37="元/平方米",ROUND(C39*D3/10000,0),ROUND(F3*C39/10000,0)),IF(B37="元/平方米",ROUND(C39*D3/10000,0),ROUND(F3*C39/10000,0))-D2)</f>
        <v>#DIV/0!</v>
      </c>
      <c r="N3" s="2733"/>
      <c r="O3" s="2733"/>
      <c r="P3" s="1164"/>
      <c r="Q3" s="698"/>
      <c r="R3" s="698"/>
      <c r="S3" s="698"/>
      <c r="T3" s="698"/>
      <c r="U3" s="698"/>
      <c r="V3" s="698"/>
      <c r="W3" s="698"/>
      <c r="X3" s="698"/>
      <c r="Y3" s="698"/>
      <c r="Z3" s="698"/>
      <c r="AA3" s="698"/>
      <c r="AB3" s="715"/>
      <c r="AC3" s="712"/>
    </row>
    <row r="4" spans="1:29" ht="15">
      <c r="A4" s="355" t="s">
        <v>1769</v>
      </c>
      <c r="B4" s="356"/>
      <c r="C4" s="3683" t="s">
        <v>1770</v>
      </c>
      <c r="D4" s="3684"/>
      <c r="E4" s="3685" t="s">
        <v>1771</v>
      </c>
      <c r="F4" s="3686"/>
      <c r="G4" s="3683" t="s">
        <v>1772</v>
      </c>
      <c r="H4" s="3684"/>
      <c r="I4" s="3683" t="s">
        <v>1773</v>
      </c>
      <c r="J4" s="3684"/>
      <c r="K4" s="559" t="s">
        <v>1774</v>
      </c>
      <c r="L4" s="2713"/>
      <c r="M4" s="2714"/>
      <c r="N4" s="2714"/>
      <c r="O4" s="2714"/>
      <c r="P4" s="3687" t="s">
        <v>1775</v>
      </c>
      <c r="Q4" s="3688"/>
      <c r="R4" s="3693" t="s">
        <v>1771</v>
      </c>
      <c r="S4" s="3694"/>
      <c r="T4" s="3693" t="s">
        <v>1772</v>
      </c>
      <c r="U4" s="3694"/>
      <c r="V4" s="3678" t="s">
        <v>1773</v>
      </c>
      <c r="W4" s="3678"/>
      <c r="X4" s="1354"/>
      <c r="Y4" s="3693" t="s">
        <v>1775</v>
      </c>
      <c r="Z4" s="3694"/>
      <c r="AA4" s="3680" t="s">
        <v>1771</v>
      </c>
      <c r="AB4" s="3681" t="s">
        <v>1772</v>
      </c>
      <c r="AC4" s="3680" t="s">
        <v>1773</v>
      </c>
    </row>
    <row r="5" spans="1:29" ht="15">
      <c r="A5" s="358"/>
      <c r="B5" s="359"/>
      <c r="C5" s="3731" t="s">
        <v>1673</v>
      </c>
      <c r="D5" s="3702"/>
      <c r="E5" s="3732" t="s">
        <v>1674</v>
      </c>
      <c r="F5" s="3709"/>
      <c r="G5" s="3731" t="s">
        <v>1675</v>
      </c>
      <c r="H5" s="3702"/>
      <c r="I5" s="3731" t="s">
        <v>1676</v>
      </c>
      <c r="J5" s="3702"/>
      <c r="K5" s="559"/>
      <c r="L5" s="2713"/>
      <c r="M5" s="2714"/>
      <c r="N5" s="2714"/>
      <c r="O5" s="2714"/>
      <c r="P5" s="3689"/>
      <c r="Q5" s="3690"/>
      <c r="R5" s="3695"/>
      <c r="S5" s="3696"/>
      <c r="T5" s="3695"/>
      <c r="U5" s="3696"/>
      <c r="V5" s="3678"/>
      <c r="W5" s="3678"/>
      <c r="X5" s="1354"/>
      <c r="Y5" s="3695"/>
      <c r="Z5" s="3696"/>
      <c r="AA5" s="3681"/>
      <c r="AB5" s="3681"/>
      <c r="AC5" s="3681"/>
    </row>
    <row r="6" spans="1:29" ht="15.75" thickBot="1">
      <c r="A6" s="360"/>
      <c r="B6" s="361"/>
      <c r="C6" s="3699" t="s">
        <v>1677</v>
      </c>
      <c r="D6" s="3700"/>
      <c r="E6" s="3706" t="s">
        <v>1677</v>
      </c>
      <c r="F6" s="3707"/>
      <c r="G6" s="3699" t="s">
        <v>1677</v>
      </c>
      <c r="H6" s="3700"/>
      <c r="I6" s="3699" t="s">
        <v>1677</v>
      </c>
      <c r="J6" s="3700"/>
      <c r="K6" s="559" t="s">
        <v>1678</v>
      </c>
      <c r="L6" s="2713"/>
      <c r="M6" s="2714"/>
      <c r="N6" s="2714"/>
      <c r="O6" s="2714"/>
      <c r="P6" s="3691"/>
      <c r="Q6" s="3692"/>
      <c r="R6" s="3695"/>
      <c r="S6" s="3696"/>
      <c r="T6" s="3697"/>
      <c r="U6" s="3698"/>
      <c r="V6" s="3678"/>
      <c r="W6" s="3678"/>
      <c r="X6" s="1354"/>
      <c r="Y6" s="3697"/>
      <c r="Z6" s="3698"/>
      <c r="AA6" s="3682"/>
      <c r="AB6" s="3682"/>
      <c r="AC6" s="3682"/>
    </row>
    <row r="7" spans="1:29" s="108" customFormat="1" ht="15.75" thickBot="1">
      <c r="A7" s="362" t="s">
        <v>1679</v>
      </c>
      <c r="B7" s="363"/>
      <c r="C7" s="364">
        <f>'数据-取费表'!B2</f>
        <v>45435</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03" t="s">
        <v>1680</v>
      </c>
      <c r="Q7" s="3705"/>
      <c r="R7" s="700" t="s">
        <v>14</v>
      </c>
      <c r="S7" s="701">
        <f t="shared" ref="S7:S14" si="0">F7</f>
        <v>0</v>
      </c>
      <c r="T7" s="700" t="s">
        <v>14</v>
      </c>
      <c r="U7" s="701">
        <f t="shared" ref="U7:U14" si="1">H7</f>
        <v>0</v>
      </c>
      <c r="V7" s="700" t="s">
        <v>14</v>
      </c>
      <c r="W7" s="701">
        <f t="shared" ref="W7:W14" si="2">J7</f>
        <v>0</v>
      </c>
      <c r="X7" s="702"/>
      <c r="Y7" s="3703" t="s">
        <v>1680</v>
      </c>
      <c r="Z7" s="3704"/>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03" t="s">
        <v>1683</v>
      </c>
      <c r="Q8" s="3704"/>
      <c r="R8" s="700" t="s">
        <v>14</v>
      </c>
      <c r="S8" s="701">
        <f t="shared" si="0"/>
        <v>100</v>
      </c>
      <c r="T8" s="700" t="s">
        <v>14</v>
      </c>
      <c r="U8" s="701">
        <f t="shared" si="1"/>
        <v>100</v>
      </c>
      <c r="V8" s="700" t="s">
        <v>14</v>
      </c>
      <c r="W8" s="701">
        <f t="shared" si="2"/>
        <v>100</v>
      </c>
      <c r="X8" s="702"/>
      <c r="Y8" s="3703" t="s">
        <v>1683</v>
      </c>
      <c r="Z8" s="3704"/>
      <c r="AA8" s="703">
        <f t="shared" ref="AA8:AA36" si="3">D8/F8</f>
        <v>1</v>
      </c>
      <c r="AB8" s="703">
        <f t="shared" ref="AB8:AB36" si="4">D8/H8</f>
        <v>1</v>
      </c>
      <c r="AC8" s="703">
        <f t="shared" ref="AC8:AC36" si="5">D8/J8</f>
        <v>1</v>
      </c>
    </row>
    <row r="9" spans="1:29" s="108" customFormat="1">
      <c r="A9" s="60" t="s">
        <v>1684</v>
      </c>
      <c r="B9" s="587"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4" t="s">
        <v>1686</v>
      </c>
      <c r="Q9" s="1342" t="str">
        <f t="shared" ref="Q9:Q14" si="6">B9</f>
        <v>用途</v>
      </c>
      <c r="R9" s="700" t="s">
        <v>14</v>
      </c>
      <c r="S9" s="701">
        <f t="shared" si="0"/>
        <v>100</v>
      </c>
      <c r="T9" s="700" t="s">
        <v>14</v>
      </c>
      <c r="U9" s="701">
        <f t="shared" si="1"/>
        <v>100</v>
      </c>
      <c r="V9" s="700" t="s">
        <v>14</v>
      </c>
      <c r="W9" s="701">
        <f t="shared" si="2"/>
        <v>100</v>
      </c>
      <c r="X9" s="702"/>
      <c r="Y9" s="3559" t="s">
        <v>1687</v>
      </c>
      <c r="Z9" s="52" t="str">
        <f t="shared" ref="Z9:Z14" si="7">Q9</f>
        <v>用途</v>
      </c>
      <c r="AA9" s="703">
        <f t="shared" si="3"/>
        <v>1</v>
      </c>
      <c r="AB9" s="703">
        <f t="shared" si="4"/>
        <v>1</v>
      </c>
      <c r="AC9" s="703">
        <f t="shared" si="5"/>
        <v>1</v>
      </c>
    </row>
    <row r="10" spans="1:29" s="378" customFormat="1" ht="27">
      <c r="A10" s="588"/>
      <c r="B10" s="589"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7"/>
      <c r="M10" s="2718"/>
      <c r="N10" s="2718"/>
      <c r="O10" s="2718"/>
      <c r="P10" s="3664"/>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4"/>
      <c r="Q11" s="1342">
        <f t="shared" si="6"/>
        <v>111</v>
      </c>
      <c r="R11" s="700" t="s">
        <v>14</v>
      </c>
      <c r="S11" s="701">
        <f t="shared" si="0"/>
        <v>100</v>
      </c>
      <c r="T11" s="700" t="s">
        <v>14</v>
      </c>
      <c r="U11" s="701">
        <f t="shared" si="1"/>
        <v>100</v>
      </c>
      <c r="V11" s="700" t="s">
        <v>14</v>
      </c>
      <c r="W11" s="701">
        <f t="shared" si="2"/>
        <v>100</v>
      </c>
      <c r="X11" s="702"/>
      <c r="Y11" s="3559"/>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4"/>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4"/>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85.5">
      <c r="A14" s="355" t="s">
        <v>1690</v>
      </c>
      <c r="B14" s="576"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71" t="s">
        <v>1691</v>
      </c>
      <c r="Q14" s="1351" t="str">
        <f t="shared" si="6"/>
        <v>交通便捷度</v>
      </c>
      <c r="R14" s="704" t="s">
        <v>14</v>
      </c>
      <c r="S14" s="705">
        <f t="shared" si="0"/>
        <v>100</v>
      </c>
      <c r="T14" s="704" t="s">
        <v>14</v>
      </c>
      <c r="U14" s="705">
        <f t="shared" si="1"/>
        <v>100</v>
      </c>
      <c r="V14" s="704" t="s">
        <v>14</v>
      </c>
      <c r="W14" s="705">
        <f t="shared" si="2"/>
        <v>100</v>
      </c>
      <c r="X14" s="1354"/>
      <c r="Y14" s="3671" t="s">
        <v>1691</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0"/>
      <c r="M15" s="2714"/>
      <c r="N15" s="2714"/>
      <c r="O15" s="2714"/>
      <c r="P15" s="3672"/>
      <c r="Q15" s="1351"/>
      <c r="R15" s="704"/>
      <c r="S15" s="705"/>
      <c r="T15" s="704"/>
      <c r="U15" s="705"/>
      <c r="V15" s="704"/>
      <c r="W15" s="705"/>
      <c r="X15" s="1354"/>
      <c r="Y15" s="3672"/>
      <c r="Z15" s="1355"/>
      <c r="AA15" s="1352">
        <v>1</v>
      </c>
      <c r="AB15" s="1352">
        <v>1</v>
      </c>
      <c r="AC15" s="1352">
        <v>1</v>
      </c>
    </row>
    <row r="16" spans="1:29" ht="42.75">
      <c r="A16" s="358"/>
      <c r="B16" s="578"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2"/>
      <c r="Q16" s="1351" t="str">
        <f>B16</f>
        <v>公共配套设施</v>
      </c>
      <c r="R16" s="704" t="s">
        <v>14</v>
      </c>
      <c r="S16" s="705">
        <f>F16</f>
        <v>100</v>
      </c>
      <c r="T16" s="704" t="s">
        <v>14</v>
      </c>
      <c r="U16" s="705">
        <f>H16</f>
        <v>100</v>
      </c>
      <c r="V16" s="704" t="s">
        <v>14</v>
      </c>
      <c r="W16" s="705">
        <f>J16</f>
        <v>100</v>
      </c>
      <c r="X16" s="1354"/>
      <c r="Y16" s="3672"/>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0"/>
      <c r="M17" s="2714"/>
      <c r="N17" s="2714"/>
      <c r="O17" s="2714"/>
      <c r="P17" s="3672"/>
      <c r="Q17" s="1351"/>
      <c r="R17" s="704"/>
      <c r="S17" s="705"/>
      <c r="T17" s="704"/>
      <c r="U17" s="705"/>
      <c r="V17" s="704"/>
      <c r="W17" s="705"/>
      <c r="X17" s="1354"/>
      <c r="Y17" s="3672"/>
      <c r="Z17" s="1355"/>
      <c r="AA17" s="1352">
        <v>1</v>
      </c>
      <c r="AB17" s="1352">
        <v>1</v>
      </c>
      <c r="AC17" s="1352">
        <v>1</v>
      </c>
    </row>
    <row r="18" spans="1:29" ht="28.5">
      <c r="A18" s="358"/>
      <c r="B18" s="580"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2"/>
      <c r="Q18" s="1351" t="str">
        <f>B18</f>
        <v>基础设施水平</v>
      </c>
      <c r="R18" s="704" t="s">
        <v>14</v>
      </c>
      <c r="S18" s="705">
        <f>F18</f>
        <v>100</v>
      </c>
      <c r="T18" s="704" t="s">
        <v>14</v>
      </c>
      <c r="U18" s="705">
        <f>H18</f>
        <v>100</v>
      </c>
      <c r="V18" s="704" t="s">
        <v>14</v>
      </c>
      <c r="W18" s="705">
        <f>J18</f>
        <v>100</v>
      </c>
      <c r="X18" s="1354"/>
      <c r="Y18" s="3672"/>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0"/>
      <c r="M19" s="2714"/>
      <c r="N19" s="2714"/>
      <c r="O19" s="2714"/>
      <c r="P19" s="3672"/>
      <c r="Q19" s="1351"/>
      <c r="R19" s="704"/>
      <c r="S19" s="705"/>
      <c r="T19" s="704"/>
      <c r="U19" s="705"/>
      <c r="V19" s="704"/>
      <c r="W19" s="705"/>
      <c r="X19" s="1354"/>
      <c r="Y19" s="3672"/>
      <c r="Z19" s="1355"/>
      <c r="AA19" s="1352">
        <v>1</v>
      </c>
      <c r="AB19" s="1352">
        <v>1</v>
      </c>
      <c r="AC19" s="1352">
        <v>1</v>
      </c>
    </row>
    <row r="20" spans="1:29" ht="57">
      <c r="A20" s="358"/>
      <c r="B20" s="578"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2"/>
      <c r="Q20" s="1351" t="str">
        <f>B20</f>
        <v>自然及人文环境</v>
      </c>
      <c r="R20" s="704" t="s">
        <v>14</v>
      </c>
      <c r="S20" s="705">
        <f>F20</f>
        <v>100</v>
      </c>
      <c r="T20" s="704" t="s">
        <v>14</v>
      </c>
      <c r="U20" s="705">
        <f>H20</f>
        <v>100</v>
      </c>
      <c r="V20" s="704" t="s">
        <v>14</v>
      </c>
      <c r="W20" s="705">
        <f>J20</f>
        <v>100</v>
      </c>
      <c r="X20" s="1354"/>
      <c r="Y20" s="3672"/>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0"/>
      <c r="M21" s="2714"/>
      <c r="N21" s="2714"/>
      <c r="O21" s="2714"/>
      <c r="P21" s="3672"/>
      <c r="Q21" s="1351"/>
      <c r="R21" s="704"/>
      <c r="S21" s="705"/>
      <c r="T21" s="704"/>
      <c r="U21" s="705"/>
      <c r="V21" s="704"/>
      <c r="W21" s="705"/>
      <c r="X21" s="1354"/>
      <c r="Y21" s="3672"/>
      <c r="Z21" s="1355"/>
      <c r="AA21" s="1352">
        <v>1</v>
      </c>
      <c r="AB21" s="1352">
        <v>1</v>
      </c>
      <c r="AC21" s="1352">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2"/>
      <c r="Q22" s="1351" t="str">
        <f>B22</f>
        <v>楼层</v>
      </c>
      <c r="R22" s="704" t="s">
        <v>14</v>
      </c>
      <c r="S22" s="705">
        <f>F22</f>
        <v>100</v>
      </c>
      <c r="T22" s="704" t="s">
        <v>14</v>
      </c>
      <c r="U22" s="705">
        <f>H22</f>
        <v>100</v>
      </c>
      <c r="V22" s="704" t="s">
        <v>14</v>
      </c>
      <c r="W22" s="705">
        <f>J22</f>
        <v>100</v>
      </c>
      <c r="X22" s="1354"/>
      <c r="Y22" s="3672"/>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2"/>
      <c r="Q23" s="1351">
        <f>B23</f>
        <v>111</v>
      </c>
      <c r="R23" s="704" t="s">
        <v>14</v>
      </c>
      <c r="S23" s="705">
        <f>F23</f>
        <v>100</v>
      </c>
      <c r="T23" s="704" t="s">
        <v>14</v>
      </c>
      <c r="U23" s="705">
        <f>H23</f>
        <v>100</v>
      </c>
      <c r="V23" s="704" t="s">
        <v>14</v>
      </c>
      <c r="W23" s="705">
        <f>J23</f>
        <v>100</v>
      </c>
      <c r="X23" s="1354"/>
      <c r="Y23" s="3672"/>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2"/>
      <c r="Q24" s="1351">
        <f t="shared" ref="Q24:Q36" si="11">B24</f>
        <v>111</v>
      </c>
      <c r="R24" s="704" t="s">
        <v>14</v>
      </c>
      <c r="S24" s="705">
        <f>F24</f>
        <v>100</v>
      </c>
      <c r="T24" s="704" t="s">
        <v>14</v>
      </c>
      <c r="U24" s="705">
        <f>H24</f>
        <v>100</v>
      </c>
      <c r="V24" s="704" t="s">
        <v>14</v>
      </c>
      <c r="W24" s="705">
        <f>J24</f>
        <v>100</v>
      </c>
      <c r="X24" s="1354"/>
      <c r="Y24" s="3672"/>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5"/>
      <c r="M25" s="2716"/>
      <c r="N25" s="2716"/>
      <c r="O25" s="2716"/>
      <c r="P25" s="3672"/>
      <c r="Q25" s="1342">
        <f t="shared" si="11"/>
        <v>111</v>
      </c>
      <c r="R25" s="700" t="s">
        <v>14</v>
      </c>
      <c r="S25" s="701">
        <f>F25</f>
        <v>100</v>
      </c>
      <c r="T25" s="700" t="s">
        <v>14</v>
      </c>
      <c r="U25" s="701">
        <f>H25</f>
        <v>100</v>
      </c>
      <c r="V25" s="700" t="s">
        <v>14</v>
      </c>
      <c r="W25" s="701">
        <f>J25</f>
        <v>100</v>
      </c>
      <c r="X25" s="702"/>
      <c r="Y25" s="3672"/>
      <c r="Z25" s="52">
        <f>Q25</f>
        <v>111</v>
      </c>
      <c r="AA25" s="1352">
        <f>D25/F25</f>
        <v>1</v>
      </c>
      <c r="AB25" s="1352">
        <f>D25/H25</f>
        <v>1</v>
      </c>
      <c r="AC25" s="1352">
        <f>D25/J25</f>
        <v>1</v>
      </c>
    </row>
    <row r="26" spans="1:29" ht="28.5">
      <c r="A26" s="599"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8"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676" t="s">
        <v>1696</v>
      </c>
      <c r="Z26" s="1355" t="str">
        <f t="shared" ref="Z26:Z36" si="15">Q26</f>
        <v>配套类型</v>
      </c>
      <c r="AA26" s="1352" t="e">
        <f t="shared" si="3"/>
        <v>#DIV/0!</v>
      </c>
      <c r="AB26" s="1352" t="e">
        <f t="shared" si="4"/>
        <v>#DIV/0!</v>
      </c>
      <c r="AC26" s="1352" t="e">
        <f t="shared" si="5"/>
        <v>#DIV/0!</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19"/>
      <c r="M27" s="2721"/>
      <c r="N27" s="2721"/>
      <c r="O27" s="2721"/>
      <c r="P27" s="3676"/>
      <c r="Q27" s="706" t="str">
        <f t="shared" si="11"/>
        <v>项目停车位配比</v>
      </c>
      <c r="R27" s="707" t="s">
        <v>14</v>
      </c>
      <c r="S27" s="708">
        <f t="shared" si="12"/>
        <v>100</v>
      </c>
      <c r="T27" s="707" t="s">
        <v>14</v>
      </c>
      <c r="U27" s="708">
        <f t="shared" si="13"/>
        <v>100</v>
      </c>
      <c r="V27" s="707" t="s">
        <v>14</v>
      </c>
      <c r="W27" s="708">
        <f t="shared" si="14"/>
        <v>100</v>
      </c>
      <c r="X27" s="709"/>
      <c r="Y27" s="3676"/>
      <c r="Z27" s="710" t="str">
        <f t="shared" si="15"/>
        <v>项目停车位配比</v>
      </c>
      <c r="AA27" s="1352">
        <f t="shared" si="3"/>
        <v>1</v>
      </c>
      <c r="AB27" s="1352">
        <f t="shared" si="4"/>
        <v>1</v>
      </c>
      <c r="AC27" s="1352">
        <f t="shared" si="5"/>
        <v>1</v>
      </c>
    </row>
    <row r="28" spans="1:29" ht="15">
      <c r="A28" s="603"/>
      <c r="B28" s="601"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6"/>
      <c r="Q28" s="1351" t="str">
        <f t="shared" si="11"/>
        <v>公共部分装修</v>
      </c>
      <c r="R28" s="704" t="s">
        <v>14</v>
      </c>
      <c r="S28" s="705">
        <f t="shared" si="12"/>
        <v>100</v>
      </c>
      <c r="T28" s="704" t="s">
        <v>14</v>
      </c>
      <c r="U28" s="705">
        <f t="shared" si="13"/>
        <v>100</v>
      </c>
      <c r="V28" s="704" t="s">
        <v>14</v>
      </c>
      <c r="W28" s="705">
        <f t="shared" si="14"/>
        <v>100</v>
      </c>
      <c r="X28" s="1354"/>
      <c r="Y28" s="3676"/>
      <c r="Z28" s="1355" t="str">
        <f t="shared" si="15"/>
        <v>公共部分装修</v>
      </c>
      <c r="AA28" s="1352">
        <f t="shared" si="3"/>
        <v>1</v>
      </c>
      <c r="AB28" s="1352">
        <f t="shared" si="4"/>
        <v>1</v>
      </c>
      <c r="AC28" s="1352">
        <f t="shared" si="5"/>
        <v>1</v>
      </c>
    </row>
    <row r="29" spans="1:29" ht="15">
      <c r="A29" s="603"/>
      <c r="B29" s="601"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6"/>
      <c r="Q29" s="1351" t="str">
        <f t="shared" si="11"/>
        <v>成新率</v>
      </c>
      <c r="R29" s="704" t="s">
        <v>14</v>
      </c>
      <c r="S29" s="705" t="e">
        <f t="shared" si="12"/>
        <v>#N/A</v>
      </c>
      <c r="T29" s="704" t="s">
        <v>14</v>
      </c>
      <c r="U29" s="705" t="e">
        <f t="shared" si="13"/>
        <v>#N/A</v>
      </c>
      <c r="V29" s="704" t="s">
        <v>14</v>
      </c>
      <c r="W29" s="705" t="e">
        <f t="shared" si="14"/>
        <v>#N/A</v>
      </c>
      <c r="X29" s="1354"/>
      <c r="Y29" s="3676"/>
      <c r="Z29" s="1355" t="str">
        <f t="shared" si="15"/>
        <v>成新率</v>
      </c>
      <c r="AA29" s="1352" t="e">
        <f t="shared" si="3"/>
        <v>#N/A</v>
      </c>
      <c r="AB29" s="1352" t="e">
        <f t="shared" si="4"/>
        <v>#N/A</v>
      </c>
      <c r="AC29" s="1352" t="e">
        <f t="shared" si="5"/>
        <v>#N/A</v>
      </c>
    </row>
    <row r="30" spans="1:29" ht="15">
      <c r="A30" s="603"/>
      <c r="B30" s="601" t="s">
        <v>1840</v>
      </c>
      <c r="C30" s="604"/>
      <c r="D30" s="386">
        <v>100</v>
      </c>
      <c r="E30" s="604"/>
      <c r="F30" s="412">
        <f>SUMIF(88:88,E30,89:89)-SUMIF(88:88,C30,89:89)+100</f>
        <v>100</v>
      </c>
      <c r="G30" s="604"/>
      <c r="H30" s="386">
        <f>SUMIF(88:88,E30,89:89)-SUMIF(88:88,C30,89:89)+100</f>
        <v>100</v>
      </c>
      <c r="I30" s="604"/>
      <c r="J30" s="386">
        <f>SUMIF(88:88,E30,89:89)-SUMIF(88:88,C30,89:89)+100</f>
        <v>100</v>
      </c>
      <c r="K30" s="561"/>
      <c r="L30" s="2720"/>
      <c r="M30" s="2714"/>
      <c r="N30" s="2714"/>
      <c r="O30" s="2714"/>
      <c r="P30" s="3676"/>
      <c r="Q30" s="1351" t="str">
        <f t="shared" si="11"/>
        <v>物业等级</v>
      </c>
      <c r="R30" s="704" t="s">
        <v>14</v>
      </c>
      <c r="S30" s="705">
        <f t="shared" si="12"/>
        <v>100</v>
      </c>
      <c r="T30" s="704" t="s">
        <v>14</v>
      </c>
      <c r="U30" s="705">
        <f t="shared" si="13"/>
        <v>100</v>
      </c>
      <c r="V30" s="704" t="s">
        <v>14</v>
      </c>
      <c r="W30" s="705">
        <f t="shared" si="14"/>
        <v>100</v>
      </c>
      <c r="X30" s="1354"/>
      <c r="Y30" s="3676"/>
      <c r="Z30" s="1355" t="str">
        <f t="shared" si="15"/>
        <v>物业等级</v>
      </c>
      <c r="AA30" s="1352">
        <f t="shared" si="3"/>
        <v>1</v>
      </c>
      <c r="AB30" s="1352">
        <f t="shared" si="4"/>
        <v>1</v>
      </c>
      <c r="AC30" s="1352">
        <f t="shared" si="5"/>
        <v>1</v>
      </c>
    </row>
    <row r="31" spans="1:29" s="108" customFormat="1" ht="15">
      <c r="A31" s="605"/>
      <c r="B31" s="601"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6"/>
      <c r="Q31" s="1342" t="str">
        <f t="shared" si="11"/>
        <v>停车位面积</v>
      </c>
      <c r="R31" s="700" t="s">
        <v>14</v>
      </c>
      <c r="S31" s="701" t="e">
        <f t="shared" si="12"/>
        <v>#N/A</v>
      </c>
      <c r="T31" s="700" t="s">
        <v>14</v>
      </c>
      <c r="U31" s="701" t="e">
        <f t="shared" si="13"/>
        <v>#N/A</v>
      </c>
      <c r="V31" s="700" t="s">
        <v>14</v>
      </c>
      <c r="W31" s="701" t="e">
        <f t="shared" si="14"/>
        <v>#N/A</v>
      </c>
      <c r="X31" s="702"/>
      <c r="Y31" s="3676"/>
      <c r="Z31" s="52" t="str">
        <f t="shared" si="15"/>
        <v>停车位面积</v>
      </c>
      <c r="AA31" s="703" t="e">
        <f t="shared" si="3"/>
        <v>#N/A</v>
      </c>
      <c r="AB31" s="703" t="e">
        <f t="shared" si="4"/>
        <v>#N/A</v>
      </c>
      <c r="AC31" s="703" t="e">
        <f t="shared" si="5"/>
        <v>#N/A</v>
      </c>
    </row>
    <row r="32" spans="1:29" ht="15">
      <c r="A32" s="603"/>
      <c r="B32" s="601"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6" t="s">
        <v>1696</v>
      </c>
      <c r="Q32" s="1351" t="str">
        <f t="shared" si="11"/>
        <v>车位类型</v>
      </c>
      <c r="R32" s="704" t="s">
        <v>14</v>
      </c>
      <c r="S32" s="705">
        <f t="shared" si="12"/>
        <v>100</v>
      </c>
      <c r="T32" s="704" t="s">
        <v>14</v>
      </c>
      <c r="U32" s="705">
        <f t="shared" si="13"/>
        <v>100</v>
      </c>
      <c r="V32" s="704" t="s">
        <v>14</v>
      </c>
      <c r="W32" s="705">
        <f t="shared" si="14"/>
        <v>100</v>
      </c>
      <c r="X32" s="1354"/>
      <c r="Y32" s="3676" t="s">
        <v>1696</v>
      </c>
      <c r="Z32" s="1355" t="str">
        <f t="shared" si="15"/>
        <v>车位类型</v>
      </c>
      <c r="AA32" s="1352">
        <f t="shared" si="3"/>
        <v>1</v>
      </c>
      <c r="AB32" s="1352">
        <f t="shared" si="4"/>
        <v>1</v>
      </c>
      <c r="AC32" s="1352">
        <f t="shared" si="5"/>
        <v>1</v>
      </c>
    </row>
    <row r="33" spans="1:29" ht="15">
      <c r="A33" s="603"/>
      <c r="B33" s="601"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6"/>
      <c r="Q33" s="1351" t="str">
        <f t="shared" si="11"/>
        <v>是否直接入户</v>
      </c>
      <c r="R33" s="704" t="s">
        <v>14</v>
      </c>
      <c r="S33" s="705">
        <f t="shared" si="12"/>
        <v>100</v>
      </c>
      <c r="T33" s="704" t="s">
        <v>14</v>
      </c>
      <c r="U33" s="705">
        <f t="shared" si="13"/>
        <v>100</v>
      </c>
      <c r="V33" s="704" t="s">
        <v>14</v>
      </c>
      <c r="W33" s="705">
        <f t="shared" si="14"/>
        <v>100</v>
      </c>
      <c r="X33" s="1354"/>
      <c r="Y33" s="3676"/>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6"/>
      <c r="Q34" s="1351">
        <f t="shared" si="11"/>
        <v>111</v>
      </c>
      <c r="R34" s="704" t="s">
        <v>14</v>
      </c>
      <c r="S34" s="705">
        <f t="shared" si="12"/>
        <v>100</v>
      </c>
      <c r="T34" s="704" t="s">
        <v>14</v>
      </c>
      <c r="U34" s="705">
        <f t="shared" si="13"/>
        <v>100</v>
      </c>
      <c r="V34" s="704" t="s">
        <v>14</v>
      </c>
      <c r="W34" s="705">
        <f t="shared" si="14"/>
        <v>100</v>
      </c>
      <c r="X34" s="1354"/>
      <c r="Y34" s="3676"/>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6"/>
      <c r="Q35" s="706">
        <f t="shared" si="11"/>
        <v>111</v>
      </c>
      <c r="R35" s="707" t="s">
        <v>14</v>
      </c>
      <c r="S35" s="708">
        <f t="shared" si="12"/>
        <v>100</v>
      </c>
      <c r="T35" s="707" t="s">
        <v>14</v>
      </c>
      <c r="U35" s="708">
        <f t="shared" si="13"/>
        <v>100</v>
      </c>
      <c r="V35" s="707" t="s">
        <v>14</v>
      </c>
      <c r="W35" s="708">
        <f t="shared" si="14"/>
        <v>100</v>
      </c>
      <c r="X35" s="709"/>
      <c r="Y35" s="3676"/>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6"/>
      <c r="Q36" s="1351">
        <f t="shared" si="11"/>
        <v>111</v>
      </c>
      <c r="R36" s="704" t="s">
        <v>14</v>
      </c>
      <c r="S36" s="705">
        <f t="shared" si="12"/>
        <v>100</v>
      </c>
      <c r="T36" s="704" t="s">
        <v>14</v>
      </c>
      <c r="U36" s="705">
        <f t="shared" si="13"/>
        <v>100</v>
      </c>
      <c r="V36" s="704" t="s">
        <v>14</v>
      </c>
      <c r="W36" s="705">
        <f t="shared" si="14"/>
        <v>100</v>
      </c>
      <c r="X36" s="1354"/>
      <c r="Y36" s="3676"/>
      <c r="Z36" s="1355">
        <f t="shared" si="15"/>
        <v>111</v>
      </c>
      <c r="AA36" s="1352">
        <f t="shared" si="3"/>
        <v>1</v>
      </c>
      <c r="AB36" s="1352">
        <f t="shared" si="4"/>
        <v>1</v>
      </c>
      <c r="AC36" s="1352">
        <f t="shared" si="5"/>
        <v>1</v>
      </c>
    </row>
    <row r="37" spans="1:29" ht="15">
      <c r="A37" s="430" t="s">
        <v>1844</v>
      </c>
      <c r="B37" s="1972" t="s">
        <v>3357</v>
      </c>
      <c r="C37" s="1153" t="s">
        <v>0</v>
      </c>
      <c r="D37" s="1154"/>
      <c r="E37" s="1155"/>
      <c r="F37" s="1156"/>
      <c r="G37" s="1157"/>
      <c r="H37" s="1158"/>
      <c r="I37" s="1155"/>
      <c r="J37" s="1158"/>
      <c r="K37" s="567"/>
      <c r="L37" s="2722"/>
      <c r="M37" s="2723"/>
      <c r="N37" s="2714"/>
      <c r="O37" s="2723"/>
      <c r="P37" s="3664" t="str">
        <f>A37</f>
        <v>成交单价</v>
      </c>
      <c r="Q37" s="3664"/>
      <c r="R37" s="3665">
        <f>E37</f>
        <v>0</v>
      </c>
      <c r="S37" s="3665"/>
      <c r="T37" s="3665">
        <f>G37</f>
        <v>0</v>
      </c>
      <c r="U37" s="3665"/>
      <c r="V37" s="3665">
        <f>I37</f>
        <v>0</v>
      </c>
      <c r="W37" s="3665"/>
      <c r="X37" s="689"/>
      <c r="Y37" s="711"/>
      <c r="Z37" s="689"/>
      <c r="AA37" s="689"/>
      <c r="AB37" s="689"/>
      <c r="AC37" s="689"/>
    </row>
    <row r="38" spans="1:29" ht="15.75" thickBot="1">
      <c r="A38" s="437" t="s">
        <v>1845</v>
      </c>
      <c r="B38" s="438" t="str">
        <f>B37</f>
        <v>元/平方米</v>
      </c>
      <c r="C38" s="1159" t="e">
        <f>R39</f>
        <v>#DIV/0!</v>
      </c>
      <c r="D38" s="2316" t="s">
        <v>2138</v>
      </c>
      <c r="E38" s="1160" t="e">
        <f>R38</f>
        <v>#DIV/0!</v>
      </c>
      <c r="F38" s="2317"/>
      <c r="G38" s="1159" t="e">
        <f>T38</f>
        <v>#DIV/0!</v>
      </c>
      <c r="H38" s="2317"/>
      <c r="I38" s="1160" t="e">
        <f>V38</f>
        <v>#DIV/0!</v>
      </c>
      <c r="J38" s="2317"/>
      <c r="K38" s="2319">
        <f>F38+H38+J38</f>
        <v>0</v>
      </c>
      <c r="L38" s="2722"/>
      <c r="M38" s="2723"/>
      <c r="N38" s="2723"/>
      <c r="O38" s="2723"/>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8"/>
      <c r="L39" s="2722"/>
      <c r="M39" s="2723"/>
      <c r="N39" s="2723"/>
      <c r="O39" s="2723"/>
      <c r="P39" s="3666" t="str">
        <f>A39</f>
        <v>估价对象XX用房的比较价值（楼面单价，元/平方米）</v>
      </c>
      <c r="Q39" s="3667"/>
      <c r="R39" s="3749" t="e">
        <f>IF(F1="售价",ROUND(IF(D38="简单平均",AVERAGE(R38:W38),R38*F38+T38*H38+V38*J38),0),ROUND(IF(D38="简单平均",AVERAGE(R38:V38),R38*F38+T38*H38+V38*J38),1))</f>
        <v>#DIV/0!</v>
      </c>
      <c r="S39" s="3749"/>
      <c r="T39" s="3749"/>
      <c r="U39" s="3749"/>
      <c r="V39" s="3749"/>
      <c r="W39" s="3749"/>
      <c r="X39" s="689"/>
      <c r="Y39" s="689"/>
      <c r="Z39" s="689"/>
      <c r="AA39" s="689"/>
      <c r="AB39" s="689"/>
      <c r="AC39" s="689"/>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5" t="s">
        <v>1850</v>
      </c>
      <c r="B47" s="926"/>
      <c r="C47" s="939"/>
      <c r="D47" s="939"/>
      <c r="E47" s="939"/>
      <c r="F47" s="1166"/>
      <c r="G47" s="1166"/>
      <c r="H47" s="939"/>
      <c r="I47" s="939"/>
      <c r="J47" s="939"/>
      <c r="K47" s="940"/>
      <c r="L47" s="941"/>
      <c r="M47" s="939"/>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7"/>
      <c r="Q48" s="2739"/>
      <c r="R48" s="2739"/>
      <c r="S48" s="2739"/>
      <c r="T48" s="2739"/>
      <c r="U48" s="2739"/>
      <c r="V48" s="2739"/>
      <c r="W48" s="2739"/>
      <c r="X48" s="2739"/>
      <c r="Y48" s="2739"/>
      <c r="Z48" s="2739"/>
      <c r="AA48" s="2739"/>
      <c r="AB48" s="2739"/>
      <c r="AC48" s="2739"/>
    </row>
    <row r="49" spans="1:29" s="108" customFormat="1" ht="15">
      <c r="A49" s="458"/>
      <c r="B49" s="459"/>
      <c r="C49" s="1176">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6">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7">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7" t="s">
        <v>1799</v>
      </c>
      <c r="D67" s="607" t="s">
        <v>1800</v>
      </c>
      <c r="E67" s="607" t="s">
        <v>1801</v>
      </c>
      <c r="F67" s="607" t="s">
        <v>1802</v>
      </c>
      <c r="G67" s="607" t="s">
        <v>1803</v>
      </c>
      <c r="H67" s="488"/>
      <c r="I67" s="488"/>
      <c r="J67" s="488"/>
      <c r="K67" s="488"/>
      <c r="L67" s="488"/>
      <c r="M67" s="1128"/>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8"/>
      <c r="D81" s="608"/>
      <c r="E81" s="608"/>
      <c r="F81" s="608"/>
      <c r="G81" s="608"/>
      <c r="H81" s="608"/>
      <c r="I81" s="608"/>
      <c r="J81" s="608"/>
      <c r="K81" s="609"/>
      <c r="L81" s="610"/>
      <c r="M81" s="611"/>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0"/>
      <c r="J86" s="570"/>
      <c r="K86" s="571"/>
      <c r="L86" s="572"/>
      <c r="M86" s="573"/>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3">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0"/>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683" t="s">
        <v>1770</v>
      </c>
      <c r="D4" s="3684"/>
      <c r="E4" s="3685" t="s">
        <v>1771</v>
      </c>
      <c r="F4" s="3686"/>
      <c r="G4" s="3683" t="s">
        <v>1772</v>
      </c>
      <c r="H4" s="3684"/>
      <c r="I4" s="3683" t="s">
        <v>1773</v>
      </c>
      <c r="J4" s="3684"/>
      <c r="K4" s="559" t="s">
        <v>1774</v>
      </c>
      <c r="L4" s="2713"/>
      <c r="M4" s="2714"/>
      <c r="N4" s="2714"/>
      <c r="O4" s="2714"/>
      <c r="P4" s="3687" t="s">
        <v>1775</v>
      </c>
      <c r="Q4" s="3688"/>
      <c r="R4" s="3693" t="s">
        <v>1771</v>
      </c>
      <c r="S4" s="3694"/>
      <c r="T4" s="3693" t="s">
        <v>1772</v>
      </c>
      <c r="U4" s="3694"/>
      <c r="V4" s="3678" t="s">
        <v>1773</v>
      </c>
      <c r="W4" s="3678"/>
      <c r="X4" s="1354"/>
      <c r="Y4" s="3693" t="s">
        <v>1775</v>
      </c>
      <c r="Z4" s="3694"/>
      <c r="AA4" s="3680" t="s">
        <v>1771</v>
      </c>
      <c r="AB4" s="3681" t="s">
        <v>1772</v>
      </c>
      <c r="AC4" s="3680" t="s">
        <v>1773</v>
      </c>
    </row>
    <row r="5" spans="1:29" ht="15">
      <c r="A5" s="358"/>
      <c r="B5" s="359"/>
      <c r="C5" s="3731" t="s">
        <v>1673</v>
      </c>
      <c r="D5" s="3702"/>
      <c r="E5" s="3732" t="s">
        <v>1674</v>
      </c>
      <c r="F5" s="3709"/>
      <c r="G5" s="3731" t="s">
        <v>1675</v>
      </c>
      <c r="H5" s="3702"/>
      <c r="I5" s="3731" t="s">
        <v>1676</v>
      </c>
      <c r="J5" s="3702"/>
      <c r="K5" s="559"/>
      <c r="L5" s="2713"/>
      <c r="M5" s="2714"/>
      <c r="N5" s="2714"/>
      <c r="O5" s="2714"/>
      <c r="P5" s="3689"/>
      <c r="Q5" s="3690"/>
      <c r="R5" s="3695"/>
      <c r="S5" s="3696"/>
      <c r="T5" s="3695"/>
      <c r="U5" s="3696"/>
      <c r="V5" s="3678"/>
      <c r="W5" s="3678"/>
      <c r="X5" s="1354"/>
      <c r="Y5" s="3695"/>
      <c r="Z5" s="3696"/>
      <c r="AA5" s="3681"/>
      <c r="AB5" s="3681"/>
      <c r="AC5" s="3681"/>
    </row>
    <row r="6" spans="1:29" ht="15.75" thickBot="1">
      <c r="A6" s="360"/>
      <c r="B6" s="361"/>
      <c r="C6" s="3699" t="s">
        <v>1677</v>
      </c>
      <c r="D6" s="3700"/>
      <c r="E6" s="3706" t="s">
        <v>1677</v>
      </c>
      <c r="F6" s="3707"/>
      <c r="G6" s="3699" t="s">
        <v>1677</v>
      </c>
      <c r="H6" s="3700"/>
      <c r="I6" s="3699" t="s">
        <v>1677</v>
      </c>
      <c r="J6" s="3700"/>
      <c r="K6" s="559" t="s">
        <v>1678</v>
      </c>
      <c r="L6" s="2713"/>
      <c r="M6" s="2714"/>
      <c r="N6" s="2714"/>
      <c r="O6" s="2714"/>
      <c r="P6" s="3691"/>
      <c r="Q6" s="3692"/>
      <c r="R6" s="3695"/>
      <c r="S6" s="3696"/>
      <c r="T6" s="3697"/>
      <c r="U6" s="3698"/>
      <c r="V6" s="3678"/>
      <c r="W6" s="3678"/>
      <c r="X6" s="1354"/>
      <c r="Y6" s="3697"/>
      <c r="Z6" s="3698"/>
      <c r="AA6" s="3682"/>
      <c r="AB6" s="3682"/>
      <c r="AC6" s="3682"/>
    </row>
    <row r="7" spans="1:29" s="108" customFormat="1" ht="15.75" thickBot="1">
      <c r="A7" s="362" t="s">
        <v>1679</v>
      </c>
      <c r="B7" s="363"/>
      <c r="C7" s="364">
        <f>'数据-取费表'!B2</f>
        <v>45435</v>
      </c>
      <c r="D7" s="365">
        <v>100</v>
      </c>
      <c r="E7" s="366"/>
      <c r="F7" s="367">
        <f>SUMIF(46:46,YEAR(E7)&amp;"-"&amp;MONTH(E7),47:47)</f>
        <v>0</v>
      </c>
      <c r="G7" s="1973"/>
      <c r="H7" s="365">
        <f>SUMIF(46:46,YEAR(G7)&amp;"-"&amp;MONTH(G7),47:47)</f>
        <v>0</v>
      </c>
      <c r="I7" s="366"/>
      <c r="J7" s="365">
        <f>SUMIF(46:46,YEAR(I7)&amp;"-"&amp;MONTH(I7),47:47)</f>
        <v>0</v>
      </c>
      <c r="K7" s="560"/>
      <c r="L7" s="2715"/>
      <c r="M7" s="2716"/>
      <c r="N7" s="2716"/>
      <c r="O7" s="2716"/>
      <c r="P7" s="3703" t="s">
        <v>1680</v>
      </c>
      <c r="Q7" s="3705"/>
      <c r="R7" s="700" t="s">
        <v>14</v>
      </c>
      <c r="S7" s="701">
        <f t="shared" ref="S7:S14" si="0">F7</f>
        <v>0</v>
      </c>
      <c r="T7" s="700" t="s">
        <v>14</v>
      </c>
      <c r="U7" s="701">
        <f t="shared" ref="U7:U14" si="1">H7</f>
        <v>0</v>
      </c>
      <c r="V7" s="700" t="s">
        <v>14</v>
      </c>
      <c r="W7" s="701">
        <f t="shared" ref="W7:W14" si="2">J7</f>
        <v>0</v>
      </c>
      <c r="X7" s="702"/>
      <c r="Y7" s="3703" t="s">
        <v>1680</v>
      </c>
      <c r="Z7" s="3704"/>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03" t="s">
        <v>1683</v>
      </c>
      <c r="Q8" s="3704"/>
      <c r="R8" s="700" t="s">
        <v>14</v>
      </c>
      <c r="S8" s="701">
        <f t="shared" si="0"/>
        <v>100</v>
      </c>
      <c r="T8" s="700" t="s">
        <v>14</v>
      </c>
      <c r="U8" s="701">
        <f t="shared" si="1"/>
        <v>100</v>
      </c>
      <c r="V8" s="700" t="s">
        <v>14</v>
      </c>
      <c r="W8" s="701">
        <f t="shared" si="2"/>
        <v>100</v>
      </c>
      <c r="X8" s="702"/>
      <c r="Y8" s="3703" t="s">
        <v>1683</v>
      </c>
      <c r="Z8" s="3704"/>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4" t="s">
        <v>1686</v>
      </c>
      <c r="Q9" s="1342" t="str">
        <f t="shared" ref="Q9:Q14" si="6">B9</f>
        <v>用途</v>
      </c>
      <c r="R9" s="700" t="s">
        <v>14</v>
      </c>
      <c r="S9" s="701">
        <f t="shared" si="0"/>
        <v>100</v>
      </c>
      <c r="T9" s="700" t="s">
        <v>14</v>
      </c>
      <c r="U9" s="701">
        <f t="shared" si="1"/>
        <v>100</v>
      </c>
      <c r="V9" s="700" t="s">
        <v>14</v>
      </c>
      <c r="W9" s="701">
        <f t="shared" si="2"/>
        <v>100</v>
      </c>
      <c r="X9" s="702"/>
      <c r="Y9" s="3559" t="s">
        <v>1687</v>
      </c>
      <c r="Z9" s="52" t="str">
        <f t="shared" ref="Z9:Z14" si="7">Q9</f>
        <v>用途</v>
      </c>
      <c r="AA9" s="703">
        <f t="shared" si="3"/>
        <v>1</v>
      </c>
      <c r="AB9" s="703">
        <f t="shared" si="4"/>
        <v>1</v>
      </c>
      <c r="AC9" s="703">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7"/>
      <c r="M10" s="2718"/>
      <c r="N10" s="2718"/>
      <c r="O10" s="2771"/>
      <c r="P10" s="3664"/>
      <c r="Q10" s="1342" t="str">
        <f t="shared" si="6"/>
        <v>土地使用年限（年）</v>
      </c>
      <c r="R10" s="700" t="s">
        <v>14</v>
      </c>
      <c r="S10" s="701">
        <f t="shared" si="0"/>
        <v>100</v>
      </c>
      <c r="T10" s="700" t="s">
        <v>14</v>
      </c>
      <c r="U10" s="701">
        <f t="shared" si="1"/>
        <v>100</v>
      </c>
      <c r="V10" s="700" t="s">
        <v>14</v>
      </c>
      <c r="W10" s="701">
        <f t="shared" si="2"/>
        <v>100</v>
      </c>
      <c r="X10" s="702"/>
      <c r="Y10" s="3559"/>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4"/>
      <c r="Q11" s="1342">
        <f t="shared" si="6"/>
        <v>111</v>
      </c>
      <c r="R11" s="700" t="s">
        <v>14</v>
      </c>
      <c r="S11" s="701">
        <f t="shared" si="0"/>
        <v>100</v>
      </c>
      <c r="T11" s="700" t="s">
        <v>14</v>
      </c>
      <c r="U11" s="701">
        <f t="shared" si="1"/>
        <v>100</v>
      </c>
      <c r="V11" s="700" t="s">
        <v>14</v>
      </c>
      <c r="W11" s="701">
        <f t="shared" si="2"/>
        <v>100</v>
      </c>
      <c r="X11" s="702"/>
      <c r="Y11" s="3559"/>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4"/>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0"/>
      <c r="M13" s="2714"/>
      <c r="N13" s="2714"/>
      <c r="O13" s="2772"/>
      <c r="P13" s="3664"/>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71" t="s">
        <v>1691</v>
      </c>
      <c r="Q14" s="1351" t="str">
        <f t="shared" si="6"/>
        <v>交通便捷度</v>
      </c>
      <c r="R14" s="704" t="s">
        <v>14</v>
      </c>
      <c r="S14" s="705">
        <f t="shared" si="0"/>
        <v>100</v>
      </c>
      <c r="T14" s="704" t="s">
        <v>14</v>
      </c>
      <c r="U14" s="705">
        <f t="shared" si="1"/>
        <v>100</v>
      </c>
      <c r="V14" s="704" t="s">
        <v>14</v>
      </c>
      <c r="W14" s="705">
        <f t="shared" si="2"/>
        <v>100</v>
      </c>
      <c r="X14" s="1354"/>
      <c r="Y14" s="3671"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0"/>
      <c r="M15" s="2714"/>
      <c r="N15" s="2714"/>
      <c r="O15" s="2772"/>
      <c r="P15" s="3672"/>
      <c r="Q15" s="1351"/>
      <c r="R15" s="704"/>
      <c r="S15" s="705"/>
      <c r="T15" s="704"/>
      <c r="U15" s="705"/>
      <c r="V15" s="704"/>
      <c r="W15" s="705"/>
      <c r="X15" s="1354"/>
      <c r="Y15" s="3672"/>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2"/>
      <c r="Q16" s="1351" t="str">
        <f>B16</f>
        <v>公共配套设施</v>
      </c>
      <c r="R16" s="704" t="s">
        <v>14</v>
      </c>
      <c r="S16" s="705">
        <f>F16</f>
        <v>100</v>
      </c>
      <c r="T16" s="704" t="s">
        <v>14</v>
      </c>
      <c r="U16" s="705">
        <f>H16</f>
        <v>100</v>
      </c>
      <c r="V16" s="704" t="s">
        <v>14</v>
      </c>
      <c r="W16" s="705">
        <f>J16</f>
        <v>100</v>
      </c>
      <c r="X16" s="1354"/>
      <c r="Y16" s="3672"/>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0"/>
      <c r="M17" s="2714"/>
      <c r="N17" s="2714"/>
      <c r="O17" s="2772"/>
      <c r="P17" s="3672"/>
      <c r="Q17" s="1351"/>
      <c r="R17" s="704"/>
      <c r="S17" s="705"/>
      <c r="T17" s="704"/>
      <c r="U17" s="705"/>
      <c r="V17" s="704"/>
      <c r="W17" s="705"/>
      <c r="X17" s="1354"/>
      <c r="Y17" s="3672"/>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2"/>
      <c r="Q18" s="1351" t="str">
        <f>B18</f>
        <v>基础设施水平</v>
      </c>
      <c r="R18" s="704" t="s">
        <v>14</v>
      </c>
      <c r="S18" s="705">
        <f>F18</f>
        <v>100</v>
      </c>
      <c r="T18" s="704" t="s">
        <v>14</v>
      </c>
      <c r="U18" s="705">
        <f>H18</f>
        <v>100</v>
      </c>
      <c r="V18" s="704" t="s">
        <v>14</v>
      </c>
      <c r="W18" s="705">
        <f>J18</f>
        <v>100</v>
      </c>
      <c r="X18" s="1354"/>
      <c r="Y18" s="3672"/>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0"/>
      <c r="M19" s="2714"/>
      <c r="N19" s="2714"/>
      <c r="O19" s="2772"/>
      <c r="P19" s="3672"/>
      <c r="Q19" s="1351"/>
      <c r="R19" s="704"/>
      <c r="S19" s="705"/>
      <c r="T19" s="704"/>
      <c r="U19" s="705"/>
      <c r="V19" s="704"/>
      <c r="W19" s="705"/>
      <c r="X19" s="1354"/>
      <c r="Y19" s="3672"/>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2"/>
      <c r="Q20" s="1351" t="str">
        <f>B20</f>
        <v>自然及人文环境</v>
      </c>
      <c r="R20" s="704" t="s">
        <v>14</v>
      </c>
      <c r="S20" s="705">
        <f>F20</f>
        <v>100</v>
      </c>
      <c r="T20" s="704" t="s">
        <v>14</v>
      </c>
      <c r="U20" s="705">
        <f>H20</f>
        <v>100</v>
      </c>
      <c r="V20" s="704" t="s">
        <v>14</v>
      </c>
      <c r="W20" s="705">
        <f>J20</f>
        <v>100</v>
      </c>
      <c r="X20" s="1354"/>
      <c r="Y20" s="3672"/>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0"/>
      <c r="M21" s="2714"/>
      <c r="N21" s="2714"/>
      <c r="O21" s="2772"/>
      <c r="P21" s="3672"/>
      <c r="Q21" s="1351"/>
      <c r="R21" s="704"/>
      <c r="S21" s="705"/>
      <c r="T21" s="704"/>
      <c r="U21" s="705"/>
      <c r="V21" s="704"/>
      <c r="W21" s="705"/>
      <c r="X21" s="1354"/>
      <c r="Y21" s="3672"/>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2"/>
      <c r="Q22" s="1351" t="str">
        <f>B22</f>
        <v>楼层</v>
      </c>
      <c r="R22" s="704" t="s">
        <v>14</v>
      </c>
      <c r="S22" s="705">
        <f>F22</f>
        <v>100</v>
      </c>
      <c r="T22" s="704" t="s">
        <v>14</v>
      </c>
      <c r="U22" s="705">
        <f>H22</f>
        <v>100</v>
      </c>
      <c r="V22" s="704" t="s">
        <v>14</v>
      </c>
      <c r="W22" s="705">
        <f>J22</f>
        <v>100</v>
      </c>
      <c r="X22" s="1354"/>
      <c r="Y22" s="3672"/>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2"/>
      <c r="Q23" s="1351">
        <f>B23</f>
        <v>111</v>
      </c>
      <c r="R23" s="704" t="s">
        <v>14</v>
      </c>
      <c r="S23" s="705">
        <f>F23</f>
        <v>100</v>
      </c>
      <c r="T23" s="704" t="s">
        <v>14</v>
      </c>
      <c r="U23" s="705">
        <f>H23</f>
        <v>100</v>
      </c>
      <c r="V23" s="704" t="s">
        <v>14</v>
      </c>
      <c r="W23" s="705">
        <f>J23</f>
        <v>100</v>
      </c>
      <c r="X23" s="1354"/>
      <c r="Y23" s="3672"/>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2"/>
      <c r="Q24" s="1351">
        <f t="shared" ref="Q24:Q34" si="11">B24</f>
        <v>111</v>
      </c>
      <c r="R24" s="704" t="s">
        <v>14</v>
      </c>
      <c r="S24" s="705">
        <f>F24</f>
        <v>100</v>
      </c>
      <c r="T24" s="704" t="s">
        <v>14</v>
      </c>
      <c r="U24" s="705">
        <f>H24</f>
        <v>100</v>
      </c>
      <c r="V24" s="704" t="s">
        <v>14</v>
      </c>
      <c r="W24" s="705">
        <f>J24</f>
        <v>100</v>
      </c>
      <c r="X24" s="1354"/>
      <c r="Y24" s="3672"/>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5"/>
      <c r="M25" s="2716"/>
      <c r="N25" s="2716"/>
      <c r="O25" s="2770"/>
      <c r="P25" s="3672"/>
      <c r="Q25" s="1342">
        <f t="shared" si="11"/>
        <v>111</v>
      </c>
      <c r="R25" s="700" t="s">
        <v>14</v>
      </c>
      <c r="S25" s="701">
        <f>F25</f>
        <v>100</v>
      </c>
      <c r="T25" s="700" t="s">
        <v>14</v>
      </c>
      <c r="U25" s="701">
        <f>H25</f>
        <v>100</v>
      </c>
      <c r="V25" s="700" t="s">
        <v>14</v>
      </c>
      <c r="W25" s="701">
        <f>J25</f>
        <v>100</v>
      </c>
      <c r="X25" s="702"/>
      <c r="Y25" s="3672"/>
      <c r="Z25" s="52">
        <f>Q25</f>
        <v>111</v>
      </c>
      <c r="AA25" s="1352">
        <f>D25/F25</f>
        <v>1</v>
      </c>
      <c r="AB25" s="1352">
        <f>D25/H25</f>
        <v>1</v>
      </c>
      <c r="AC25" s="1352">
        <f>D25/J25</f>
        <v>1</v>
      </c>
    </row>
    <row r="26" spans="1:29" ht="28.5">
      <c r="A26" s="417" t="s">
        <v>1694</v>
      </c>
      <c r="B26" s="63" t="s">
        <v>1838</v>
      </c>
      <c r="C26" s="1966"/>
      <c r="D26" s="418">
        <v>100</v>
      </c>
      <c r="E26" s="1966"/>
      <c r="F26" s="614">
        <f>SUMIF(77:77,E26,78:78)-SUMIF(77:77,C26,78:78)+100</f>
        <v>100</v>
      </c>
      <c r="G26" s="1966"/>
      <c r="H26" s="418">
        <f>SUMIF(77:77,G26,78:78)-SUMIF(77:77,C26,78:78)+100</f>
        <v>100</v>
      </c>
      <c r="I26" s="1966"/>
      <c r="J26" s="418">
        <f>SUMIF(77:77,I26,78:78)-SUMIF(77:77,C26,78:78)+100</f>
        <v>100</v>
      </c>
      <c r="K26" s="561"/>
      <c r="L26" s="2720"/>
      <c r="M26" s="2714"/>
      <c r="N26" s="2714"/>
      <c r="O26" s="2772"/>
      <c r="P26" s="3748"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676"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6"/>
      <c r="Q27" s="706" t="str">
        <f t="shared" si="11"/>
        <v>成新率</v>
      </c>
      <c r="R27" s="707" t="s">
        <v>14</v>
      </c>
      <c r="S27" s="708" t="e">
        <f t="shared" si="12"/>
        <v>#N/A</v>
      </c>
      <c r="T27" s="707" t="s">
        <v>14</v>
      </c>
      <c r="U27" s="708" t="e">
        <f t="shared" si="13"/>
        <v>#N/A</v>
      </c>
      <c r="V27" s="707" t="s">
        <v>14</v>
      </c>
      <c r="W27" s="708" t="e">
        <f t="shared" si="14"/>
        <v>#N/A</v>
      </c>
      <c r="X27" s="709"/>
      <c r="Y27" s="3676"/>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6"/>
      <c r="Q28" s="1351" t="str">
        <f t="shared" si="11"/>
        <v>物业等级</v>
      </c>
      <c r="R28" s="704" t="s">
        <v>14</v>
      </c>
      <c r="S28" s="705">
        <f t="shared" si="12"/>
        <v>100</v>
      </c>
      <c r="T28" s="704" t="s">
        <v>14</v>
      </c>
      <c r="U28" s="705">
        <f t="shared" si="13"/>
        <v>100</v>
      </c>
      <c r="V28" s="704" t="s">
        <v>14</v>
      </c>
      <c r="W28" s="705">
        <f t="shared" si="14"/>
        <v>100</v>
      </c>
      <c r="X28" s="1354"/>
      <c r="Y28" s="3676"/>
      <c r="Z28" s="1355" t="str">
        <f t="shared" si="15"/>
        <v>物业等级</v>
      </c>
      <c r="AA28" s="1352">
        <f t="shared" si="3"/>
        <v>1</v>
      </c>
      <c r="AB28" s="1352">
        <f t="shared" si="4"/>
        <v>1</v>
      </c>
      <c r="AC28" s="1352">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20"/>
      <c r="M29" s="2714"/>
      <c r="N29" s="2714"/>
      <c r="O29" s="2772"/>
      <c r="P29" s="3676"/>
      <c r="Q29" s="1351" t="str">
        <f t="shared" si="11"/>
        <v>有无电梯</v>
      </c>
      <c r="R29" s="704" t="s">
        <v>14</v>
      </c>
      <c r="S29" s="705">
        <f t="shared" si="12"/>
        <v>100</v>
      </c>
      <c r="T29" s="704" t="s">
        <v>14</v>
      </c>
      <c r="U29" s="705">
        <f t="shared" si="13"/>
        <v>100</v>
      </c>
      <c r="V29" s="704" t="s">
        <v>14</v>
      </c>
      <c r="W29" s="705">
        <f t="shared" si="14"/>
        <v>100</v>
      </c>
      <c r="X29" s="1354"/>
      <c r="Y29" s="3676"/>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6"/>
      <c r="Q30" s="1351" t="str">
        <f t="shared" si="11"/>
        <v>建筑面积</v>
      </c>
      <c r="R30" s="704" t="s">
        <v>14</v>
      </c>
      <c r="S30" s="705" t="e">
        <f t="shared" si="12"/>
        <v>#N/A</v>
      </c>
      <c r="T30" s="704" t="s">
        <v>14</v>
      </c>
      <c r="U30" s="705" t="e">
        <f t="shared" si="13"/>
        <v>#N/A</v>
      </c>
      <c r="V30" s="704" t="s">
        <v>14</v>
      </c>
      <c r="W30" s="705" t="e">
        <f t="shared" si="14"/>
        <v>#N/A</v>
      </c>
      <c r="X30" s="1354"/>
      <c r="Y30" s="3676"/>
      <c r="Z30" s="1355" t="str">
        <f t="shared" si="15"/>
        <v>建筑面积</v>
      </c>
      <c r="AA30" s="1352" t="e">
        <f t="shared" si="3"/>
        <v>#N/A</v>
      </c>
      <c r="AB30" s="1352" t="e">
        <f t="shared" si="4"/>
        <v>#N/A</v>
      </c>
      <c r="AC30" s="1352"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5"/>
      <c r="M31" s="2716"/>
      <c r="N31" s="2716"/>
      <c r="O31" s="2770"/>
      <c r="P31" s="3676"/>
      <c r="Q31" s="1342" t="str">
        <f t="shared" si="11"/>
        <v>是否封闭</v>
      </c>
      <c r="R31" s="700" t="s">
        <v>14</v>
      </c>
      <c r="S31" s="701">
        <f t="shared" si="12"/>
        <v>100</v>
      </c>
      <c r="T31" s="700" t="s">
        <v>14</v>
      </c>
      <c r="U31" s="701">
        <f t="shared" si="13"/>
        <v>100</v>
      </c>
      <c r="V31" s="700" t="s">
        <v>14</v>
      </c>
      <c r="W31" s="701">
        <f t="shared" si="14"/>
        <v>100</v>
      </c>
      <c r="X31" s="702"/>
      <c r="Y31" s="3676"/>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6" t="s">
        <v>1696</v>
      </c>
      <c r="Q32" s="1351">
        <f t="shared" si="11"/>
        <v>111</v>
      </c>
      <c r="R32" s="704" t="s">
        <v>14</v>
      </c>
      <c r="S32" s="705">
        <f t="shared" si="12"/>
        <v>100</v>
      </c>
      <c r="T32" s="704" t="s">
        <v>14</v>
      </c>
      <c r="U32" s="705">
        <f t="shared" si="13"/>
        <v>100</v>
      </c>
      <c r="V32" s="704" t="s">
        <v>14</v>
      </c>
      <c r="W32" s="705">
        <f t="shared" si="14"/>
        <v>100</v>
      </c>
      <c r="X32" s="1354"/>
      <c r="Y32" s="3676"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6"/>
      <c r="Q33" s="1351">
        <f t="shared" si="11"/>
        <v>111</v>
      </c>
      <c r="R33" s="704" t="s">
        <v>14</v>
      </c>
      <c r="S33" s="705">
        <f t="shared" si="12"/>
        <v>100</v>
      </c>
      <c r="T33" s="704" t="s">
        <v>14</v>
      </c>
      <c r="U33" s="705">
        <f t="shared" si="13"/>
        <v>100</v>
      </c>
      <c r="V33" s="704" t="s">
        <v>14</v>
      </c>
      <c r="W33" s="705">
        <f t="shared" si="14"/>
        <v>100</v>
      </c>
      <c r="X33" s="1354"/>
      <c r="Y33" s="3676"/>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0"/>
      <c r="M34" s="2714"/>
      <c r="N34" s="2714"/>
      <c r="O34" s="2772"/>
      <c r="P34" s="3676"/>
      <c r="Q34" s="1351">
        <f t="shared" si="11"/>
        <v>111</v>
      </c>
      <c r="R34" s="704" t="s">
        <v>14</v>
      </c>
      <c r="S34" s="705">
        <f t="shared" si="12"/>
        <v>100</v>
      </c>
      <c r="T34" s="704" t="s">
        <v>14</v>
      </c>
      <c r="U34" s="705">
        <f t="shared" si="13"/>
        <v>100</v>
      </c>
      <c r="V34" s="704" t="s">
        <v>14</v>
      </c>
      <c r="W34" s="705">
        <f t="shared" si="14"/>
        <v>100</v>
      </c>
      <c r="X34" s="1354"/>
      <c r="Y34" s="3676"/>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2"/>
      <c r="M35" s="2723"/>
      <c r="N35" s="2714"/>
      <c r="O35" s="2723"/>
      <c r="P35" s="3664" t="str">
        <f>A35</f>
        <v>成交单价（元/平方米）</v>
      </c>
      <c r="Q35" s="3664"/>
      <c r="R35" s="3665">
        <f>E35</f>
        <v>0</v>
      </c>
      <c r="S35" s="3665"/>
      <c r="T35" s="3665">
        <f>G35</f>
        <v>0</v>
      </c>
      <c r="U35" s="3665"/>
      <c r="V35" s="3665">
        <f>I35</f>
        <v>0</v>
      </c>
      <c r="W35" s="3665"/>
      <c r="X35" s="689"/>
      <c r="Y35" s="711"/>
      <c r="Z35" s="689"/>
      <c r="AA35" s="689"/>
      <c r="AB35" s="689"/>
      <c r="AC35" s="689"/>
    </row>
    <row r="36" spans="1:30" ht="15.75" thickBot="1">
      <c r="A36" s="437" t="s">
        <v>1793</v>
      </c>
      <c r="B36" s="438"/>
      <c r="C36" s="1159" t="e">
        <f>R37</f>
        <v>#DIV/0!</v>
      </c>
      <c r="D36" s="2316" t="s">
        <v>2138</v>
      </c>
      <c r="E36" s="1160" t="e">
        <f>R36</f>
        <v>#DIV/0!</v>
      </c>
      <c r="F36" s="2317"/>
      <c r="G36" s="1159" t="e">
        <f>T36</f>
        <v>#DIV/0!</v>
      </c>
      <c r="H36" s="2317"/>
      <c r="I36" s="1160" t="e">
        <f>V36</f>
        <v>#DIV/0!</v>
      </c>
      <c r="J36" s="2317"/>
      <c r="K36" s="2319">
        <f>F36+H36+J36</f>
        <v>0</v>
      </c>
      <c r="L36" s="2722"/>
      <c r="M36" s="2723"/>
      <c r="N36" s="2714"/>
      <c r="O36" s="2723"/>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2"/>
      <c r="M37" s="2723"/>
      <c r="N37" s="2723"/>
      <c r="O37" s="2723"/>
      <c r="P37" s="3666" t="str">
        <f>A37</f>
        <v>估价对象XX用房的比较价值（楼面单价，元/平方米）</v>
      </c>
      <c r="Q37" s="3667"/>
      <c r="R37" s="3749" t="e">
        <f>IF(F1="售价",ROUND(IF(D36="简单平均",AVERAGE(R36:W36),R36*F36+T36*H36+V36*J36),0),ROUND(IF(D36="简单平均",AVERAGE(R36:V36),R36*F36+T36*H36+V36*J36),1))</f>
        <v>#DIV/0!</v>
      </c>
      <c r="S37" s="3749"/>
      <c r="T37" s="3749"/>
      <c r="U37" s="3749"/>
      <c r="V37" s="3749"/>
      <c r="W37" s="3749"/>
      <c r="X37" s="689"/>
      <c r="Y37" s="689"/>
      <c r="Z37" s="689"/>
      <c r="AA37" s="689"/>
      <c r="AB37" s="689"/>
      <c r="AC37" s="689"/>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3" t="s">
        <v>1798</v>
      </c>
      <c r="B45" s="689"/>
      <c r="C45" s="694"/>
      <c r="D45" s="694"/>
      <c r="E45" s="694"/>
      <c r="F45" s="695"/>
      <c r="G45" s="695"/>
      <c r="H45" s="694"/>
      <c r="I45" s="694"/>
      <c r="J45" s="694"/>
      <c r="K45" s="696"/>
      <c r="L45" s="697"/>
      <c r="M45" s="694"/>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2">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6">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7">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7" t="s">
        <v>1799</v>
      </c>
      <c r="D65" s="607" t="s">
        <v>1800</v>
      </c>
      <c r="E65" s="607" t="s">
        <v>1801</v>
      </c>
      <c r="F65" s="607" t="s">
        <v>1802</v>
      </c>
      <c r="G65" s="607" t="s">
        <v>1803</v>
      </c>
      <c r="H65" s="488"/>
      <c r="I65" s="488"/>
      <c r="J65" s="488"/>
      <c r="K65" s="488"/>
      <c r="L65" s="488"/>
      <c r="M65" s="1128"/>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7"/>
      <c r="J80" s="607"/>
      <c r="K80" s="615"/>
      <c r="L80" s="616"/>
      <c r="M80" s="617"/>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3">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5"/>
      <c r="B98" s="935"/>
      <c r="C98" s="935"/>
      <c r="D98" s="935"/>
      <c r="E98" s="935"/>
      <c r="F98" s="935"/>
      <c r="G98" s="935"/>
      <c r="H98" s="935"/>
      <c r="I98" s="935"/>
      <c r="J98" s="935"/>
      <c r="K98" s="936"/>
      <c r="L98" s="937"/>
      <c r="M98" s="935"/>
      <c r="N98" s="2723"/>
      <c r="O98" s="2723"/>
      <c r="P98" s="2723"/>
      <c r="Q98" s="2723"/>
      <c r="R98" s="2723"/>
      <c r="S98" s="2723"/>
      <c r="T98" s="2723"/>
      <c r="U98" s="2723"/>
      <c r="V98" s="2723"/>
      <c r="W98" s="2723"/>
      <c r="X98" s="2723"/>
      <c r="Y98" s="2723"/>
      <c r="Z98" s="2723"/>
      <c r="AA98" s="2723"/>
      <c r="AB98" s="2723"/>
      <c r="AC98" s="2723"/>
      <c r="AD98" s="2723"/>
    </row>
    <row r="99" spans="1:30">
      <c r="A99" s="935"/>
      <c r="B99" s="935"/>
      <c r="C99" s="935"/>
      <c r="D99" s="935"/>
      <c r="E99" s="935"/>
      <c r="F99" s="935"/>
      <c r="G99" s="935"/>
      <c r="H99" s="935"/>
      <c r="I99" s="935"/>
      <c r="J99" s="935"/>
      <c r="K99" s="936"/>
      <c r="L99" s="937"/>
      <c r="M99" s="935"/>
      <c r="N99" s="2723"/>
      <c r="O99" s="2723"/>
      <c r="P99" s="2723"/>
      <c r="Q99" s="2723"/>
      <c r="R99" s="2723"/>
      <c r="S99" s="2723"/>
      <c r="T99" s="2723"/>
      <c r="U99" s="2723"/>
      <c r="V99" s="2723"/>
      <c r="W99" s="2723"/>
      <c r="X99" s="2723"/>
      <c r="Y99" s="2723"/>
      <c r="Z99" s="2723"/>
      <c r="AA99" s="2723"/>
      <c r="AB99" s="2723"/>
      <c r="AC99" s="2723"/>
      <c r="AD99" s="2723"/>
    </row>
    <row r="100" spans="1:30">
      <c r="A100" s="935"/>
      <c r="B100" s="935"/>
      <c r="C100" s="935"/>
      <c r="D100" s="935"/>
      <c r="E100" s="935"/>
      <c r="F100" s="935"/>
      <c r="G100" s="935"/>
      <c r="H100" s="935"/>
      <c r="I100" s="935"/>
      <c r="J100" s="935"/>
      <c r="K100" s="936"/>
      <c r="L100" s="937"/>
      <c r="M100" s="935"/>
      <c r="N100" s="2723"/>
      <c r="O100" s="2723"/>
      <c r="P100" s="2723"/>
      <c r="Q100" s="2723"/>
      <c r="R100" s="2723"/>
      <c r="S100" s="2723"/>
      <c r="T100" s="2723"/>
      <c r="U100" s="2723"/>
      <c r="V100" s="2723"/>
      <c r="W100" s="2723"/>
      <c r="X100" s="2723"/>
      <c r="Y100" s="2723"/>
      <c r="Z100" s="2723"/>
      <c r="AA100" s="2723"/>
      <c r="AB100" s="2723"/>
      <c r="AC100" s="2723"/>
      <c r="AD100" s="2723"/>
    </row>
    <row r="101" spans="1:30">
      <c r="A101" s="935"/>
      <c r="B101" s="935"/>
      <c r="C101" s="935"/>
      <c r="D101" s="935"/>
      <c r="E101" s="935"/>
      <c r="F101" s="935"/>
      <c r="G101" s="935"/>
      <c r="H101" s="935"/>
      <c r="I101" s="935"/>
      <c r="J101" s="935"/>
      <c r="K101" s="936"/>
      <c r="L101" s="937"/>
      <c r="M101" s="935"/>
      <c r="N101" s="2723"/>
      <c r="O101" s="2723"/>
      <c r="P101" s="2723"/>
      <c r="Q101" s="2723"/>
      <c r="R101" s="2723"/>
      <c r="S101" s="2723"/>
      <c r="T101" s="2723"/>
      <c r="U101" s="2723"/>
      <c r="V101" s="2723"/>
      <c r="W101" s="2723"/>
      <c r="X101" s="2723"/>
      <c r="Y101" s="2723"/>
      <c r="Z101" s="2723"/>
      <c r="AA101" s="2723"/>
      <c r="AB101" s="2723"/>
      <c r="AC101" s="2723"/>
      <c r="AD101" s="2723"/>
    </row>
    <row r="102" spans="1:30">
      <c r="A102" s="935"/>
      <c r="B102" s="935"/>
      <c r="C102" s="935"/>
      <c r="D102" s="935"/>
      <c r="E102" s="935"/>
      <c r="F102" s="935"/>
      <c r="G102" s="935"/>
      <c r="H102" s="935"/>
      <c r="I102" s="935"/>
      <c r="J102" s="935"/>
      <c r="K102" s="936"/>
      <c r="L102" s="937"/>
      <c r="M102" s="935"/>
      <c r="N102" s="2723"/>
      <c r="O102" s="2723"/>
      <c r="P102" s="2723"/>
      <c r="Q102" s="2723"/>
      <c r="R102" s="2723"/>
      <c r="S102" s="2723"/>
      <c r="T102" s="2723"/>
      <c r="U102" s="2723"/>
      <c r="V102" s="2723"/>
      <c r="W102" s="2723"/>
      <c r="X102" s="2723"/>
      <c r="Y102" s="2723"/>
      <c r="Z102" s="2723"/>
      <c r="AA102" s="2723"/>
      <c r="AB102" s="2723"/>
      <c r="AC102" s="2723"/>
      <c r="AD102" s="2723"/>
    </row>
    <row r="103" spans="1:30">
      <c r="A103" s="935"/>
      <c r="B103" s="935"/>
      <c r="C103" s="935"/>
      <c r="D103" s="935"/>
      <c r="E103" s="935"/>
      <c r="F103" s="935"/>
      <c r="G103" s="935"/>
      <c r="H103" s="935"/>
      <c r="I103" s="935"/>
      <c r="J103" s="935"/>
      <c r="K103" s="936"/>
      <c r="L103" s="937"/>
      <c r="M103" s="935"/>
      <c r="N103" s="935"/>
      <c r="O103" s="935"/>
      <c r="P103" s="2723"/>
      <c r="Q103" s="2723"/>
      <c r="R103" s="2723"/>
      <c r="S103" s="2723"/>
      <c r="T103" s="2723"/>
      <c r="U103" s="2723"/>
      <c r="V103" s="2723"/>
      <c r="W103" s="2723"/>
      <c r="X103" s="2723"/>
      <c r="Y103" s="2723"/>
      <c r="Z103" s="2723"/>
      <c r="AA103" s="2723"/>
      <c r="AB103" s="2723"/>
      <c r="AC103" s="2723"/>
      <c r="AD103" s="2723"/>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t="e">
        <f>F65</f>
        <v>#DIV/0!</v>
      </c>
      <c r="C2" s="906"/>
      <c r="D2" s="906"/>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30" ht="15">
      <c r="A4" s="355" t="s">
        <v>1769</v>
      </c>
      <c r="B4" s="356"/>
      <c r="C4" s="3683" t="s">
        <v>1770</v>
      </c>
      <c r="D4" s="3684"/>
      <c r="E4" s="3685" t="s">
        <v>1771</v>
      </c>
      <c r="F4" s="3686"/>
      <c r="G4" s="3683" t="s">
        <v>1772</v>
      </c>
      <c r="H4" s="3684"/>
      <c r="I4" s="3683" t="s">
        <v>1773</v>
      </c>
      <c r="J4" s="3684"/>
      <c r="K4" s="559" t="s">
        <v>1774</v>
      </c>
      <c r="L4" s="2713"/>
      <c r="M4" s="2714"/>
      <c r="N4" s="2714"/>
      <c r="O4" s="2714"/>
      <c r="P4" s="3687" t="s">
        <v>1775</v>
      </c>
      <c r="Q4" s="3688"/>
      <c r="R4" s="3693" t="s">
        <v>1771</v>
      </c>
      <c r="S4" s="3694"/>
      <c r="T4" s="3693" t="s">
        <v>1772</v>
      </c>
      <c r="U4" s="3694"/>
      <c r="V4" s="3678" t="s">
        <v>1773</v>
      </c>
      <c r="W4" s="3678"/>
      <c r="X4" s="1354"/>
      <c r="Y4" s="3693" t="s">
        <v>1775</v>
      </c>
      <c r="Z4" s="3694"/>
      <c r="AA4" s="3680" t="s">
        <v>1771</v>
      </c>
      <c r="AB4" s="3681" t="s">
        <v>1772</v>
      </c>
      <c r="AC4" s="3680" t="s">
        <v>1773</v>
      </c>
    </row>
    <row r="5" spans="1:30" ht="15">
      <c r="A5" s="358"/>
      <c r="B5" s="359"/>
      <c r="C5" s="3731" t="s">
        <v>1673</v>
      </c>
      <c r="D5" s="3702"/>
      <c r="E5" s="3732" t="s">
        <v>1674</v>
      </c>
      <c r="F5" s="3709"/>
      <c r="G5" s="3731" t="s">
        <v>1675</v>
      </c>
      <c r="H5" s="3702"/>
      <c r="I5" s="3731" t="s">
        <v>1676</v>
      </c>
      <c r="J5" s="3702"/>
      <c r="K5" s="559"/>
      <c r="L5" s="2713"/>
      <c r="M5" s="2714"/>
      <c r="N5" s="2714"/>
      <c r="O5" s="2714"/>
      <c r="P5" s="3689"/>
      <c r="Q5" s="3690"/>
      <c r="R5" s="3695"/>
      <c r="S5" s="3696"/>
      <c r="T5" s="3695"/>
      <c r="U5" s="3696"/>
      <c r="V5" s="3678"/>
      <c r="W5" s="3678"/>
      <c r="X5" s="1354"/>
      <c r="Y5" s="3695"/>
      <c r="Z5" s="3696"/>
      <c r="AA5" s="3681"/>
      <c r="AB5" s="3681"/>
      <c r="AC5" s="3681"/>
    </row>
    <row r="6" spans="1:30" ht="15.75" thickBot="1">
      <c r="A6" s="360"/>
      <c r="B6" s="361"/>
      <c r="C6" s="3699" t="s">
        <v>1677</v>
      </c>
      <c r="D6" s="3700"/>
      <c r="E6" s="3706" t="s">
        <v>1677</v>
      </c>
      <c r="F6" s="3707"/>
      <c r="G6" s="3699" t="s">
        <v>1677</v>
      </c>
      <c r="H6" s="3700"/>
      <c r="I6" s="3699" t="s">
        <v>1677</v>
      </c>
      <c r="J6" s="3700"/>
      <c r="K6" s="559" t="s">
        <v>1678</v>
      </c>
      <c r="L6" s="2713"/>
      <c r="M6" s="2714"/>
      <c r="N6" s="2714"/>
      <c r="O6" s="2714"/>
      <c r="P6" s="3691"/>
      <c r="Q6" s="3692"/>
      <c r="R6" s="3695"/>
      <c r="S6" s="3696"/>
      <c r="T6" s="3697"/>
      <c r="U6" s="3698"/>
      <c r="V6" s="3678"/>
      <c r="W6" s="3678"/>
      <c r="X6" s="1354"/>
      <c r="Y6" s="3697"/>
      <c r="Z6" s="3698"/>
      <c r="AA6" s="3682"/>
      <c r="AB6" s="3682"/>
      <c r="AC6" s="3682"/>
    </row>
    <row r="7" spans="1:30" s="108" customFormat="1" ht="15.75" thickBot="1">
      <c r="A7" s="362" t="s">
        <v>1679</v>
      </c>
      <c r="B7" s="363"/>
      <c r="C7" s="364">
        <f>'数据-取费表'!B2</f>
        <v>45435</v>
      </c>
      <c r="D7" s="365">
        <v>100</v>
      </c>
      <c r="E7" s="366"/>
      <c r="F7" s="367">
        <f>SUMIF(69:69,YEAR(E7)&amp;"-"&amp;INT((MONTH(E7)+2)/3),70:70)</f>
        <v>0</v>
      </c>
      <c r="G7" s="1973"/>
      <c r="H7" s="365">
        <f>SUMIF(69:69,YEAR(G7)&amp;"-"&amp;INT((MONTH(G7)+2)/3),70:70)</f>
        <v>0</v>
      </c>
      <c r="I7" s="1973"/>
      <c r="J7" s="365">
        <f>SUMIF(69:69,YEAR(I7)&amp;"-"&amp;INT((MONTH(I7)+2)/3),70:70)</f>
        <v>0</v>
      </c>
      <c r="K7" s="560"/>
      <c r="L7" s="2715"/>
      <c r="M7" s="2716"/>
      <c r="N7" s="2716"/>
      <c r="O7" s="2716"/>
      <c r="P7" s="3703" t="s">
        <v>1680</v>
      </c>
      <c r="Q7" s="3705"/>
      <c r="R7" s="700" t="s">
        <v>14</v>
      </c>
      <c r="S7" s="701">
        <f t="shared" ref="S7:S15" si="0">F7</f>
        <v>0</v>
      </c>
      <c r="T7" s="700" t="s">
        <v>14</v>
      </c>
      <c r="U7" s="701">
        <f t="shared" ref="U7:U15" si="1">H7</f>
        <v>0</v>
      </c>
      <c r="V7" s="700" t="s">
        <v>14</v>
      </c>
      <c r="W7" s="701">
        <f t="shared" ref="W7:W15" si="2">J7</f>
        <v>0</v>
      </c>
      <c r="X7" s="702"/>
      <c r="Y7" s="3703" t="s">
        <v>1680</v>
      </c>
      <c r="Z7" s="3704"/>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03" t="s">
        <v>1683</v>
      </c>
      <c r="Q8" s="3704"/>
      <c r="R8" s="700" t="s">
        <v>14</v>
      </c>
      <c r="S8" s="701">
        <f t="shared" si="0"/>
        <v>0</v>
      </c>
      <c r="T8" s="700" t="s">
        <v>14</v>
      </c>
      <c r="U8" s="701">
        <f t="shared" si="1"/>
        <v>0</v>
      </c>
      <c r="V8" s="700" t="s">
        <v>14</v>
      </c>
      <c r="W8" s="701">
        <f t="shared" si="2"/>
        <v>0</v>
      </c>
      <c r="X8" s="702"/>
      <c r="Y8" s="3703" t="s">
        <v>1683</v>
      </c>
      <c r="Z8" s="3704"/>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5"/>
      <c r="M9" s="2716"/>
      <c r="N9" s="2716"/>
      <c r="O9" s="2770"/>
      <c r="P9" s="3664"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153</v>
      </c>
      <c r="G10" s="414"/>
      <c r="H10" s="127">
        <f>ROUND(100/'数据-取费表'!G16,0)</f>
        <v>153</v>
      </c>
      <c r="I10" s="414"/>
      <c r="J10" s="127">
        <f>ROUND(100/'数据-取费表'!G16,0)</f>
        <v>153</v>
      </c>
      <c r="K10" s="619"/>
      <c r="L10" s="2717"/>
      <c r="M10" s="2718"/>
      <c r="N10" s="2718"/>
      <c r="O10" s="2771"/>
      <c r="P10" s="3664"/>
      <c r="Q10" s="1342" t="str">
        <f t="shared" si="6"/>
        <v>土地使用年限（年）</v>
      </c>
      <c r="R10" s="700" t="s">
        <v>14</v>
      </c>
      <c r="S10" s="701">
        <f t="shared" si="0"/>
        <v>153</v>
      </c>
      <c r="T10" s="700" t="s">
        <v>14</v>
      </c>
      <c r="U10" s="701">
        <f t="shared" si="1"/>
        <v>153</v>
      </c>
      <c r="V10" s="700" t="s">
        <v>14</v>
      </c>
      <c r="W10" s="701">
        <f t="shared" si="2"/>
        <v>153</v>
      </c>
      <c r="X10" s="702"/>
      <c r="Y10" s="3559"/>
      <c r="Z10" s="52" t="str">
        <f t="shared" si="7"/>
        <v>土地使用年限（年）</v>
      </c>
      <c r="AA10" s="703">
        <f t="shared" si="3"/>
        <v>0.65359477124183007</v>
      </c>
      <c r="AB10" s="703">
        <f t="shared" si="4"/>
        <v>0.65359477124183007</v>
      </c>
      <c r="AC10" s="703">
        <f t="shared" si="5"/>
        <v>0.65359477124183007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19"/>
      <c r="M11" s="2714"/>
      <c r="N11" s="2714"/>
      <c r="O11" s="2772"/>
      <c r="P11" s="3664"/>
      <c r="Q11" s="1342" t="str">
        <f t="shared" si="6"/>
        <v>容积率</v>
      </c>
      <c r="R11" s="700" t="s">
        <v>14</v>
      </c>
      <c r="S11" s="701" t="e">
        <f t="shared" si="0"/>
        <v>#N/A</v>
      </c>
      <c r="T11" s="700" t="s">
        <v>14</v>
      </c>
      <c r="U11" s="701" t="e">
        <f t="shared" si="1"/>
        <v>#N/A</v>
      </c>
      <c r="V11" s="700" t="s">
        <v>14</v>
      </c>
      <c r="W11" s="701" t="e">
        <f t="shared" si="2"/>
        <v>#N/A</v>
      </c>
      <c r="X11" s="702"/>
      <c r="Y11" s="3559"/>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19"/>
      <c r="L12" s="2715"/>
      <c r="M12" s="2716"/>
      <c r="N12" s="2716"/>
      <c r="O12" s="2770"/>
      <c r="P12" s="3664"/>
      <c r="Q12" s="1342" t="str">
        <f t="shared" si="6"/>
        <v>配建</v>
      </c>
      <c r="R12" s="700" t="s">
        <v>14</v>
      </c>
      <c r="S12" s="701">
        <f t="shared" si="0"/>
        <v>100</v>
      </c>
      <c r="T12" s="700" t="s">
        <v>14</v>
      </c>
      <c r="U12" s="701">
        <f t="shared" si="1"/>
        <v>100</v>
      </c>
      <c r="V12" s="700" t="s">
        <v>14</v>
      </c>
      <c r="W12" s="701">
        <f t="shared" si="2"/>
        <v>100</v>
      </c>
      <c r="X12" s="702"/>
      <c r="Y12" s="3559"/>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0"/>
      <c r="M13" s="2714"/>
      <c r="N13" s="2714"/>
      <c r="O13" s="2772"/>
      <c r="P13" s="3664"/>
      <c r="Q13" s="1342">
        <f t="shared" si="6"/>
        <v>111</v>
      </c>
      <c r="R13" s="700" t="s">
        <v>14</v>
      </c>
      <c r="S13" s="701">
        <f t="shared" si="0"/>
        <v>100</v>
      </c>
      <c r="T13" s="700" t="s">
        <v>14</v>
      </c>
      <c r="U13" s="701">
        <f t="shared" si="1"/>
        <v>100</v>
      </c>
      <c r="V13" s="700" t="s">
        <v>14</v>
      </c>
      <c r="W13" s="701">
        <f t="shared" si="2"/>
        <v>100</v>
      </c>
      <c r="X13" s="702"/>
      <c r="Y13" s="3559"/>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0"/>
      <c r="M14" s="2714"/>
      <c r="N14" s="2714"/>
      <c r="O14" s="2772"/>
      <c r="P14" s="3664"/>
      <c r="Q14" s="1342">
        <f t="shared" si="6"/>
        <v>111</v>
      </c>
      <c r="R14" s="700" t="s">
        <v>14</v>
      </c>
      <c r="S14" s="701">
        <f t="shared" si="0"/>
        <v>100</v>
      </c>
      <c r="T14" s="700" t="s">
        <v>14</v>
      </c>
      <c r="U14" s="701">
        <f t="shared" si="1"/>
        <v>100</v>
      </c>
      <c r="V14" s="700" t="s">
        <v>14</v>
      </c>
      <c r="W14" s="701">
        <f t="shared" si="2"/>
        <v>100</v>
      </c>
      <c r="X14" s="702"/>
      <c r="Y14" s="3559"/>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0"/>
      <c r="M15" s="2714"/>
      <c r="N15" s="2714"/>
      <c r="O15" s="2772"/>
      <c r="P15" s="3671" t="s">
        <v>1691</v>
      </c>
      <c r="Q15" s="1351" t="str">
        <f t="shared" si="6"/>
        <v>居住社区成熟度</v>
      </c>
      <c r="R15" s="704" t="s">
        <v>14</v>
      </c>
      <c r="S15" s="705">
        <f t="shared" si="0"/>
        <v>100</v>
      </c>
      <c r="T15" s="704" t="s">
        <v>14</v>
      </c>
      <c r="U15" s="705">
        <f t="shared" si="1"/>
        <v>100</v>
      </c>
      <c r="V15" s="704" t="s">
        <v>14</v>
      </c>
      <c r="W15" s="705">
        <f t="shared" si="2"/>
        <v>100</v>
      </c>
      <c r="X15" s="1354"/>
      <c r="Y15" s="3671"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0"/>
      <c r="M16" s="2714"/>
      <c r="N16" s="2714"/>
      <c r="O16" s="2772"/>
      <c r="P16" s="3672"/>
      <c r="Q16" s="1351"/>
      <c r="R16" s="704"/>
      <c r="S16" s="705"/>
      <c r="T16" s="704"/>
      <c r="U16" s="705"/>
      <c r="V16" s="704"/>
      <c r="W16" s="705"/>
      <c r="X16" s="1354"/>
      <c r="Y16" s="3672"/>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0"/>
      <c r="M17" s="2714"/>
      <c r="N17" s="2714"/>
      <c r="O17" s="2772"/>
      <c r="P17" s="3672"/>
      <c r="Q17" s="1351" t="str">
        <f>B17</f>
        <v>商业繁华度</v>
      </c>
      <c r="R17" s="704" t="s">
        <v>14</v>
      </c>
      <c r="S17" s="705">
        <f>F17</f>
        <v>100</v>
      </c>
      <c r="T17" s="704" t="s">
        <v>14</v>
      </c>
      <c r="U17" s="705">
        <f>H17</f>
        <v>100</v>
      </c>
      <c r="V17" s="704" t="s">
        <v>14</v>
      </c>
      <c r="W17" s="705">
        <f>J17</f>
        <v>100</v>
      </c>
      <c r="X17" s="1354"/>
      <c r="Y17" s="3672"/>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0"/>
      <c r="M18" s="2714"/>
      <c r="N18" s="2714"/>
      <c r="O18" s="2772"/>
      <c r="P18" s="3672"/>
      <c r="Q18" s="1351"/>
      <c r="R18" s="704"/>
      <c r="S18" s="705"/>
      <c r="T18" s="704"/>
      <c r="U18" s="705"/>
      <c r="V18" s="704"/>
      <c r="W18" s="705"/>
      <c r="X18" s="1354"/>
      <c r="Y18" s="3672"/>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0"/>
      <c r="M19" s="2714"/>
      <c r="N19" s="2714"/>
      <c r="O19" s="2772"/>
      <c r="P19" s="3672"/>
      <c r="Q19" s="1351" t="str">
        <f>B19</f>
        <v>办公集聚程度</v>
      </c>
      <c r="R19" s="704" t="s">
        <v>14</v>
      </c>
      <c r="S19" s="705">
        <f>F19</f>
        <v>100</v>
      </c>
      <c r="T19" s="704" t="s">
        <v>14</v>
      </c>
      <c r="U19" s="705">
        <f>H19</f>
        <v>100</v>
      </c>
      <c r="V19" s="704" t="s">
        <v>14</v>
      </c>
      <c r="W19" s="705">
        <f>J19</f>
        <v>100</v>
      </c>
      <c r="X19" s="1354"/>
      <c r="Y19" s="3672"/>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0"/>
      <c r="M20" s="2714"/>
      <c r="N20" s="2714"/>
      <c r="O20" s="2772"/>
      <c r="P20" s="3672"/>
      <c r="Q20" s="1351"/>
      <c r="R20" s="704"/>
      <c r="S20" s="705"/>
      <c r="T20" s="704"/>
      <c r="U20" s="705"/>
      <c r="V20" s="704"/>
      <c r="W20" s="705"/>
      <c r="X20" s="1354"/>
      <c r="Y20" s="3672"/>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0"/>
      <c r="M21" s="2714"/>
      <c r="N21" s="2714"/>
      <c r="O21" s="2772"/>
      <c r="P21" s="3672"/>
      <c r="Q21" s="1351" t="str">
        <f>B21</f>
        <v>交通便捷度</v>
      </c>
      <c r="R21" s="704" t="s">
        <v>14</v>
      </c>
      <c r="S21" s="705">
        <f>F21</f>
        <v>100</v>
      </c>
      <c r="T21" s="704" t="s">
        <v>14</v>
      </c>
      <c r="U21" s="705">
        <f>H21</f>
        <v>100</v>
      </c>
      <c r="V21" s="704" t="s">
        <v>14</v>
      </c>
      <c r="W21" s="705">
        <f>J21</f>
        <v>100</v>
      </c>
      <c r="X21" s="1354"/>
      <c r="Y21" s="3672"/>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0"/>
      <c r="M22" s="2714"/>
      <c r="N22" s="2714"/>
      <c r="O22" s="2772"/>
      <c r="P22" s="3672"/>
      <c r="Q22" s="1351"/>
      <c r="R22" s="704"/>
      <c r="S22" s="705"/>
      <c r="T22" s="704"/>
      <c r="U22" s="705"/>
      <c r="V22" s="704"/>
      <c r="W22" s="705"/>
      <c r="X22" s="1354"/>
      <c r="Y22" s="3672"/>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0"/>
      <c r="M23" s="2714"/>
      <c r="N23" s="2714"/>
      <c r="O23" s="2772"/>
      <c r="P23" s="3672"/>
      <c r="Q23" s="1351" t="str">
        <f t="shared" ref="Q23:Q37" si="8">B23</f>
        <v>区域土地利用方向</v>
      </c>
      <c r="R23" s="704" t="s">
        <v>14</v>
      </c>
      <c r="S23" s="705">
        <f>F23</f>
        <v>100</v>
      </c>
      <c r="T23" s="704" t="s">
        <v>14</v>
      </c>
      <c r="U23" s="705">
        <f>H23</f>
        <v>100</v>
      </c>
      <c r="V23" s="704" t="s">
        <v>14</v>
      </c>
      <c r="W23" s="705">
        <f>J23</f>
        <v>100</v>
      </c>
      <c r="X23" s="1354"/>
      <c r="Y23" s="3672"/>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0"/>
      <c r="M24" s="2714"/>
      <c r="N24" s="2714"/>
      <c r="O24" s="2772"/>
      <c r="P24" s="3672"/>
      <c r="Q24" s="1351"/>
      <c r="R24" s="704"/>
      <c r="S24" s="705"/>
      <c r="T24" s="704"/>
      <c r="U24" s="705"/>
      <c r="V24" s="704"/>
      <c r="W24" s="705"/>
      <c r="X24" s="1354"/>
      <c r="Y24" s="3672"/>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0"/>
      <c r="M25" s="2714"/>
      <c r="N25" s="2714"/>
      <c r="O25" s="2772"/>
      <c r="P25" s="3672"/>
      <c r="Q25" s="1351" t="str">
        <f t="shared" si="8"/>
        <v>自然及人文环境状况</v>
      </c>
      <c r="R25" s="704" t="s">
        <v>14</v>
      </c>
      <c r="S25" s="705">
        <f>F25</f>
        <v>100</v>
      </c>
      <c r="T25" s="704" t="s">
        <v>14</v>
      </c>
      <c r="U25" s="705">
        <f>H25</f>
        <v>100</v>
      </c>
      <c r="V25" s="704" t="s">
        <v>14</v>
      </c>
      <c r="W25" s="705">
        <f>J25</f>
        <v>100</v>
      </c>
      <c r="X25" s="1354"/>
      <c r="Y25" s="3672"/>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0"/>
      <c r="M26" s="2714"/>
      <c r="N26" s="2714"/>
      <c r="O26" s="2772"/>
      <c r="P26" s="3672"/>
      <c r="Q26" s="1351"/>
      <c r="R26" s="704"/>
      <c r="S26" s="705"/>
      <c r="T26" s="704"/>
      <c r="U26" s="705"/>
      <c r="V26" s="704"/>
      <c r="W26" s="705"/>
      <c r="X26" s="1354"/>
      <c r="Y26" s="3672"/>
      <c r="Z26" s="1355"/>
      <c r="AA26" s="1352">
        <v>1</v>
      </c>
      <c r="AB26" s="1352">
        <v>1</v>
      </c>
      <c r="AC26" s="1352">
        <v>1</v>
      </c>
    </row>
    <row r="27" spans="1:29" s="108" customFormat="1" ht="42.75">
      <c r="A27" s="596"/>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5"/>
      <c r="M27" s="2716"/>
      <c r="N27" s="2716"/>
      <c r="O27" s="2770"/>
      <c r="P27" s="3672"/>
      <c r="Q27" s="1342" t="str">
        <f t="shared" si="8"/>
        <v>公共配套设施</v>
      </c>
      <c r="R27" s="700" t="s">
        <v>14</v>
      </c>
      <c r="S27" s="701">
        <f>F27</f>
        <v>100</v>
      </c>
      <c r="T27" s="700" t="s">
        <v>14</v>
      </c>
      <c r="U27" s="701">
        <f>H27</f>
        <v>100</v>
      </c>
      <c r="V27" s="700" t="s">
        <v>14</v>
      </c>
      <c r="W27" s="701">
        <f>J27</f>
        <v>100</v>
      </c>
      <c r="X27" s="702"/>
      <c r="Y27" s="3672"/>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5"/>
      <c r="M28" s="2716"/>
      <c r="N28" s="2716"/>
      <c r="O28" s="2770"/>
      <c r="P28" s="3672"/>
      <c r="Q28" s="1342"/>
      <c r="R28" s="700"/>
      <c r="S28" s="701"/>
      <c r="T28" s="700"/>
      <c r="U28" s="701"/>
      <c r="V28" s="700"/>
      <c r="W28" s="701"/>
      <c r="X28" s="702"/>
      <c r="Y28" s="3672"/>
      <c r="Z28" s="52"/>
      <c r="AA28" s="1352">
        <v>1</v>
      </c>
      <c r="AB28" s="1352">
        <v>1</v>
      </c>
      <c r="AC28" s="1352">
        <v>1</v>
      </c>
    </row>
    <row r="29" spans="1:29" s="108" customFormat="1" ht="28.5">
      <c r="A29" s="596"/>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5"/>
      <c r="M29" s="2716"/>
      <c r="N29" s="2716"/>
      <c r="O29" s="2770"/>
      <c r="P29" s="3672"/>
      <c r="Q29" s="1342" t="str">
        <f t="shared" ref="Q29" si="9">B29</f>
        <v>基础设施水平</v>
      </c>
      <c r="R29" s="700" t="s">
        <v>14</v>
      </c>
      <c r="S29" s="701">
        <f>F29</f>
        <v>100</v>
      </c>
      <c r="T29" s="700" t="s">
        <v>14</v>
      </c>
      <c r="U29" s="701">
        <f>H29</f>
        <v>100</v>
      </c>
      <c r="V29" s="700" t="s">
        <v>14</v>
      </c>
      <c r="W29" s="701">
        <f>J29</f>
        <v>100</v>
      </c>
      <c r="X29" s="702"/>
      <c r="Y29" s="3672"/>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5"/>
      <c r="M30" s="2716"/>
      <c r="N30" s="2716"/>
      <c r="O30" s="2770"/>
      <c r="P30" s="3672"/>
      <c r="Q30" s="1342"/>
      <c r="R30" s="700"/>
      <c r="S30" s="701"/>
      <c r="T30" s="700"/>
      <c r="U30" s="701"/>
      <c r="V30" s="700"/>
      <c r="W30" s="701"/>
      <c r="X30" s="702"/>
      <c r="Y30" s="3672"/>
      <c r="Z30" s="52"/>
      <c r="AA30" s="1352">
        <v>1</v>
      </c>
      <c r="AB30" s="1352">
        <v>1</v>
      </c>
      <c r="AC30" s="1352">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0"/>
      <c r="M31" s="2714"/>
      <c r="N31" s="2714"/>
      <c r="O31" s="2772"/>
      <c r="P31" s="3672"/>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672"/>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0"/>
      <c r="M32" s="2714"/>
      <c r="N32" s="2714"/>
      <c r="O32" s="2772"/>
      <c r="P32" s="3672"/>
      <c r="Q32" s="1351" t="str">
        <f t="shared" si="8"/>
        <v>毗邻道路的类型与等级</v>
      </c>
      <c r="R32" s="704" t="s">
        <v>14</v>
      </c>
      <c r="S32" s="705">
        <f t="shared" si="10"/>
        <v>100</v>
      </c>
      <c r="T32" s="704" t="s">
        <v>14</v>
      </c>
      <c r="U32" s="705">
        <f t="shared" si="11"/>
        <v>100</v>
      </c>
      <c r="V32" s="704" t="s">
        <v>14</v>
      </c>
      <c r="W32" s="705">
        <f t="shared" si="12"/>
        <v>100</v>
      </c>
      <c r="X32" s="1354"/>
      <c r="Y32" s="3672"/>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0"/>
      <c r="M33" s="2714"/>
      <c r="N33" s="2714"/>
      <c r="O33" s="2772"/>
      <c r="P33" s="3672"/>
      <c r="Q33" s="1351"/>
      <c r="R33" s="704"/>
      <c r="S33" s="705"/>
      <c r="T33" s="704"/>
      <c r="U33" s="705"/>
      <c r="V33" s="704"/>
      <c r="W33" s="705"/>
      <c r="X33" s="1354"/>
      <c r="Y33" s="3672"/>
      <c r="Z33" s="1355"/>
      <c r="AA33" s="1352">
        <v>1</v>
      </c>
      <c r="AB33" s="1352">
        <v>1</v>
      </c>
      <c r="AC33" s="1352">
        <v>1</v>
      </c>
    </row>
    <row r="34" spans="1:29" ht="15">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0"/>
      <c r="M34" s="2714"/>
      <c r="N34" s="2714"/>
      <c r="O34" s="2772"/>
      <c r="P34" s="3672"/>
      <c r="Q34" s="1351" t="str">
        <f t="shared" si="8"/>
        <v>土地级别</v>
      </c>
      <c r="R34" s="704" t="s">
        <v>14</v>
      </c>
      <c r="S34" s="705">
        <f t="shared" si="10"/>
        <v>100</v>
      </c>
      <c r="T34" s="704" t="s">
        <v>14</v>
      </c>
      <c r="U34" s="705">
        <f t="shared" si="11"/>
        <v>100</v>
      </c>
      <c r="V34" s="704" t="s">
        <v>14</v>
      </c>
      <c r="W34" s="705">
        <f t="shared" si="12"/>
        <v>100</v>
      </c>
      <c r="X34" s="1354"/>
      <c r="Y34" s="3672"/>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0"/>
      <c r="M35" s="2714"/>
      <c r="N35" s="2714"/>
      <c r="O35" s="2772"/>
      <c r="P35" s="3672"/>
      <c r="Q35" s="1351">
        <f t="shared" si="8"/>
        <v>111</v>
      </c>
      <c r="R35" s="704" t="s">
        <v>14</v>
      </c>
      <c r="S35" s="705">
        <f t="shared" si="10"/>
        <v>100</v>
      </c>
      <c r="T35" s="704" t="s">
        <v>14</v>
      </c>
      <c r="U35" s="705">
        <f t="shared" si="11"/>
        <v>100</v>
      </c>
      <c r="V35" s="704" t="s">
        <v>14</v>
      </c>
      <c r="W35" s="705">
        <f t="shared" si="12"/>
        <v>100</v>
      </c>
      <c r="X35" s="1354"/>
      <c r="Y35" s="3672"/>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0"/>
      <c r="M36" s="2714"/>
      <c r="N36" s="2714"/>
      <c r="O36" s="2772"/>
      <c r="P36" s="3748" t="s">
        <v>1696</v>
      </c>
      <c r="Q36" s="1351">
        <f t="shared" si="8"/>
        <v>111</v>
      </c>
      <c r="R36" s="704" t="s">
        <v>14</v>
      </c>
      <c r="S36" s="705">
        <f t="shared" si="10"/>
        <v>100</v>
      </c>
      <c r="T36" s="704" t="s">
        <v>14</v>
      </c>
      <c r="U36" s="705">
        <f t="shared" si="11"/>
        <v>100</v>
      </c>
      <c r="V36" s="704" t="s">
        <v>14</v>
      </c>
      <c r="W36" s="705">
        <f t="shared" si="12"/>
        <v>100</v>
      </c>
      <c r="X36" s="1354"/>
      <c r="Y36" s="3676" t="s">
        <v>1696</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9"/>
      <c r="M37" s="2721"/>
      <c r="N37" s="2721"/>
      <c r="O37" s="2773"/>
      <c r="P37" s="3676"/>
      <c r="Q37" s="1351">
        <f t="shared" si="8"/>
        <v>111</v>
      </c>
      <c r="R37" s="707" t="s">
        <v>14</v>
      </c>
      <c r="S37" s="708">
        <f t="shared" si="10"/>
        <v>100</v>
      </c>
      <c r="T37" s="707" t="s">
        <v>14</v>
      </c>
      <c r="U37" s="708">
        <f t="shared" si="11"/>
        <v>100</v>
      </c>
      <c r="V37" s="707" t="s">
        <v>14</v>
      </c>
      <c r="W37" s="708">
        <f t="shared" si="12"/>
        <v>100</v>
      </c>
      <c r="X37" s="709"/>
      <c r="Y37" s="3676"/>
      <c r="Z37" s="710">
        <f t="shared" si="13"/>
        <v>111</v>
      </c>
      <c r="AA37" s="1352">
        <f t="shared" si="3"/>
        <v>1</v>
      </c>
      <c r="AB37" s="1352">
        <f t="shared" si="4"/>
        <v>1</v>
      </c>
      <c r="AC37" s="1352">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0"/>
      <c r="M38" s="2714"/>
      <c r="N38" s="2714"/>
      <c r="O38" s="2772"/>
      <c r="P38" s="3676"/>
      <c r="Q38" s="1351" t="str">
        <f>B38</f>
        <v>宗地面积</v>
      </c>
      <c r="R38" s="704" t="s">
        <v>14</v>
      </c>
      <c r="S38" s="705" t="e">
        <f t="shared" si="10"/>
        <v>#N/A</v>
      </c>
      <c r="T38" s="704" t="s">
        <v>14</v>
      </c>
      <c r="U38" s="705" t="e">
        <f t="shared" si="11"/>
        <v>#N/A</v>
      </c>
      <c r="V38" s="704" t="s">
        <v>14</v>
      </c>
      <c r="W38" s="705" t="e">
        <f t="shared" si="12"/>
        <v>#N/A</v>
      </c>
      <c r="X38" s="1354"/>
      <c r="Y38" s="3676"/>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0"/>
      <c r="M39" s="2714"/>
      <c r="N39" s="2714"/>
      <c r="O39" s="2772"/>
      <c r="P39" s="3676"/>
      <c r="Q39" s="1351" t="str">
        <f t="shared" ref="Q39:Q45" si="14">B39</f>
        <v>宗地形状</v>
      </c>
      <c r="R39" s="704" t="s">
        <v>14</v>
      </c>
      <c r="S39" s="705">
        <f t="shared" si="10"/>
        <v>100</v>
      </c>
      <c r="T39" s="704" t="s">
        <v>14</v>
      </c>
      <c r="U39" s="705">
        <f t="shared" si="11"/>
        <v>100</v>
      </c>
      <c r="V39" s="704" t="s">
        <v>14</v>
      </c>
      <c r="W39" s="705">
        <f t="shared" si="12"/>
        <v>100</v>
      </c>
      <c r="X39" s="1354"/>
      <c r="Y39" s="3676"/>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0"/>
      <c r="M40" s="2714"/>
      <c r="N40" s="2714"/>
      <c r="O40" s="2772"/>
      <c r="P40" s="3676"/>
      <c r="Q40" s="1351" t="str">
        <f t="shared" si="14"/>
        <v>临街宽度及深度</v>
      </c>
      <c r="R40" s="704" t="s">
        <v>14</v>
      </c>
      <c r="S40" s="705">
        <f t="shared" si="10"/>
        <v>100</v>
      </c>
      <c r="T40" s="704" t="s">
        <v>14</v>
      </c>
      <c r="U40" s="705">
        <f t="shared" si="11"/>
        <v>100</v>
      </c>
      <c r="V40" s="704" t="s">
        <v>14</v>
      </c>
      <c r="W40" s="705">
        <f t="shared" si="12"/>
        <v>100</v>
      </c>
      <c r="X40" s="1354"/>
      <c r="Y40" s="3676"/>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5"/>
      <c r="M41" s="2716"/>
      <c r="N41" s="2716"/>
      <c r="O41" s="2770"/>
      <c r="P41" s="3676"/>
      <c r="Q41" s="1351" t="str">
        <f t="shared" si="14"/>
        <v>宗地开发程度</v>
      </c>
      <c r="R41" s="700" t="s">
        <v>14</v>
      </c>
      <c r="S41" s="701">
        <f t="shared" si="10"/>
        <v>100</v>
      </c>
      <c r="T41" s="700" t="s">
        <v>14</v>
      </c>
      <c r="U41" s="701">
        <f t="shared" si="11"/>
        <v>100</v>
      </c>
      <c r="V41" s="700" t="s">
        <v>14</v>
      </c>
      <c r="W41" s="701">
        <f t="shared" si="12"/>
        <v>100</v>
      </c>
      <c r="X41" s="702"/>
      <c r="Y41" s="3676"/>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0"/>
      <c r="M42" s="2714"/>
      <c r="N42" s="2714"/>
      <c r="O42" s="2772"/>
      <c r="P42" s="3676" t="s">
        <v>1696</v>
      </c>
      <c r="Q42" s="1351" t="str">
        <f t="shared" si="14"/>
        <v>工程地质条件</v>
      </c>
      <c r="R42" s="704" t="s">
        <v>14</v>
      </c>
      <c r="S42" s="705">
        <f t="shared" si="10"/>
        <v>100</v>
      </c>
      <c r="T42" s="704" t="s">
        <v>14</v>
      </c>
      <c r="U42" s="705">
        <f t="shared" si="11"/>
        <v>100</v>
      </c>
      <c r="V42" s="704" t="s">
        <v>14</v>
      </c>
      <c r="W42" s="705">
        <f t="shared" si="12"/>
        <v>100</v>
      </c>
      <c r="X42" s="1354"/>
      <c r="Y42" s="3676" t="s">
        <v>1696</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0"/>
      <c r="M43" s="2714"/>
      <c r="N43" s="2714"/>
      <c r="O43" s="2772"/>
      <c r="P43" s="3676"/>
      <c r="Q43" s="1351">
        <f t="shared" si="14"/>
        <v>111</v>
      </c>
      <c r="R43" s="704" t="s">
        <v>14</v>
      </c>
      <c r="S43" s="705">
        <f t="shared" si="10"/>
        <v>100</v>
      </c>
      <c r="T43" s="704" t="s">
        <v>14</v>
      </c>
      <c r="U43" s="705">
        <f t="shared" si="11"/>
        <v>100</v>
      </c>
      <c r="V43" s="704" t="s">
        <v>14</v>
      </c>
      <c r="W43" s="705">
        <f t="shared" si="12"/>
        <v>100</v>
      </c>
      <c r="X43" s="1354"/>
      <c r="Y43" s="3676"/>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0"/>
      <c r="M44" s="2714"/>
      <c r="N44" s="2714"/>
      <c r="O44" s="2772"/>
      <c r="P44" s="3676"/>
      <c r="Q44" s="1351">
        <f t="shared" si="14"/>
        <v>111</v>
      </c>
      <c r="R44" s="704" t="s">
        <v>14</v>
      </c>
      <c r="S44" s="705">
        <f t="shared" si="10"/>
        <v>100</v>
      </c>
      <c r="T44" s="704" t="s">
        <v>14</v>
      </c>
      <c r="U44" s="705">
        <f t="shared" si="11"/>
        <v>100</v>
      </c>
      <c r="V44" s="704" t="s">
        <v>14</v>
      </c>
      <c r="W44" s="705">
        <f t="shared" si="12"/>
        <v>100</v>
      </c>
      <c r="X44" s="1354"/>
      <c r="Y44" s="3676"/>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19"/>
      <c r="M45" s="2721"/>
      <c r="N45" s="2721"/>
      <c r="O45" s="2773"/>
      <c r="P45" s="3676"/>
      <c r="Q45" s="1351">
        <f t="shared" si="14"/>
        <v>111</v>
      </c>
      <c r="R45" s="707" t="s">
        <v>14</v>
      </c>
      <c r="S45" s="708">
        <f t="shared" si="10"/>
        <v>100</v>
      </c>
      <c r="T45" s="707" t="s">
        <v>14</v>
      </c>
      <c r="U45" s="708">
        <f t="shared" si="11"/>
        <v>100</v>
      </c>
      <c r="V45" s="707" t="s">
        <v>14</v>
      </c>
      <c r="W45" s="708">
        <f t="shared" si="12"/>
        <v>100</v>
      </c>
      <c r="X45" s="709"/>
      <c r="Y45" s="3676"/>
      <c r="Z45" s="710">
        <f t="shared" si="13"/>
        <v>111</v>
      </c>
      <c r="AA45" s="1352">
        <f t="shared" si="3"/>
        <v>1</v>
      </c>
      <c r="AB45" s="1352">
        <f t="shared" si="4"/>
        <v>1</v>
      </c>
      <c r="AC45" s="1352">
        <f t="shared" si="5"/>
        <v>1</v>
      </c>
    </row>
    <row r="46" spans="1:29" ht="15">
      <c r="A46" s="430" t="s">
        <v>1844</v>
      </c>
      <c r="B46" s="1981" t="s">
        <v>1879</v>
      </c>
      <c r="C46" s="629" t="s">
        <v>0</v>
      </c>
      <c r="D46" s="432"/>
      <c r="E46" s="433"/>
      <c r="F46" s="434"/>
      <c r="G46" s="435"/>
      <c r="H46" s="436"/>
      <c r="I46" s="433"/>
      <c r="J46" s="436"/>
      <c r="K46" s="713"/>
      <c r="L46" s="2722"/>
      <c r="M46" s="2723"/>
      <c r="N46" s="2714"/>
      <c r="O46" s="2723"/>
      <c r="P46" s="3664" t="str">
        <f>A46</f>
        <v>成交单价</v>
      </c>
      <c r="Q46" s="3664"/>
      <c r="R46" s="3678">
        <f>E46</f>
        <v>0</v>
      </c>
      <c r="S46" s="3678"/>
      <c r="T46" s="3678">
        <f>G46</f>
        <v>0</v>
      </c>
      <c r="U46" s="3678"/>
      <c r="V46" s="3678">
        <f>I46</f>
        <v>0</v>
      </c>
      <c r="W46" s="3678"/>
      <c r="X46" s="689"/>
      <c r="Y46" s="711"/>
      <c r="Z46" s="689"/>
      <c r="AA46" s="689"/>
      <c r="AB46" s="689"/>
      <c r="AC46" s="689"/>
    </row>
    <row r="47" spans="1:29" ht="15.75" thickBot="1">
      <c r="A47" s="437" t="s">
        <v>1793</v>
      </c>
      <c r="B47" s="630"/>
      <c r="C47" s="440" t="e">
        <f>R48</f>
        <v>#DIV/0!</v>
      </c>
      <c r="D47" s="2316" t="s">
        <v>2138</v>
      </c>
      <c r="E47" s="440" t="e">
        <f>R47</f>
        <v>#DIV/0!</v>
      </c>
      <c r="F47" s="2317"/>
      <c r="G47" s="439" t="e">
        <f>T47</f>
        <v>#DIV/0!</v>
      </c>
      <c r="H47" s="2317"/>
      <c r="I47" s="440" t="e">
        <f>V47</f>
        <v>#DIV/0!</v>
      </c>
      <c r="J47" s="2317"/>
      <c r="K47" s="2319">
        <f>F47+H47+J47</f>
        <v>0</v>
      </c>
      <c r="L47" s="2722"/>
      <c r="M47" s="2723"/>
      <c r="N47" s="2723"/>
      <c r="O47" s="2723"/>
      <c r="P47" s="3664" t="str">
        <f>A47</f>
        <v>比较价值（元/平方米）</v>
      </c>
      <c r="Q47" s="3664"/>
      <c r="R47" s="3750" t="e">
        <f>ROUND(PRODUCT(R46,AA7:AA45),0)</f>
        <v>#DIV/0!</v>
      </c>
      <c r="S47" s="3750"/>
      <c r="T47" s="3750" t="e">
        <f>ROUND(PRODUCT(T46,AB7:AB45),0)</f>
        <v>#DIV/0!</v>
      </c>
      <c r="U47" s="3750"/>
      <c r="V47" s="3750" t="e">
        <f>ROUND(PRODUCT(V46,AC7:AC45),0)</f>
        <v>#DIV/0!</v>
      </c>
      <c r="W47" s="3750"/>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2"/>
      <c r="M48" s="2723"/>
      <c r="N48" s="2723"/>
      <c r="O48" s="2723"/>
      <c r="P48" s="3666" t="str">
        <f>A48</f>
        <v>估价对象XX用房的比较价值（楼面单价，元/平方米）</v>
      </c>
      <c r="Q48" s="3667"/>
      <c r="R48" s="3751" t="e">
        <f>ROUND(IF(D47="简单平均",AVERAGE(R47:W47),R47*F47+T47*H47+V47*J47),0)</f>
        <v>#DIV/0!</v>
      </c>
      <c r="S48" s="3751"/>
      <c r="T48" s="3751"/>
      <c r="U48" s="3751"/>
      <c r="V48" s="3751"/>
      <c r="W48" s="3751"/>
      <c r="X48" s="689"/>
      <c r="Y48" s="689"/>
      <c r="Z48" s="689"/>
      <c r="AA48" s="689"/>
      <c r="AB48" s="689"/>
      <c r="AC48" s="689"/>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2"/>
      <c r="D54" s="690"/>
      <c r="E54" s="690"/>
      <c r="F54" s="690"/>
      <c r="G54" s="690"/>
      <c r="H54" s="690"/>
      <c r="I54" s="690"/>
      <c r="J54" s="690"/>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1" t="s">
        <v>1881</v>
      </c>
      <c r="B55" s="632" t="s">
        <v>1882</v>
      </c>
      <c r="C55" s="1982" t="s">
        <v>1883</v>
      </c>
      <c r="D55" s="1983" t="s">
        <v>1884</v>
      </c>
      <c r="E55" s="633" t="s">
        <v>1885</v>
      </c>
      <c r="F55" s="889" t="s">
        <v>1886</v>
      </c>
      <c r="G55" s="3683" t="s">
        <v>1887</v>
      </c>
      <c r="H55" s="3752"/>
      <c r="I55" s="135" t="s">
        <v>1888</v>
      </c>
      <c r="J55" s="1984">
        <f>项目基本情况!F35</f>
        <v>0</v>
      </c>
      <c r="K55" s="1985" t="s">
        <v>1889</v>
      </c>
      <c r="L55" s="2724"/>
      <c r="M55" s="2723"/>
      <c r="N55" s="2723"/>
      <c r="O55" s="2723"/>
      <c r="P55" s="2723"/>
      <c r="Q55" s="2723"/>
      <c r="R55" s="2723"/>
      <c r="S55" s="2723"/>
      <c r="T55" s="2723"/>
      <c r="U55" s="2723"/>
      <c r="V55" s="2723"/>
      <c r="W55" s="2723"/>
      <c r="X55" s="2723"/>
      <c r="Y55" s="2723"/>
      <c r="Z55" s="2723"/>
      <c r="AA55" s="2723"/>
      <c r="AB55" s="2723"/>
      <c r="AC55" s="2723"/>
    </row>
    <row r="56" spans="1:29" s="639" customFormat="1">
      <c r="A56" s="635" t="s">
        <v>1890</v>
      </c>
      <c r="B56" s="636" t="e">
        <f>C48</f>
        <v>#DIV/0!</v>
      </c>
      <c r="C56" s="637">
        <v>1</v>
      </c>
      <c r="D56" s="943">
        <v>1</v>
      </c>
      <c r="E56" s="637">
        <f>'数据-汇总表'!E8+'数据-汇总表'!E9</f>
        <v>217.64</v>
      </c>
      <c r="F56" s="885" t="e">
        <f t="shared" ref="F56:F64" si="15">ROUND(B56*E56/10000,0)</f>
        <v>#DIV/0!</v>
      </c>
      <c r="G56" s="3679"/>
      <c r="H56" s="3664"/>
      <c r="I56" s="890">
        <v>1</v>
      </c>
      <c r="J56" s="893">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39" customFormat="1">
      <c r="A57" s="640" t="s">
        <v>1891</v>
      </c>
      <c r="B57" s="218" t="e">
        <f>ROUND($C$48*C57*D57,0)</f>
        <v>#DIV/0!</v>
      </c>
      <c r="C57" s="171">
        <f t="shared" ref="C57:C64" si="16">IF($C$55="北京市系数",I57,J57)</f>
        <v>0.6</v>
      </c>
      <c r="D57" s="944">
        <v>0.25</v>
      </c>
      <c r="E57" s="641"/>
      <c r="F57" s="885" t="e">
        <f t="shared" si="15"/>
        <v>#DIV/0!</v>
      </c>
      <c r="G57" s="3004" t="s">
        <v>1892</v>
      </c>
      <c r="H57" s="886" t="str">
        <f>项目基本情况!B37</f>
        <v>六级</v>
      </c>
      <c r="I57" s="890">
        <f>SUMIF(修正!A57:A68,H57,修正!B57:B68)</f>
        <v>0.6</v>
      </c>
      <c r="J57" s="894"/>
      <c r="K57" s="2723"/>
      <c r="L57" s="2780"/>
      <c r="M57" s="2780"/>
      <c r="N57" s="2780"/>
      <c r="O57" s="2780"/>
      <c r="P57" s="2780"/>
      <c r="Q57" s="2780"/>
      <c r="R57" s="2780"/>
      <c r="S57" s="2780"/>
      <c r="T57" s="2780"/>
      <c r="U57" s="2780"/>
      <c r="V57" s="2780"/>
      <c r="W57" s="2780"/>
      <c r="X57" s="2780"/>
      <c r="Y57" s="2780"/>
      <c r="Z57" s="2780"/>
      <c r="AA57" s="2780"/>
      <c r="AB57" s="2780"/>
      <c r="AC57" s="2780"/>
    </row>
    <row r="58" spans="1:29" s="639" customFormat="1">
      <c r="A58" s="640" t="s">
        <v>1893</v>
      </c>
      <c r="B58" s="218" t="e">
        <f t="shared" ref="B58:B64" si="17">ROUND($C$48*C58*D58,0)</f>
        <v>#DIV/0!</v>
      </c>
      <c r="C58" s="171">
        <f t="shared" si="16"/>
        <v>0.3</v>
      </c>
      <c r="D58" s="944">
        <v>0.25</v>
      </c>
      <c r="E58" s="641"/>
      <c r="F58" s="885" t="e">
        <f t="shared" si="15"/>
        <v>#DIV/0!</v>
      </c>
      <c r="G58" s="3005"/>
      <c r="H58" s="886" t="str">
        <f>项目基本情况!B37</f>
        <v>六级</v>
      </c>
      <c r="I58" s="890">
        <f>SUMIF(修正!A57:A68,H58,修正!C57:C68)</f>
        <v>0.3</v>
      </c>
      <c r="J58" s="894"/>
      <c r="K58" s="2726"/>
      <c r="L58" s="2780"/>
      <c r="M58" s="2780"/>
      <c r="N58" s="2780"/>
      <c r="O58" s="2780"/>
      <c r="P58" s="2780"/>
      <c r="Q58" s="2780"/>
      <c r="R58" s="2780"/>
      <c r="S58" s="2780"/>
      <c r="T58" s="2780"/>
      <c r="U58" s="2780"/>
      <c r="V58" s="2780"/>
      <c r="W58" s="2780"/>
      <c r="X58" s="2780"/>
      <c r="Y58" s="2780"/>
      <c r="Z58" s="2780"/>
      <c r="AA58" s="2780"/>
      <c r="AB58" s="2780"/>
      <c r="AC58" s="2780"/>
    </row>
    <row r="59" spans="1:29" s="639" customFormat="1">
      <c r="A59" s="640" t="s">
        <v>1894</v>
      </c>
      <c r="B59" s="218" t="e">
        <f t="shared" si="17"/>
        <v>#DIV/0!</v>
      </c>
      <c r="C59" s="171">
        <f t="shared" si="16"/>
        <v>0.25</v>
      </c>
      <c r="D59" s="944">
        <v>0.25</v>
      </c>
      <c r="E59" s="641"/>
      <c r="F59" s="885" t="e">
        <f t="shared" si="15"/>
        <v>#DIV/0!</v>
      </c>
      <c r="G59" s="3005"/>
      <c r="H59" s="886" t="str">
        <f>项目基本情况!B37</f>
        <v>六级</v>
      </c>
      <c r="I59" s="890">
        <f>SUMIF(修正!A57:A68,H59,修正!D57:D68)</f>
        <v>0.25</v>
      </c>
      <c r="J59" s="894"/>
      <c r="K59" s="2723"/>
      <c r="L59" s="2780"/>
      <c r="M59" s="2780"/>
      <c r="N59" s="2780"/>
      <c r="O59" s="2780"/>
      <c r="P59" s="2780"/>
      <c r="Q59" s="2780"/>
      <c r="R59" s="2780"/>
      <c r="S59" s="2780"/>
      <c r="T59" s="2780"/>
      <c r="U59" s="2780"/>
      <c r="V59" s="2780"/>
      <c r="W59" s="2780"/>
      <c r="X59" s="2780"/>
      <c r="Y59" s="2780"/>
      <c r="Z59" s="2780"/>
      <c r="AA59" s="2780"/>
      <c r="AB59" s="2780"/>
      <c r="AC59" s="2780"/>
    </row>
    <row r="60" spans="1:29" s="639" customFormat="1">
      <c r="A60" s="640" t="s">
        <v>1895</v>
      </c>
      <c r="B60" s="218" t="e">
        <f t="shared" si="17"/>
        <v>#DIV/0!</v>
      </c>
      <c r="C60" s="171">
        <f t="shared" si="16"/>
        <v>0</v>
      </c>
      <c r="D60" s="944">
        <v>0.25</v>
      </c>
      <c r="E60" s="217">
        <f>'数据-汇总表'!E11</f>
        <v>0</v>
      </c>
      <c r="F60" s="885" t="e">
        <f t="shared" si="15"/>
        <v>#DIV/0!</v>
      </c>
      <c r="G60" s="1986" t="s">
        <v>1896</v>
      </c>
      <c r="H60" s="886">
        <f>项目基本情况!C37</f>
        <v>0</v>
      </c>
      <c r="I60" s="890">
        <f>SUMIF(修正!A57:A68,H60,修正!E57:E68)</f>
        <v>0</v>
      </c>
      <c r="J60" s="894"/>
      <c r="K60" s="2723"/>
      <c r="L60" s="2780"/>
      <c r="M60" s="2780"/>
      <c r="N60" s="2780"/>
      <c r="O60" s="2780"/>
      <c r="P60" s="2780"/>
      <c r="Q60" s="2780"/>
      <c r="R60" s="2780"/>
      <c r="S60" s="2780"/>
      <c r="T60" s="2780"/>
      <c r="U60" s="2780"/>
      <c r="V60" s="2780"/>
      <c r="W60" s="2780"/>
      <c r="X60" s="2780"/>
      <c r="Y60" s="2780"/>
      <c r="Z60" s="2780"/>
      <c r="AA60" s="2780"/>
      <c r="AB60" s="2780"/>
      <c r="AC60" s="2780"/>
    </row>
    <row r="61" spans="1:29" s="639" customFormat="1">
      <c r="A61" s="640"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6"/>
      <c r="L61" s="2780"/>
      <c r="M61" s="2780"/>
      <c r="N61" s="2780"/>
      <c r="O61" s="2780"/>
      <c r="P61" s="2780"/>
      <c r="Q61" s="2780"/>
      <c r="R61" s="2780"/>
      <c r="S61" s="2780"/>
      <c r="T61" s="2780"/>
      <c r="U61" s="2780"/>
      <c r="V61" s="2780"/>
      <c r="W61" s="2780"/>
      <c r="X61" s="2780"/>
      <c r="Y61" s="2780"/>
      <c r="Z61" s="2780"/>
      <c r="AA61" s="2780"/>
      <c r="AB61" s="2780"/>
      <c r="AC61" s="2780"/>
    </row>
    <row r="62" spans="1:29" s="639" customFormat="1">
      <c r="A62" s="640"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3"/>
      <c r="L62" s="2780"/>
      <c r="M62" s="2780"/>
      <c r="N62" s="2780"/>
      <c r="O62" s="2780"/>
      <c r="P62" s="2780"/>
      <c r="Q62" s="2780"/>
      <c r="R62" s="2780"/>
      <c r="S62" s="2780"/>
      <c r="T62" s="2780"/>
      <c r="U62" s="2780"/>
      <c r="V62" s="2780"/>
      <c r="W62" s="2780"/>
      <c r="X62" s="2780"/>
      <c r="Y62" s="2780"/>
      <c r="Z62" s="2780"/>
      <c r="AA62" s="2780"/>
      <c r="AB62" s="2780"/>
      <c r="AC62" s="2780"/>
    </row>
    <row r="63" spans="1:29" s="639" customFormat="1">
      <c r="A63" s="640" t="s">
        <v>1901</v>
      </c>
      <c r="B63" s="218" t="e">
        <f t="shared" si="17"/>
        <v>#DIV/0!</v>
      </c>
      <c r="C63" s="171">
        <f t="shared" si="16"/>
        <v>0.15</v>
      </c>
      <c r="D63" s="944">
        <v>0.25</v>
      </c>
      <c r="E63" s="217">
        <f>'数据-汇总表'!E14</f>
        <v>0</v>
      </c>
      <c r="F63" s="885" t="e">
        <f t="shared" si="15"/>
        <v>#DIV/0!</v>
      </c>
      <c r="G63" s="1986" t="s">
        <v>1892</v>
      </c>
      <c r="H63" s="886" t="str">
        <f>项目基本情况!B37</f>
        <v>六级</v>
      </c>
      <c r="I63" s="890">
        <f>SUMIF(修正!A57:A68,H63,修正!G57:G68)</f>
        <v>0.15</v>
      </c>
      <c r="J63" s="894"/>
      <c r="K63" s="2726"/>
      <c r="L63" s="2780"/>
      <c r="M63" s="2780"/>
      <c r="N63" s="2780"/>
      <c r="O63" s="2780"/>
      <c r="P63" s="2780"/>
      <c r="Q63" s="2780"/>
      <c r="R63" s="2780"/>
      <c r="S63" s="2780"/>
      <c r="T63" s="2780"/>
      <c r="U63" s="2780"/>
      <c r="V63" s="2780"/>
      <c r="W63" s="2780"/>
      <c r="X63" s="2780"/>
      <c r="Y63" s="2780"/>
      <c r="Z63" s="2780"/>
      <c r="AA63" s="2780"/>
      <c r="AB63" s="2780"/>
      <c r="AC63" s="2780"/>
    </row>
    <row r="64" spans="1:29" s="639" customFormat="1" ht="15" thickBot="1">
      <c r="A64" s="640" t="s">
        <v>1902</v>
      </c>
      <c r="B64" s="218" t="e">
        <f t="shared" si="17"/>
        <v>#DIV/0!</v>
      </c>
      <c r="C64" s="171">
        <f t="shared" si="16"/>
        <v>0</v>
      </c>
      <c r="D64" s="944">
        <v>0.25</v>
      </c>
      <c r="E64" s="217">
        <f>'数据-汇总表'!E15</f>
        <v>0</v>
      </c>
      <c r="F64" s="885" t="e">
        <f t="shared" si="15"/>
        <v>#DIV/0!</v>
      </c>
      <c r="G64" s="1987" t="s">
        <v>1896</v>
      </c>
      <c r="H64" s="896">
        <f>项目基本情况!C37</f>
        <v>0</v>
      </c>
      <c r="I64" s="892">
        <f>SUMIF(修正!A57:A68,H64,修正!G57:G68)</f>
        <v>0</v>
      </c>
      <c r="J64" s="895"/>
      <c r="K64" s="2723"/>
      <c r="L64" s="2780"/>
      <c r="M64" s="2780"/>
      <c r="N64" s="2780"/>
      <c r="O64" s="2780"/>
      <c r="P64" s="2780"/>
      <c r="Q64" s="2780"/>
      <c r="R64" s="2780"/>
      <c r="S64" s="2780"/>
      <c r="T64" s="2780"/>
      <c r="U64" s="2780"/>
      <c r="V64" s="2780"/>
      <c r="W64" s="2780"/>
      <c r="X64" s="2780"/>
      <c r="Y64" s="2780"/>
      <c r="Z64" s="2780"/>
      <c r="AA64" s="2780"/>
      <c r="AB64" s="2780"/>
      <c r="AC64" s="2780"/>
    </row>
    <row r="65" spans="1:29" s="639" customFormat="1" ht="13.5" thickBot="1">
      <c r="A65" s="642" t="s">
        <v>1903</v>
      </c>
      <c r="B65" s="643" t="s">
        <v>22</v>
      </c>
      <c r="C65" s="643" t="s">
        <v>23</v>
      </c>
      <c r="D65" s="643" t="s">
        <v>392</v>
      </c>
      <c r="E65" s="643">
        <f>IF(B46="楼面地价",SUM(E56:E64),'数据-汇总表'!D3)</f>
        <v>217.64</v>
      </c>
      <c r="F65" s="644" t="e">
        <f>IF(B46="楼面地价",SUM(F56:F64),ROUND(C48*E65/10000,0))</f>
        <v>#DIV/0!</v>
      </c>
      <c r="G65" s="716"/>
      <c r="H65" s="716"/>
      <c r="I65" s="716"/>
      <c r="J65" s="716"/>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9"/>
      <c r="B66" s="691"/>
      <c r="C66" s="692"/>
      <c r="D66" s="689"/>
      <c r="E66" s="689"/>
      <c r="F66" s="689"/>
      <c r="G66" s="689"/>
      <c r="H66" s="689"/>
      <c r="I66" s="689"/>
      <c r="J66" s="926"/>
      <c r="K66" s="887"/>
      <c r="L66" s="888"/>
      <c r="M66" s="926"/>
      <c r="N66" s="926"/>
      <c r="O66" s="926"/>
      <c r="P66" s="2723"/>
      <c r="Q66" s="2723"/>
      <c r="R66" s="2723"/>
      <c r="S66" s="2723"/>
      <c r="T66" s="2723"/>
      <c r="U66" s="2723"/>
      <c r="V66" s="2723"/>
      <c r="W66" s="2723"/>
      <c r="X66" s="2723"/>
      <c r="Y66" s="2723"/>
      <c r="Z66" s="2723"/>
      <c r="AA66" s="2723"/>
      <c r="AB66" s="2723"/>
      <c r="AC66" s="2723"/>
    </row>
    <row r="67" spans="1:29">
      <c r="A67" s="689"/>
      <c r="B67" s="691"/>
      <c r="C67" s="691" t="str">
        <f>YEAR(C7)&amp;"-"&amp;MONTH(C7)&amp;"-1"</f>
        <v>2024-5-1</v>
      </c>
      <c r="D67" s="691">
        <f>EDATE(C67,-3)</f>
        <v>45323</v>
      </c>
      <c r="E67" s="691">
        <f>EDATE(D67,-3)</f>
        <v>45231</v>
      </c>
      <c r="F67" s="691">
        <f t="shared" ref="F67:O67" si="18">EDATE(E67,-3)</f>
        <v>45139</v>
      </c>
      <c r="G67" s="691">
        <f t="shared" si="18"/>
        <v>45047</v>
      </c>
      <c r="H67" s="691">
        <f t="shared" si="18"/>
        <v>44958</v>
      </c>
      <c r="I67" s="691">
        <f t="shared" si="18"/>
        <v>44866</v>
      </c>
      <c r="J67" s="691">
        <f t="shared" si="18"/>
        <v>44774</v>
      </c>
      <c r="K67" s="691">
        <f t="shared" si="18"/>
        <v>44682</v>
      </c>
      <c r="L67" s="691">
        <f t="shared" si="18"/>
        <v>44593</v>
      </c>
      <c r="M67" s="691">
        <f t="shared" si="18"/>
        <v>44501</v>
      </c>
      <c r="N67" s="691">
        <f t="shared" si="18"/>
        <v>44409</v>
      </c>
      <c r="O67" s="691">
        <f t="shared" si="18"/>
        <v>44317</v>
      </c>
      <c r="P67" s="2723"/>
      <c r="Q67" s="2723"/>
      <c r="R67" s="2723"/>
      <c r="S67" s="2723"/>
      <c r="T67" s="2723"/>
      <c r="U67" s="2723"/>
      <c r="V67" s="2723"/>
      <c r="W67" s="2723"/>
      <c r="X67" s="2723"/>
      <c r="Y67" s="2723"/>
      <c r="Z67" s="2723"/>
      <c r="AA67" s="2723"/>
      <c r="AB67" s="2723"/>
      <c r="AC67" s="2723"/>
    </row>
    <row r="68" spans="1:29" ht="21.75" thickBot="1">
      <c r="A68" s="693" t="s">
        <v>1798</v>
      </c>
      <c r="B68" s="689"/>
      <c r="C68" s="694"/>
      <c r="D68" s="694"/>
      <c r="E68" s="694"/>
      <c r="F68" s="695"/>
      <c r="G68" s="695"/>
      <c r="H68" s="694"/>
      <c r="I68" s="694"/>
      <c r="J68" s="939"/>
      <c r="K68" s="940"/>
      <c r="L68" s="941"/>
      <c r="M68" s="939"/>
      <c r="N68" s="2767"/>
      <c r="O68" s="2767"/>
      <c r="P68" s="2767"/>
      <c r="Q68" s="2737"/>
      <c r="R68" s="2723"/>
      <c r="S68" s="2723"/>
      <c r="T68" s="2723"/>
      <c r="U68" s="2723"/>
      <c r="V68" s="2723"/>
      <c r="W68" s="2723"/>
      <c r="X68" s="2723"/>
      <c r="Y68" s="2723"/>
      <c r="Z68" s="2723"/>
      <c r="AA68" s="2723"/>
      <c r="AB68" s="2723"/>
      <c r="AC68" s="2723"/>
    </row>
    <row r="69" spans="1:29" s="457" customFormat="1" ht="15">
      <c r="A69" s="1988" t="s">
        <v>1904</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4"/>
      <c r="Q69" s="2739"/>
      <c r="R69" s="2739"/>
      <c r="S69" s="2739"/>
      <c r="T69" s="2739"/>
      <c r="U69" s="2739"/>
      <c r="V69" s="2739"/>
      <c r="W69" s="2739"/>
      <c r="X69" s="2739"/>
      <c r="Y69" s="2739"/>
      <c r="Z69" s="2739"/>
      <c r="AA69" s="2739"/>
      <c r="AB69" s="2739"/>
      <c r="AC69" s="2739"/>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2"/>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6">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69"/>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9"/>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31"/>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2"/>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4"/>
      <c r="E114" s="624"/>
      <c r="F114" s="624"/>
      <c r="G114" s="624"/>
      <c r="H114" s="624"/>
      <c r="I114" s="624"/>
      <c r="J114" s="624"/>
      <c r="K114" s="624"/>
      <c r="L114" s="624"/>
      <c r="M114" s="646"/>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7"/>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7"/>
      <c r="D2" s="907"/>
      <c r="E2" s="907"/>
      <c r="F2" s="908"/>
      <c r="G2" s="907"/>
      <c r="H2" s="907"/>
      <c r="I2" s="907"/>
      <c r="J2" s="907"/>
      <c r="K2" s="909"/>
      <c r="L2" s="2732"/>
      <c r="M2" s="2733"/>
      <c r="N2" s="2733"/>
      <c r="O2" s="2733"/>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2"/>
      <c r="M3" s="2733"/>
      <c r="N3" s="2733"/>
      <c r="O3" s="2733"/>
      <c r="P3" s="698"/>
      <c r="Q3" s="698"/>
      <c r="R3" s="698"/>
      <c r="S3" s="698"/>
      <c r="T3" s="698"/>
      <c r="U3" s="698"/>
      <c r="V3" s="698"/>
      <c r="W3" s="698"/>
      <c r="X3" s="698"/>
      <c r="Y3" s="698"/>
      <c r="Z3" s="698"/>
      <c r="AA3" s="698"/>
      <c r="AB3" s="715"/>
      <c r="AC3" s="712"/>
    </row>
    <row r="4" spans="1:29" ht="15">
      <c r="A4" s="355" t="s">
        <v>1769</v>
      </c>
      <c r="B4" s="356"/>
      <c r="C4" s="3683" t="s">
        <v>1770</v>
      </c>
      <c r="D4" s="3684"/>
      <c r="E4" s="3685" t="s">
        <v>1771</v>
      </c>
      <c r="F4" s="3686"/>
      <c r="G4" s="3683" t="s">
        <v>1772</v>
      </c>
      <c r="H4" s="3684"/>
      <c r="I4" s="3683" t="s">
        <v>1773</v>
      </c>
      <c r="J4" s="3684"/>
      <c r="K4" s="559" t="s">
        <v>1774</v>
      </c>
      <c r="L4" s="2713"/>
      <c r="M4" s="2714"/>
      <c r="N4" s="2714"/>
      <c r="O4" s="2714"/>
      <c r="P4" s="3687" t="s">
        <v>1775</v>
      </c>
      <c r="Q4" s="3688"/>
      <c r="R4" s="3693" t="s">
        <v>1771</v>
      </c>
      <c r="S4" s="3694"/>
      <c r="T4" s="3693" t="s">
        <v>1772</v>
      </c>
      <c r="U4" s="3694"/>
      <c r="V4" s="3678" t="s">
        <v>1773</v>
      </c>
      <c r="W4" s="3678"/>
      <c r="X4" s="1354"/>
      <c r="Y4" s="3693" t="s">
        <v>1775</v>
      </c>
      <c r="Z4" s="3694"/>
      <c r="AA4" s="3680" t="s">
        <v>1771</v>
      </c>
      <c r="AB4" s="3681" t="s">
        <v>1772</v>
      </c>
      <c r="AC4" s="3680" t="s">
        <v>1773</v>
      </c>
    </row>
    <row r="5" spans="1:29" ht="15">
      <c r="A5" s="358"/>
      <c r="B5" s="359"/>
      <c r="C5" s="3731" t="s">
        <v>1673</v>
      </c>
      <c r="D5" s="3702"/>
      <c r="E5" s="3732" t="s">
        <v>1674</v>
      </c>
      <c r="F5" s="3709"/>
      <c r="G5" s="3731" t="s">
        <v>1675</v>
      </c>
      <c r="H5" s="3702"/>
      <c r="I5" s="3731" t="s">
        <v>1676</v>
      </c>
      <c r="J5" s="3702"/>
      <c r="K5" s="559"/>
      <c r="L5" s="2713"/>
      <c r="M5" s="2714"/>
      <c r="N5" s="2714"/>
      <c r="O5" s="2714"/>
      <c r="P5" s="3689"/>
      <c r="Q5" s="3690"/>
      <c r="R5" s="3695"/>
      <c r="S5" s="3696"/>
      <c r="T5" s="3695"/>
      <c r="U5" s="3696"/>
      <c r="V5" s="3678"/>
      <c r="W5" s="3678"/>
      <c r="X5" s="1354"/>
      <c r="Y5" s="3695"/>
      <c r="Z5" s="3696"/>
      <c r="AA5" s="3681"/>
      <c r="AB5" s="3681"/>
      <c r="AC5" s="3681"/>
    </row>
    <row r="6" spans="1:29" ht="15.75" thickBot="1">
      <c r="A6" s="360"/>
      <c r="B6" s="361"/>
      <c r="C6" s="3753" t="s">
        <v>1919</v>
      </c>
      <c r="D6" s="3754"/>
      <c r="E6" s="3755" t="s">
        <v>1919</v>
      </c>
      <c r="F6" s="3756"/>
      <c r="G6" s="3753" t="s">
        <v>1919</v>
      </c>
      <c r="H6" s="3754"/>
      <c r="I6" s="3753" t="s">
        <v>1919</v>
      </c>
      <c r="J6" s="3754"/>
      <c r="K6" s="559" t="s">
        <v>1678</v>
      </c>
      <c r="L6" s="2713"/>
      <c r="M6" s="2714"/>
      <c r="N6" s="2714"/>
      <c r="O6" s="2714"/>
      <c r="P6" s="3691"/>
      <c r="Q6" s="3692"/>
      <c r="R6" s="3695"/>
      <c r="S6" s="3696"/>
      <c r="T6" s="3697"/>
      <c r="U6" s="3698"/>
      <c r="V6" s="3678"/>
      <c r="W6" s="3678"/>
      <c r="X6" s="1354"/>
      <c r="Y6" s="3697"/>
      <c r="Z6" s="3698"/>
      <c r="AA6" s="3682"/>
      <c r="AB6" s="3682"/>
      <c r="AC6" s="3682"/>
    </row>
    <row r="7" spans="1:29" s="108" customFormat="1" ht="15.75" thickBot="1">
      <c r="A7" s="362" t="s">
        <v>1679</v>
      </c>
      <c r="B7" s="363"/>
      <c r="C7" s="364">
        <f>'数据-取费表'!B2</f>
        <v>45435</v>
      </c>
      <c r="D7" s="365">
        <v>100</v>
      </c>
      <c r="E7" s="366"/>
      <c r="F7" s="367">
        <f>SUMIF(65:65,YEAR(E7)&amp;"-"&amp;INT((MONTH(E7)+2)/3),66:66)</f>
        <v>0</v>
      </c>
      <c r="G7" s="1973"/>
      <c r="H7" s="365">
        <f>SUMIF(65:65,YEAR(G7)&amp;"-"&amp;INT((MONTH(G7)+2)/3),66:66)</f>
        <v>0</v>
      </c>
      <c r="I7" s="1973"/>
      <c r="J7" s="365">
        <f>SUMIF(65:65,YEAR(I7)&amp;"-"&amp;INT((MONTH(I7)+2)/3),66:66)</f>
        <v>0</v>
      </c>
      <c r="K7" s="560"/>
      <c r="L7" s="2715"/>
      <c r="M7" s="2716"/>
      <c r="N7" s="2716"/>
      <c r="O7" s="2716"/>
      <c r="P7" s="3703" t="s">
        <v>1680</v>
      </c>
      <c r="Q7" s="3705"/>
      <c r="R7" s="700" t="s">
        <v>14</v>
      </c>
      <c r="S7" s="701">
        <f t="shared" ref="S7:S15" si="0">F7</f>
        <v>0</v>
      </c>
      <c r="T7" s="700" t="s">
        <v>14</v>
      </c>
      <c r="U7" s="701">
        <f t="shared" ref="U7:U15" si="1">H7</f>
        <v>0</v>
      </c>
      <c r="V7" s="700" t="s">
        <v>14</v>
      </c>
      <c r="W7" s="701">
        <f t="shared" ref="W7:W15" si="2">J7</f>
        <v>0</v>
      </c>
      <c r="X7" s="702"/>
      <c r="Y7" s="3703" t="s">
        <v>1680</v>
      </c>
      <c r="Z7" s="3704"/>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03" t="s">
        <v>1683</v>
      </c>
      <c r="Q8" s="3704"/>
      <c r="R8" s="700" t="s">
        <v>14</v>
      </c>
      <c r="S8" s="701">
        <f t="shared" si="0"/>
        <v>0</v>
      </c>
      <c r="T8" s="700" t="s">
        <v>14</v>
      </c>
      <c r="U8" s="701">
        <f t="shared" si="1"/>
        <v>0</v>
      </c>
      <c r="V8" s="700" t="s">
        <v>14</v>
      </c>
      <c r="W8" s="701">
        <f t="shared" si="2"/>
        <v>0</v>
      </c>
      <c r="X8" s="702"/>
      <c r="Y8" s="3703" t="s">
        <v>1683</v>
      </c>
      <c r="Z8" s="3704"/>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5"/>
      <c r="M9" s="2716"/>
      <c r="N9" s="2716"/>
      <c r="O9" s="2770"/>
      <c r="P9" s="3664" t="s">
        <v>1686</v>
      </c>
      <c r="Q9" s="1342" t="str">
        <f t="shared" ref="Q9:Q15" si="6">B9</f>
        <v>用途</v>
      </c>
      <c r="R9" s="700" t="s">
        <v>14</v>
      </c>
      <c r="S9" s="701">
        <f t="shared" si="0"/>
        <v>100</v>
      </c>
      <c r="T9" s="700" t="s">
        <v>14</v>
      </c>
      <c r="U9" s="701">
        <f t="shared" si="1"/>
        <v>100</v>
      </c>
      <c r="V9" s="700" t="s">
        <v>14</v>
      </c>
      <c r="W9" s="701">
        <f t="shared" si="2"/>
        <v>100</v>
      </c>
      <c r="X9" s="702"/>
      <c r="Y9" s="3559"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153</v>
      </c>
      <c r="G10" s="383"/>
      <c r="H10" s="127">
        <f>ROUND(100/'数据-取费表'!G16,0)</f>
        <v>153</v>
      </c>
      <c r="I10" s="383"/>
      <c r="J10" s="127">
        <f>ROUND(100/'数据-取费表'!G16,0)</f>
        <v>153</v>
      </c>
      <c r="K10" s="619"/>
      <c r="L10" s="2717"/>
      <c r="M10" s="2718"/>
      <c r="N10" s="2718"/>
      <c r="O10" s="2771"/>
      <c r="P10" s="3664"/>
      <c r="Q10" s="1342" t="str">
        <f t="shared" si="6"/>
        <v>土地使用年限（年）</v>
      </c>
      <c r="R10" s="700" t="s">
        <v>14</v>
      </c>
      <c r="S10" s="701">
        <f t="shared" si="0"/>
        <v>153</v>
      </c>
      <c r="T10" s="700" t="s">
        <v>14</v>
      </c>
      <c r="U10" s="701">
        <f t="shared" si="1"/>
        <v>153</v>
      </c>
      <c r="V10" s="700" t="s">
        <v>14</v>
      </c>
      <c r="W10" s="701">
        <f t="shared" si="2"/>
        <v>153</v>
      </c>
      <c r="X10" s="702"/>
      <c r="Y10" s="3559"/>
      <c r="Z10" s="52" t="str">
        <f t="shared" si="7"/>
        <v>土地使用年限（年）</v>
      </c>
      <c r="AA10" s="703">
        <f t="shared" si="3"/>
        <v>0.65359477124183007</v>
      </c>
      <c r="AB10" s="703">
        <f t="shared" si="4"/>
        <v>0.65359477124183007</v>
      </c>
      <c r="AC10" s="703">
        <f t="shared" si="5"/>
        <v>0.65359477124183007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9"/>
      <c r="M11" s="2714"/>
      <c r="N11" s="2714"/>
      <c r="O11" s="2772"/>
      <c r="P11" s="3664"/>
      <c r="Q11" s="1342" t="str">
        <f t="shared" si="6"/>
        <v>容积率</v>
      </c>
      <c r="R11" s="700" t="s">
        <v>14</v>
      </c>
      <c r="S11" s="701" t="e">
        <f t="shared" si="0"/>
        <v>#N/A</v>
      </c>
      <c r="T11" s="700" t="s">
        <v>14</v>
      </c>
      <c r="U11" s="701" t="e">
        <f t="shared" si="1"/>
        <v>#N/A</v>
      </c>
      <c r="V11" s="700" t="s">
        <v>14</v>
      </c>
      <c r="W11" s="701" t="e">
        <f t="shared" si="2"/>
        <v>#N/A</v>
      </c>
      <c r="X11" s="702"/>
      <c r="Y11" s="3559"/>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5"/>
      <c r="M12" s="2716"/>
      <c r="N12" s="2716"/>
      <c r="O12" s="2770"/>
      <c r="P12" s="3664"/>
      <c r="Q12" s="1342">
        <f t="shared" si="6"/>
        <v>111</v>
      </c>
      <c r="R12" s="700" t="s">
        <v>14</v>
      </c>
      <c r="S12" s="701">
        <f t="shared" si="0"/>
        <v>100</v>
      </c>
      <c r="T12" s="700" t="s">
        <v>14</v>
      </c>
      <c r="U12" s="701">
        <f t="shared" si="1"/>
        <v>100</v>
      </c>
      <c r="V12" s="700" t="s">
        <v>14</v>
      </c>
      <c r="W12" s="701">
        <f t="shared" si="2"/>
        <v>100</v>
      </c>
      <c r="X12" s="702"/>
      <c r="Y12" s="3559"/>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0"/>
      <c r="M13" s="2714"/>
      <c r="N13" s="2714"/>
      <c r="O13" s="2772"/>
      <c r="P13" s="3664"/>
      <c r="Q13" s="1342">
        <f t="shared" si="6"/>
        <v>111</v>
      </c>
      <c r="R13" s="700" t="s">
        <v>14</v>
      </c>
      <c r="S13" s="701">
        <f t="shared" si="0"/>
        <v>100</v>
      </c>
      <c r="T13" s="700" t="s">
        <v>14</v>
      </c>
      <c r="U13" s="701">
        <f t="shared" si="1"/>
        <v>100</v>
      </c>
      <c r="V13" s="700" t="s">
        <v>14</v>
      </c>
      <c r="W13" s="701">
        <f t="shared" si="2"/>
        <v>100</v>
      </c>
      <c r="X13" s="702"/>
      <c r="Y13" s="3559"/>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0"/>
      <c r="M14" s="2714"/>
      <c r="N14" s="2714"/>
      <c r="O14" s="2772"/>
      <c r="P14" s="3664"/>
      <c r="Q14" s="1342">
        <f t="shared" si="6"/>
        <v>111</v>
      </c>
      <c r="R14" s="700" t="s">
        <v>14</v>
      </c>
      <c r="S14" s="701">
        <f t="shared" si="0"/>
        <v>100</v>
      </c>
      <c r="T14" s="700" t="s">
        <v>14</v>
      </c>
      <c r="U14" s="701">
        <f t="shared" si="1"/>
        <v>100</v>
      </c>
      <c r="V14" s="700" t="s">
        <v>14</v>
      </c>
      <c r="W14" s="701">
        <f t="shared" si="2"/>
        <v>100</v>
      </c>
      <c r="X14" s="702"/>
      <c r="Y14" s="3559"/>
      <c r="Z14" s="52">
        <f t="shared" si="7"/>
        <v>111</v>
      </c>
      <c r="AA14" s="703">
        <f t="shared" si="3"/>
        <v>1</v>
      </c>
      <c r="AB14" s="703">
        <f t="shared" si="4"/>
        <v>1</v>
      </c>
      <c r="AC14" s="703">
        <f t="shared" si="5"/>
        <v>1</v>
      </c>
    </row>
    <row r="15" spans="1:29" ht="57">
      <c r="A15" s="391" t="s">
        <v>1690</v>
      </c>
      <c r="B15" s="576"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20"/>
      <c r="M15" s="2714"/>
      <c r="N15" s="2714"/>
      <c r="O15" s="2772"/>
      <c r="P15" s="3671" t="s">
        <v>1691</v>
      </c>
      <c r="Q15" s="1351" t="str">
        <f t="shared" si="6"/>
        <v>产业集聚程度</v>
      </c>
      <c r="R15" s="704" t="s">
        <v>14</v>
      </c>
      <c r="S15" s="705">
        <f t="shared" si="0"/>
        <v>100</v>
      </c>
      <c r="T15" s="704" t="s">
        <v>14</v>
      </c>
      <c r="U15" s="705">
        <f t="shared" si="1"/>
        <v>100</v>
      </c>
      <c r="V15" s="704" t="s">
        <v>14</v>
      </c>
      <c r="W15" s="705">
        <f t="shared" si="2"/>
        <v>100</v>
      </c>
      <c r="X15" s="1354"/>
      <c r="Y15" s="3671" t="s">
        <v>1691</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20"/>
      <c r="M16" s="2714"/>
      <c r="N16" s="2714"/>
      <c r="O16" s="2772"/>
      <c r="P16" s="3672"/>
      <c r="Q16" s="1351"/>
      <c r="R16" s="704"/>
      <c r="S16" s="705"/>
      <c r="T16" s="704"/>
      <c r="U16" s="705"/>
      <c r="V16" s="704"/>
      <c r="W16" s="705"/>
      <c r="X16" s="1354"/>
      <c r="Y16" s="3672"/>
      <c r="Z16" s="1355"/>
      <c r="AA16" s="1352">
        <v>1</v>
      </c>
      <c r="AB16" s="1352">
        <v>1</v>
      </c>
      <c r="AC16" s="1352">
        <v>1</v>
      </c>
    </row>
    <row r="17" spans="1:29" ht="85.5">
      <c r="A17" s="379"/>
      <c r="B17" s="578"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20"/>
      <c r="M17" s="2714"/>
      <c r="N17" s="2714"/>
      <c r="O17" s="2772"/>
      <c r="P17" s="3672"/>
      <c r="Q17" s="1351" t="str">
        <f>B17</f>
        <v>交通便捷度</v>
      </c>
      <c r="R17" s="704" t="s">
        <v>14</v>
      </c>
      <c r="S17" s="705">
        <f>F17</f>
        <v>100</v>
      </c>
      <c r="T17" s="704" t="s">
        <v>14</v>
      </c>
      <c r="U17" s="705">
        <f>H17</f>
        <v>100</v>
      </c>
      <c r="V17" s="704" t="s">
        <v>14</v>
      </c>
      <c r="W17" s="705">
        <f>J17</f>
        <v>100</v>
      </c>
      <c r="X17" s="1354"/>
      <c r="Y17" s="3672"/>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20"/>
      <c r="M18" s="2714"/>
      <c r="N18" s="2714"/>
      <c r="O18" s="2772"/>
      <c r="P18" s="3672"/>
      <c r="Q18" s="1351"/>
      <c r="R18" s="704"/>
      <c r="S18" s="705"/>
      <c r="T18" s="704"/>
      <c r="U18" s="705"/>
      <c r="V18" s="704"/>
      <c r="W18" s="705"/>
      <c r="X18" s="1354"/>
      <c r="Y18" s="3672"/>
      <c r="Z18" s="1355"/>
      <c r="AA18" s="1352">
        <v>1</v>
      </c>
      <c r="AB18" s="1352">
        <v>1</v>
      </c>
      <c r="AC18" s="1352">
        <v>1</v>
      </c>
    </row>
    <row r="19" spans="1:29" ht="15">
      <c r="A19" s="379"/>
      <c r="B19" s="578"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0"/>
      <c r="M19" s="2714"/>
      <c r="N19" s="2714"/>
      <c r="O19" s="2772"/>
      <c r="P19" s="3672"/>
      <c r="Q19" s="1351" t="str">
        <f t="shared" ref="Q19:Q33" si="8">B19</f>
        <v>区域土地利用方向</v>
      </c>
      <c r="R19" s="704" t="s">
        <v>14</v>
      </c>
      <c r="S19" s="705">
        <f>F19</f>
        <v>100</v>
      </c>
      <c r="T19" s="704" t="s">
        <v>14</v>
      </c>
      <c r="U19" s="705">
        <f>H19</f>
        <v>100</v>
      </c>
      <c r="V19" s="704" t="s">
        <v>14</v>
      </c>
      <c r="W19" s="705">
        <f>J19</f>
        <v>100</v>
      </c>
      <c r="X19" s="1354"/>
      <c r="Y19" s="3672"/>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20"/>
      <c r="M20" s="2714"/>
      <c r="N20" s="2714"/>
      <c r="O20" s="2772"/>
      <c r="P20" s="3672"/>
      <c r="Q20" s="1351"/>
      <c r="R20" s="704"/>
      <c r="S20" s="705"/>
      <c r="T20" s="704"/>
      <c r="U20" s="705"/>
      <c r="V20" s="704"/>
      <c r="W20" s="705"/>
      <c r="X20" s="1354"/>
      <c r="Y20" s="3672"/>
      <c r="Z20" s="1355"/>
      <c r="AA20" s="1352"/>
      <c r="AB20" s="1352"/>
      <c r="AC20" s="1352"/>
    </row>
    <row r="21" spans="1:29" ht="71.25">
      <c r="A21" s="358"/>
      <c r="B21" s="578"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20"/>
      <c r="M21" s="2714"/>
      <c r="N21" s="2714"/>
      <c r="O21" s="2772"/>
      <c r="P21" s="3672"/>
      <c r="Q21" s="1351" t="str">
        <f t="shared" si="8"/>
        <v>环境状况</v>
      </c>
      <c r="R21" s="704" t="s">
        <v>14</v>
      </c>
      <c r="S21" s="705">
        <f>F21</f>
        <v>100</v>
      </c>
      <c r="T21" s="704" t="s">
        <v>14</v>
      </c>
      <c r="U21" s="705">
        <f>H21</f>
        <v>100</v>
      </c>
      <c r="V21" s="704" t="s">
        <v>14</v>
      </c>
      <c r="W21" s="705">
        <f>J21</f>
        <v>100</v>
      </c>
      <c r="X21" s="1354"/>
      <c r="Y21" s="3672"/>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20"/>
      <c r="M22" s="2714"/>
      <c r="N22" s="2714"/>
      <c r="O22" s="2772"/>
      <c r="P22" s="3672"/>
      <c r="Q22" s="1351"/>
      <c r="R22" s="704"/>
      <c r="S22" s="705"/>
      <c r="T22" s="704"/>
      <c r="U22" s="705"/>
      <c r="V22" s="704"/>
      <c r="W22" s="705"/>
      <c r="X22" s="1354"/>
      <c r="Y22" s="3672"/>
      <c r="Z22" s="1355"/>
      <c r="AA22" s="1352">
        <v>1</v>
      </c>
      <c r="AB22" s="1352">
        <v>1</v>
      </c>
      <c r="AC22" s="1352">
        <v>1</v>
      </c>
    </row>
    <row r="23" spans="1:29" s="108" customFormat="1" ht="42.75">
      <c r="A23" s="596"/>
      <c r="B23" s="580"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5"/>
      <c r="M23" s="2716"/>
      <c r="N23" s="2716"/>
      <c r="O23" s="2770"/>
      <c r="P23" s="3672"/>
      <c r="Q23" s="1342" t="str">
        <f t="shared" si="8"/>
        <v>公共配套设施</v>
      </c>
      <c r="R23" s="700" t="s">
        <v>14</v>
      </c>
      <c r="S23" s="701">
        <f>F23</f>
        <v>100</v>
      </c>
      <c r="T23" s="700" t="s">
        <v>14</v>
      </c>
      <c r="U23" s="701">
        <f>H23</f>
        <v>100</v>
      </c>
      <c r="V23" s="700" t="s">
        <v>14</v>
      </c>
      <c r="W23" s="701">
        <f>J23</f>
        <v>100</v>
      </c>
      <c r="X23" s="702"/>
      <c r="Y23" s="3672"/>
      <c r="Z23" s="52" t="str">
        <f>Q23</f>
        <v>公共配套设施</v>
      </c>
      <c r="AA23" s="1352">
        <f>D23/F23</f>
        <v>1</v>
      </c>
      <c r="AB23" s="1352">
        <f>D23/H23</f>
        <v>1</v>
      </c>
      <c r="AC23" s="1352">
        <f>D23/J23</f>
        <v>1</v>
      </c>
    </row>
    <row r="24" spans="1:29" s="108" customFormat="1" ht="15">
      <c r="A24" s="596"/>
      <c r="B24" s="579"/>
      <c r="C24" s="1977"/>
      <c r="D24" s="399"/>
      <c r="E24" s="1903"/>
      <c r="F24" s="399"/>
      <c r="G24" s="1903"/>
      <c r="H24" s="399"/>
      <c r="I24" s="398"/>
      <c r="J24" s="399"/>
      <c r="K24" s="619"/>
      <c r="L24" s="2715"/>
      <c r="M24" s="2716"/>
      <c r="N24" s="2716"/>
      <c r="O24" s="2770"/>
      <c r="P24" s="3672"/>
      <c r="Q24" s="1342"/>
      <c r="R24" s="700"/>
      <c r="S24" s="701"/>
      <c r="T24" s="700"/>
      <c r="U24" s="701"/>
      <c r="V24" s="700"/>
      <c r="W24" s="701"/>
      <c r="X24" s="702"/>
      <c r="Y24" s="3672"/>
      <c r="Z24" s="52"/>
      <c r="AA24" s="703">
        <v>1</v>
      </c>
      <c r="AB24" s="703">
        <v>1</v>
      </c>
      <c r="AC24" s="703">
        <v>1</v>
      </c>
    </row>
    <row r="25" spans="1:29" s="108" customFormat="1" ht="28.5">
      <c r="A25" s="596"/>
      <c r="B25" s="580"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5"/>
      <c r="M25" s="2716"/>
      <c r="N25" s="2716"/>
      <c r="O25" s="2770"/>
      <c r="P25" s="3672"/>
      <c r="Q25" s="1342" t="str">
        <f t="shared" ref="Q25" si="9">B25</f>
        <v>基础设施水平</v>
      </c>
      <c r="R25" s="700" t="s">
        <v>14</v>
      </c>
      <c r="S25" s="701">
        <f>F25</f>
        <v>100</v>
      </c>
      <c r="T25" s="700" t="s">
        <v>14</v>
      </c>
      <c r="U25" s="701">
        <f>H25</f>
        <v>100</v>
      </c>
      <c r="V25" s="700" t="s">
        <v>14</v>
      </c>
      <c r="W25" s="701">
        <f>J25</f>
        <v>100</v>
      </c>
      <c r="X25" s="702"/>
      <c r="Y25" s="3672"/>
      <c r="Z25" s="52" t="str">
        <f>Q25</f>
        <v>基础设施水平</v>
      </c>
      <c r="AA25" s="1352">
        <f>D25/F25</f>
        <v>1</v>
      </c>
      <c r="AB25" s="1352">
        <f>D25/H25</f>
        <v>1</v>
      </c>
      <c r="AC25" s="1352">
        <f>D25/J25</f>
        <v>1</v>
      </c>
    </row>
    <row r="26" spans="1:29" s="108" customFormat="1" ht="15">
      <c r="A26" s="596"/>
      <c r="B26" s="579"/>
      <c r="C26" s="1977"/>
      <c r="D26" s="399"/>
      <c r="E26" s="1978"/>
      <c r="F26" s="399"/>
      <c r="G26" s="1978"/>
      <c r="H26" s="399"/>
      <c r="I26" s="1978"/>
      <c r="J26" s="399"/>
      <c r="K26" s="619"/>
      <c r="L26" s="2715"/>
      <c r="M26" s="2716"/>
      <c r="N26" s="2716"/>
      <c r="O26" s="2770"/>
      <c r="P26" s="3672"/>
      <c r="Q26" s="1342"/>
      <c r="R26" s="700"/>
      <c r="S26" s="701"/>
      <c r="T26" s="700"/>
      <c r="U26" s="701"/>
      <c r="V26" s="700"/>
      <c r="W26" s="701"/>
      <c r="X26" s="702"/>
      <c r="Y26" s="3672"/>
      <c r="Z26" s="52"/>
      <c r="AA26" s="703">
        <v>1</v>
      </c>
      <c r="AB26" s="703">
        <v>1</v>
      </c>
      <c r="AC26" s="703">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20"/>
      <c r="M27" s="2714"/>
      <c r="N27" s="2714"/>
      <c r="O27" s="2772"/>
      <c r="P27" s="3672"/>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672"/>
      <c r="Z27" s="1355" t="str">
        <f t="shared" ref="Z27:Z40" si="13">Q27</f>
        <v>临街状况</v>
      </c>
      <c r="AA27" s="1352">
        <f t="shared" si="3"/>
        <v>1</v>
      </c>
      <c r="AB27" s="1352">
        <f t="shared" si="4"/>
        <v>1</v>
      </c>
      <c r="AC27" s="1352">
        <f t="shared" si="5"/>
        <v>1</v>
      </c>
    </row>
    <row r="28" spans="1:29" ht="27">
      <c r="A28" s="379"/>
      <c r="B28" s="580"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0"/>
      <c r="M28" s="2714"/>
      <c r="N28" s="2714"/>
      <c r="O28" s="2772"/>
      <c r="P28" s="3672"/>
      <c r="Q28" s="1351" t="str">
        <f t="shared" si="8"/>
        <v>毗邻道路的类型与等级</v>
      </c>
      <c r="R28" s="704" t="s">
        <v>14</v>
      </c>
      <c r="S28" s="705">
        <f t="shared" si="10"/>
        <v>100</v>
      </c>
      <c r="T28" s="704" t="s">
        <v>14</v>
      </c>
      <c r="U28" s="705">
        <f t="shared" si="11"/>
        <v>100</v>
      </c>
      <c r="V28" s="704" t="s">
        <v>14</v>
      </c>
      <c r="W28" s="705">
        <f t="shared" si="12"/>
        <v>100</v>
      </c>
      <c r="X28" s="1354"/>
      <c r="Y28" s="3672"/>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20"/>
      <c r="M29" s="2714"/>
      <c r="N29" s="2714"/>
      <c r="O29" s="2772"/>
      <c r="P29" s="3672"/>
      <c r="Q29" s="1351"/>
      <c r="R29" s="704"/>
      <c r="S29" s="705"/>
      <c r="T29" s="704"/>
      <c r="U29" s="705"/>
      <c r="V29" s="704"/>
      <c r="W29" s="705"/>
      <c r="X29" s="1354"/>
      <c r="Y29" s="3672"/>
      <c r="Z29" s="1355"/>
      <c r="AA29" s="1352">
        <v>1</v>
      </c>
      <c r="AB29" s="1352">
        <v>1</v>
      </c>
      <c r="AC29" s="1352">
        <v>1</v>
      </c>
    </row>
    <row r="30" spans="1:29" ht="15">
      <c r="A30" s="379"/>
      <c r="B30" s="601" t="s">
        <v>1873</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0"/>
      <c r="M30" s="2714"/>
      <c r="N30" s="2714"/>
      <c r="O30" s="2772"/>
      <c r="P30" s="3672"/>
      <c r="Q30" s="1351" t="str">
        <f t="shared" si="8"/>
        <v>土地级别</v>
      </c>
      <c r="R30" s="704" t="s">
        <v>14</v>
      </c>
      <c r="S30" s="705">
        <f t="shared" si="10"/>
        <v>100</v>
      </c>
      <c r="T30" s="704" t="s">
        <v>14</v>
      </c>
      <c r="U30" s="705">
        <f t="shared" si="11"/>
        <v>100</v>
      </c>
      <c r="V30" s="704" t="s">
        <v>14</v>
      </c>
      <c r="W30" s="705">
        <f t="shared" si="12"/>
        <v>100</v>
      </c>
      <c r="X30" s="1354"/>
      <c r="Y30" s="3672"/>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2"/>
      <c r="Q31" s="1351">
        <f t="shared" si="8"/>
        <v>111</v>
      </c>
      <c r="R31" s="704" t="s">
        <v>14</v>
      </c>
      <c r="S31" s="705">
        <f t="shared" si="10"/>
        <v>100</v>
      </c>
      <c r="T31" s="704" t="s">
        <v>14</v>
      </c>
      <c r="U31" s="705">
        <f t="shared" si="11"/>
        <v>100</v>
      </c>
      <c r="V31" s="704" t="s">
        <v>14</v>
      </c>
      <c r="W31" s="705">
        <f t="shared" si="12"/>
        <v>100</v>
      </c>
      <c r="X31" s="1354"/>
      <c r="Y31" s="3672"/>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0"/>
      <c r="M32" s="2714"/>
      <c r="N32" s="2714"/>
      <c r="O32" s="2772"/>
      <c r="P32" s="3748" t="s">
        <v>1696</v>
      </c>
      <c r="Q32" s="1351">
        <f t="shared" si="8"/>
        <v>111</v>
      </c>
      <c r="R32" s="704" t="s">
        <v>14</v>
      </c>
      <c r="S32" s="705">
        <f t="shared" si="10"/>
        <v>100</v>
      </c>
      <c r="T32" s="704" t="s">
        <v>14</v>
      </c>
      <c r="U32" s="705">
        <f t="shared" si="11"/>
        <v>100</v>
      </c>
      <c r="V32" s="704" t="s">
        <v>14</v>
      </c>
      <c r="W32" s="705">
        <f t="shared" si="12"/>
        <v>100</v>
      </c>
      <c r="X32" s="1354"/>
      <c r="Y32" s="3676" t="s">
        <v>1696</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9"/>
      <c r="M33" s="2721"/>
      <c r="N33" s="2721"/>
      <c r="O33" s="2773"/>
      <c r="P33" s="3676"/>
      <c r="Q33" s="1351">
        <f t="shared" si="8"/>
        <v>111</v>
      </c>
      <c r="R33" s="707" t="s">
        <v>14</v>
      </c>
      <c r="S33" s="708">
        <f t="shared" si="10"/>
        <v>100</v>
      </c>
      <c r="T33" s="707" t="s">
        <v>14</v>
      </c>
      <c r="U33" s="708">
        <f t="shared" si="11"/>
        <v>100</v>
      </c>
      <c r="V33" s="707" t="s">
        <v>14</v>
      </c>
      <c r="W33" s="708">
        <f t="shared" si="12"/>
        <v>100</v>
      </c>
      <c r="X33" s="709"/>
      <c r="Y33" s="3676"/>
      <c r="Z33" s="710">
        <f t="shared" si="13"/>
        <v>111</v>
      </c>
      <c r="AA33" s="1352">
        <f t="shared" si="3"/>
        <v>1</v>
      </c>
      <c r="AB33" s="1352">
        <f t="shared" si="4"/>
        <v>1</v>
      </c>
      <c r="AC33" s="1352">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0"/>
      <c r="M34" s="2714"/>
      <c r="N34" s="2714"/>
      <c r="O34" s="2772"/>
      <c r="P34" s="3676"/>
      <c r="Q34" s="1351" t="str">
        <f>B34</f>
        <v>宗地面积</v>
      </c>
      <c r="R34" s="704" t="s">
        <v>14</v>
      </c>
      <c r="S34" s="705" t="e">
        <f t="shared" si="10"/>
        <v>#N/A</v>
      </c>
      <c r="T34" s="704" t="s">
        <v>14</v>
      </c>
      <c r="U34" s="705" t="e">
        <f t="shared" si="11"/>
        <v>#N/A</v>
      </c>
      <c r="V34" s="704" t="s">
        <v>14</v>
      </c>
      <c r="W34" s="705" t="e">
        <f t="shared" si="12"/>
        <v>#N/A</v>
      </c>
      <c r="X34" s="1354"/>
      <c r="Y34" s="3676"/>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0"/>
      <c r="M35" s="2714"/>
      <c r="N35" s="2714"/>
      <c r="O35" s="2772"/>
      <c r="P35" s="3676"/>
      <c r="Q35" s="1351" t="str">
        <f t="shared" ref="Q35:Q40" si="14">B35</f>
        <v>宗地形状</v>
      </c>
      <c r="R35" s="704" t="s">
        <v>14</v>
      </c>
      <c r="S35" s="705">
        <f t="shared" si="10"/>
        <v>100</v>
      </c>
      <c r="T35" s="704" t="s">
        <v>14</v>
      </c>
      <c r="U35" s="705">
        <f t="shared" si="11"/>
        <v>100</v>
      </c>
      <c r="V35" s="704" t="s">
        <v>14</v>
      </c>
      <c r="W35" s="705">
        <f t="shared" si="12"/>
        <v>100</v>
      </c>
      <c r="X35" s="1354"/>
      <c r="Y35" s="3676"/>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5"/>
      <c r="M36" s="2716"/>
      <c r="N36" s="2716"/>
      <c r="O36" s="2770"/>
      <c r="P36" s="3676"/>
      <c r="Q36" s="1351" t="str">
        <f t="shared" si="14"/>
        <v>宗地开发程度</v>
      </c>
      <c r="R36" s="700" t="s">
        <v>14</v>
      </c>
      <c r="S36" s="701">
        <f t="shared" si="10"/>
        <v>100</v>
      </c>
      <c r="T36" s="700" t="s">
        <v>14</v>
      </c>
      <c r="U36" s="701">
        <f t="shared" si="11"/>
        <v>100</v>
      </c>
      <c r="V36" s="700" t="s">
        <v>14</v>
      </c>
      <c r="W36" s="701">
        <f t="shared" si="12"/>
        <v>100</v>
      </c>
      <c r="X36" s="702"/>
      <c r="Y36" s="3676"/>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0"/>
      <c r="M37" s="2714"/>
      <c r="N37" s="2714"/>
      <c r="O37" s="2772"/>
      <c r="P37" s="3676" t="s">
        <v>1696</v>
      </c>
      <c r="Q37" s="1351" t="str">
        <f t="shared" si="14"/>
        <v>工程地质条件</v>
      </c>
      <c r="R37" s="704" t="s">
        <v>14</v>
      </c>
      <c r="S37" s="705">
        <f t="shared" si="10"/>
        <v>100</v>
      </c>
      <c r="T37" s="704" t="s">
        <v>14</v>
      </c>
      <c r="U37" s="705">
        <f t="shared" si="11"/>
        <v>100</v>
      </c>
      <c r="V37" s="704" t="s">
        <v>14</v>
      </c>
      <c r="W37" s="705">
        <f t="shared" si="12"/>
        <v>100</v>
      </c>
      <c r="X37" s="1354"/>
      <c r="Y37" s="3676" t="s">
        <v>1696</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0"/>
      <c r="M38" s="2714"/>
      <c r="N38" s="2714"/>
      <c r="O38" s="2772"/>
      <c r="P38" s="3676"/>
      <c r="Q38" s="1351">
        <f t="shared" si="14"/>
        <v>111</v>
      </c>
      <c r="R38" s="704" t="s">
        <v>14</v>
      </c>
      <c r="S38" s="705">
        <f t="shared" si="10"/>
        <v>100</v>
      </c>
      <c r="T38" s="704" t="s">
        <v>14</v>
      </c>
      <c r="U38" s="705">
        <f t="shared" si="11"/>
        <v>100</v>
      </c>
      <c r="V38" s="704" t="s">
        <v>14</v>
      </c>
      <c r="W38" s="705">
        <f t="shared" si="12"/>
        <v>100</v>
      </c>
      <c r="X38" s="1354"/>
      <c r="Y38" s="3676"/>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0"/>
      <c r="M39" s="2714"/>
      <c r="N39" s="2714"/>
      <c r="O39" s="2772"/>
      <c r="P39" s="3676"/>
      <c r="Q39" s="1351">
        <f t="shared" si="14"/>
        <v>111</v>
      </c>
      <c r="R39" s="704" t="s">
        <v>14</v>
      </c>
      <c r="S39" s="705">
        <f t="shared" si="10"/>
        <v>100</v>
      </c>
      <c r="T39" s="704" t="s">
        <v>14</v>
      </c>
      <c r="U39" s="705">
        <f t="shared" si="11"/>
        <v>100</v>
      </c>
      <c r="V39" s="704" t="s">
        <v>14</v>
      </c>
      <c r="W39" s="705">
        <f t="shared" si="12"/>
        <v>100</v>
      </c>
      <c r="X39" s="1354"/>
      <c r="Y39" s="3676"/>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19"/>
      <c r="M40" s="2721"/>
      <c r="N40" s="2721"/>
      <c r="O40" s="2773"/>
      <c r="P40" s="3676"/>
      <c r="Q40" s="1351">
        <f t="shared" si="14"/>
        <v>111</v>
      </c>
      <c r="R40" s="707" t="s">
        <v>14</v>
      </c>
      <c r="S40" s="708">
        <f t="shared" si="10"/>
        <v>100</v>
      </c>
      <c r="T40" s="707" t="s">
        <v>14</v>
      </c>
      <c r="U40" s="708">
        <f t="shared" si="11"/>
        <v>100</v>
      </c>
      <c r="V40" s="707" t="s">
        <v>14</v>
      </c>
      <c r="W40" s="708">
        <f t="shared" si="12"/>
        <v>100</v>
      </c>
      <c r="X40" s="709"/>
      <c r="Y40" s="3676"/>
      <c r="Z40" s="710">
        <f t="shared" si="13"/>
        <v>111</v>
      </c>
      <c r="AA40" s="1352">
        <f t="shared" si="3"/>
        <v>1</v>
      </c>
      <c r="AB40" s="1352">
        <f t="shared" si="4"/>
        <v>1</v>
      </c>
      <c r="AC40" s="1352">
        <f t="shared" si="5"/>
        <v>1</v>
      </c>
    </row>
    <row r="41" spans="1:31" ht="15">
      <c r="A41" s="430" t="s">
        <v>1844</v>
      </c>
      <c r="B41" s="1981" t="s">
        <v>1922</v>
      </c>
      <c r="C41" s="629" t="s">
        <v>0</v>
      </c>
      <c r="D41" s="432"/>
      <c r="E41" s="433"/>
      <c r="F41" s="434"/>
      <c r="G41" s="435"/>
      <c r="H41" s="436"/>
      <c r="I41" s="433"/>
      <c r="J41" s="436"/>
      <c r="K41" s="713"/>
      <c r="L41" s="2722"/>
      <c r="M41" s="2714"/>
      <c r="N41" s="2714"/>
      <c r="O41" s="2723"/>
      <c r="P41" s="3664" t="str">
        <f>A41</f>
        <v>成交单价</v>
      </c>
      <c r="Q41" s="3664"/>
      <c r="R41" s="3678">
        <f>E41</f>
        <v>0</v>
      </c>
      <c r="S41" s="3678"/>
      <c r="T41" s="3678">
        <f>G41</f>
        <v>0</v>
      </c>
      <c r="U41" s="3678"/>
      <c r="V41" s="3678">
        <f>I41</f>
        <v>0</v>
      </c>
      <c r="W41" s="3678"/>
      <c r="X41" s="689"/>
      <c r="Y41" s="711"/>
      <c r="Z41" s="689"/>
      <c r="AA41" s="689"/>
      <c r="AB41" s="689"/>
      <c r="AC41" s="689"/>
    </row>
    <row r="42" spans="1:31" ht="15.75" thickBot="1">
      <c r="A42" s="437" t="s">
        <v>1793</v>
      </c>
      <c r="B42" s="630"/>
      <c r="C42" s="440" t="e">
        <f>R43</f>
        <v>#DIV/0!</v>
      </c>
      <c r="D42" s="2316" t="s">
        <v>2138</v>
      </c>
      <c r="E42" s="440" t="e">
        <f>R42</f>
        <v>#DIV/0!</v>
      </c>
      <c r="F42" s="2317"/>
      <c r="G42" s="439" t="e">
        <f>T42</f>
        <v>#DIV/0!</v>
      </c>
      <c r="H42" s="2317"/>
      <c r="I42" s="440" t="e">
        <f>V42</f>
        <v>#DIV/0!</v>
      </c>
      <c r="J42" s="2317"/>
      <c r="K42" s="2319">
        <f>F42+H42+J42</f>
        <v>0</v>
      </c>
      <c r="L42" s="2722"/>
      <c r="M42" s="2714"/>
      <c r="N42" s="2714"/>
      <c r="O42" s="2723"/>
      <c r="P42" s="3664" t="str">
        <f>A42</f>
        <v>比较价值（元/平方米）</v>
      </c>
      <c r="Q42" s="3664"/>
      <c r="R42" s="3750" t="e">
        <f>ROUND(PRODUCT(R41,AA7:AA40),0)</f>
        <v>#DIV/0!</v>
      </c>
      <c r="S42" s="3750"/>
      <c r="T42" s="3750" t="e">
        <f>ROUND(PRODUCT(T41,AB7:AB40),0)</f>
        <v>#DIV/0!</v>
      </c>
      <c r="U42" s="3750"/>
      <c r="V42" s="3750" t="e">
        <f>ROUND(PRODUCT(V41,AC7:AC40),0)</f>
        <v>#DIV/0!</v>
      </c>
      <c r="W42" s="3750"/>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2"/>
      <c r="M43" s="2714"/>
      <c r="N43" s="2714"/>
      <c r="O43" s="2723"/>
      <c r="P43" s="3666" t="str">
        <f>A43</f>
        <v>估价对象XX用房的比较价值（楼面单价，元/平方米）</v>
      </c>
      <c r="Q43" s="3667"/>
      <c r="R43" s="3751" t="e">
        <f>ROUND(IF(D42="简单平均",AVERAGE(R42:W42),R42*F42+T42*H42+V42*J42),0)</f>
        <v>#DIV/0!</v>
      </c>
      <c r="S43" s="3751"/>
      <c r="T43" s="3751"/>
      <c r="U43" s="3751"/>
      <c r="V43" s="3751"/>
      <c r="W43" s="3751"/>
      <c r="X43" s="689"/>
      <c r="Y43" s="689"/>
      <c r="Z43" s="689"/>
      <c r="AA43" s="689"/>
      <c r="AB43" s="689"/>
      <c r="AC43" s="689"/>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2"/>
      <c r="D49" s="690"/>
      <c r="E49" s="690"/>
      <c r="F49" s="690"/>
      <c r="G49" s="690"/>
      <c r="H49" s="690"/>
      <c r="I49" s="690"/>
      <c r="J49" s="690"/>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1" t="s">
        <v>1881</v>
      </c>
      <c r="B50" s="632" t="s">
        <v>1882</v>
      </c>
      <c r="C50" s="1982" t="s">
        <v>1883</v>
      </c>
      <c r="D50" s="1983" t="s">
        <v>1884</v>
      </c>
      <c r="E50" s="633" t="s">
        <v>1885</v>
      </c>
      <c r="F50" s="634" t="s">
        <v>1886</v>
      </c>
      <c r="G50" s="3683" t="s">
        <v>1887</v>
      </c>
      <c r="H50" s="3752"/>
      <c r="I50" s="1355" t="s">
        <v>1923</v>
      </c>
      <c r="J50" s="1355">
        <f>项目基本情况!F35</f>
        <v>0</v>
      </c>
      <c r="K50" s="1985"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39" customFormat="1">
      <c r="A51" s="635" t="s">
        <v>1890</v>
      </c>
      <c r="B51" s="636" t="e">
        <f>C43</f>
        <v>#DIV/0!</v>
      </c>
      <c r="C51" s="637">
        <v>1</v>
      </c>
      <c r="D51" s="943">
        <v>1</v>
      </c>
      <c r="E51" s="637">
        <f>'数据-汇总表'!E8+'数据-汇总表'!E9</f>
        <v>217.64</v>
      </c>
      <c r="F51" s="638" t="e">
        <f t="shared" ref="F51:F60" si="15">ROUND(B51*E51/10000,0)</f>
        <v>#DIV/0!</v>
      </c>
      <c r="G51" s="3679"/>
      <c r="H51" s="3664"/>
      <c r="I51" s="772">
        <v>1</v>
      </c>
      <c r="J51" s="772">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39" customFormat="1">
      <c r="A52" s="640" t="s">
        <v>1891</v>
      </c>
      <c r="B52" s="218" t="e">
        <f>ROUND($C$43*C52*D52,0)</f>
        <v>#DIV/0!</v>
      </c>
      <c r="C52" s="171">
        <f t="shared" ref="C52:C60" si="16">IF($C$50="北京市系数",I52,J52)</f>
        <v>0.6</v>
      </c>
      <c r="D52" s="944">
        <v>0.25</v>
      </c>
      <c r="E52" s="641"/>
      <c r="F52" s="638" t="e">
        <f t="shared" si="15"/>
        <v>#DIV/0!</v>
      </c>
      <c r="G52" s="3004" t="s">
        <v>1892</v>
      </c>
      <c r="H52" s="886" t="str">
        <f>项目基本情况!B37</f>
        <v>六级</v>
      </c>
      <c r="I52" s="772">
        <f>SUMIF(修正!A57:A68,H52,修正!B57:B68)</f>
        <v>0.6</v>
      </c>
      <c r="J52" s="773"/>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39" customFormat="1">
      <c r="A53" s="640" t="s">
        <v>1893</v>
      </c>
      <c r="B53" s="218" t="e">
        <f t="shared" ref="B53:B60" si="17">ROUND($C$43*C53*D53,0)</f>
        <v>#DIV/0!</v>
      </c>
      <c r="C53" s="171">
        <f t="shared" si="16"/>
        <v>0.3</v>
      </c>
      <c r="D53" s="944">
        <v>0.25</v>
      </c>
      <c r="E53" s="641"/>
      <c r="F53" s="638" t="e">
        <f t="shared" si="15"/>
        <v>#DIV/0!</v>
      </c>
      <c r="G53" s="3005"/>
      <c r="H53" s="886" t="str">
        <f>项目基本情况!B37</f>
        <v>六级</v>
      </c>
      <c r="I53" s="772">
        <f>SUMIF(修正!A57:A68,H53,修正!C57:C68)</f>
        <v>0.3</v>
      </c>
      <c r="J53" s="773"/>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39" customFormat="1">
      <c r="A54" s="640" t="s">
        <v>1894</v>
      </c>
      <c r="B54" s="218" t="e">
        <f t="shared" si="17"/>
        <v>#DIV/0!</v>
      </c>
      <c r="C54" s="171">
        <f t="shared" si="16"/>
        <v>0.25</v>
      </c>
      <c r="D54" s="944">
        <v>0.25</v>
      </c>
      <c r="E54" s="641"/>
      <c r="F54" s="638" t="e">
        <f t="shared" si="15"/>
        <v>#DIV/0!</v>
      </c>
      <c r="G54" s="3005"/>
      <c r="H54" s="886" t="str">
        <f>项目基本情况!B37</f>
        <v>六级</v>
      </c>
      <c r="I54" s="772">
        <f>SUMIF(修正!A57:A68,H54,修正!D57:D68)</f>
        <v>0.25</v>
      </c>
      <c r="J54" s="773"/>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39" customFormat="1" hidden="1">
      <c r="A55" s="640"/>
      <c r="B55" s="218"/>
      <c r="C55" s="171"/>
      <c r="D55" s="944"/>
      <c r="E55" s="641"/>
      <c r="F55" s="638"/>
      <c r="G55" s="3006"/>
      <c r="H55" s="886"/>
      <c r="I55" s="772"/>
      <c r="J55" s="773"/>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39" customFormat="1">
      <c r="A56" s="640" t="s">
        <v>1895</v>
      </c>
      <c r="B56" s="218" t="e">
        <f t="shared" si="17"/>
        <v>#DIV/0!</v>
      </c>
      <c r="C56" s="171">
        <f t="shared" si="16"/>
        <v>0</v>
      </c>
      <c r="D56" s="944">
        <v>0.25</v>
      </c>
      <c r="E56" s="217">
        <f>'数据-汇总表'!E11</f>
        <v>0</v>
      </c>
      <c r="F56" s="638" t="e">
        <f t="shared" si="15"/>
        <v>#DIV/0!</v>
      </c>
      <c r="G56" s="1986" t="s">
        <v>1896</v>
      </c>
      <c r="H56" s="886">
        <f>项目基本情况!C37</f>
        <v>0</v>
      </c>
      <c r="I56" s="772">
        <f>SUMIF(修正!A57:A68,H56,修正!E57:E68)</f>
        <v>0</v>
      </c>
      <c r="J56" s="773"/>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39" customFormat="1">
      <c r="A57" s="640" t="s">
        <v>1897</v>
      </c>
      <c r="B57" s="218" t="e">
        <f t="shared" si="17"/>
        <v>#DIV/0!</v>
      </c>
      <c r="C57" s="171">
        <f t="shared" si="16"/>
        <v>0</v>
      </c>
      <c r="D57" s="944">
        <v>0.25</v>
      </c>
      <c r="E57" s="217">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39" customFormat="1">
      <c r="A58" s="640" t="s">
        <v>1899</v>
      </c>
      <c r="B58" s="218" t="e">
        <f t="shared" si="17"/>
        <v>#DIV/0!</v>
      </c>
      <c r="C58" s="171">
        <f t="shared" si="16"/>
        <v>0</v>
      </c>
      <c r="D58" s="944">
        <v>0.25</v>
      </c>
      <c r="E58" s="217">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39" customFormat="1">
      <c r="A59" s="640" t="s">
        <v>1901</v>
      </c>
      <c r="B59" s="218" t="e">
        <f t="shared" si="17"/>
        <v>#DIV/0!</v>
      </c>
      <c r="C59" s="171">
        <f t="shared" si="16"/>
        <v>0.15</v>
      </c>
      <c r="D59" s="944">
        <v>0.25</v>
      </c>
      <c r="E59" s="217">
        <f>'数据-汇总表'!E14</f>
        <v>0</v>
      </c>
      <c r="F59" s="638" t="e">
        <f t="shared" si="15"/>
        <v>#DIV/0!</v>
      </c>
      <c r="G59" s="1986" t="s">
        <v>1892</v>
      </c>
      <c r="H59" s="886" t="str">
        <f>项目基本情况!B37</f>
        <v>六级</v>
      </c>
      <c r="I59" s="772">
        <f>SUMIF(修正!A57:A68,H59,修正!G57:G68)</f>
        <v>0.15</v>
      </c>
      <c r="J59" s="773"/>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39" customFormat="1" ht="15" thickBot="1">
      <c r="A60" s="640" t="s">
        <v>1902</v>
      </c>
      <c r="B60" s="218" t="e">
        <f t="shared" si="17"/>
        <v>#DIV/0!</v>
      </c>
      <c r="C60" s="171">
        <f t="shared" si="16"/>
        <v>0</v>
      </c>
      <c r="D60" s="944">
        <v>0.25</v>
      </c>
      <c r="E60" s="217">
        <f>'数据-汇总表'!E15</f>
        <v>0</v>
      </c>
      <c r="F60" s="638" t="e">
        <f t="shared" si="15"/>
        <v>#DIV/0!</v>
      </c>
      <c r="G60" s="1987" t="s">
        <v>1896</v>
      </c>
      <c r="H60" s="896">
        <f>项目基本情况!C37</f>
        <v>0</v>
      </c>
      <c r="I60" s="772">
        <f>SUMIF(修正!A57:A68,H60,修正!G57:G68)</f>
        <v>0</v>
      </c>
      <c r="J60" s="773"/>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8"/>
      <c r="H61" s="938"/>
      <c r="I61" s="938"/>
      <c r="J61" s="938"/>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6"/>
      <c r="B62" s="928"/>
      <c r="C62" s="930"/>
      <c r="D62" s="926"/>
      <c r="E62" s="926"/>
      <c r="F62" s="926"/>
      <c r="G62" s="926"/>
      <c r="H62" s="926"/>
      <c r="I62" s="926"/>
      <c r="J62" s="926"/>
      <c r="K62" s="887"/>
      <c r="L62" s="888"/>
      <c r="M62" s="926"/>
      <c r="N62" s="926"/>
      <c r="O62" s="926"/>
      <c r="P62" s="2723"/>
      <c r="Q62" s="2723"/>
      <c r="R62" s="2723"/>
      <c r="S62" s="2723"/>
      <c r="T62" s="2723"/>
      <c r="U62" s="2723"/>
      <c r="V62" s="2723"/>
      <c r="W62" s="2723"/>
      <c r="X62" s="2723"/>
      <c r="Y62" s="2723"/>
      <c r="Z62" s="2723"/>
      <c r="AA62" s="2723"/>
      <c r="AB62" s="2723"/>
      <c r="AC62" s="2723"/>
      <c r="AD62" s="2723"/>
      <c r="AE62" s="2723"/>
    </row>
    <row r="63" spans="1:31">
      <c r="A63" s="926"/>
      <c r="B63" s="928"/>
      <c r="C63" s="691" t="str">
        <f>YEAR(C7)&amp;"-"&amp;MONTH(C7)&amp;"-1"</f>
        <v>2024-5-1</v>
      </c>
      <c r="D63" s="691">
        <f>EDATE(C63,-3)</f>
        <v>45323</v>
      </c>
      <c r="E63" s="691">
        <f>EDATE(D63,-3)</f>
        <v>45231</v>
      </c>
      <c r="F63" s="691">
        <f t="shared" ref="F63:O63" si="18">EDATE(E63,-3)</f>
        <v>45139</v>
      </c>
      <c r="G63" s="691">
        <f t="shared" si="18"/>
        <v>45047</v>
      </c>
      <c r="H63" s="691">
        <f t="shared" si="18"/>
        <v>44958</v>
      </c>
      <c r="I63" s="691">
        <f t="shared" si="18"/>
        <v>44866</v>
      </c>
      <c r="J63" s="691">
        <f t="shared" si="18"/>
        <v>44774</v>
      </c>
      <c r="K63" s="691">
        <f t="shared" si="18"/>
        <v>44682</v>
      </c>
      <c r="L63" s="691">
        <f t="shared" si="18"/>
        <v>44593</v>
      </c>
      <c r="M63" s="691">
        <f t="shared" si="18"/>
        <v>44501</v>
      </c>
      <c r="N63" s="691">
        <f t="shared" si="18"/>
        <v>44409</v>
      </c>
      <c r="O63" s="691">
        <f t="shared" si="18"/>
        <v>44317</v>
      </c>
      <c r="P63" s="2723"/>
      <c r="Q63" s="2723"/>
      <c r="R63" s="2723"/>
      <c r="S63" s="2723"/>
      <c r="T63" s="2723"/>
      <c r="U63" s="2723"/>
      <c r="V63" s="2723"/>
      <c r="W63" s="2723"/>
      <c r="X63" s="2723"/>
      <c r="Y63" s="2723"/>
      <c r="Z63" s="2723"/>
      <c r="AA63" s="2723"/>
      <c r="AB63" s="2723"/>
      <c r="AC63" s="2723"/>
      <c r="AD63" s="2723"/>
      <c r="AE63" s="2723"/>
    </row>
    <row r="64" spans="1:31" ht="21.75" thickBot="1">
      <c r="A64" s="693" t="s">
        <v>1798</v>
      </c>
      <c r="B64" s="689"/>
      <c r="C64" s="694"/>
      <c r="D64" s="694"/>
      <c r="E64" s="694"/>
      <c r="F64" s="695"/>
      <c r="G64" s="695"/>
      <c r="H64" s="694"/>
      <c r="I64" s="694"/>
      <c r="J64" s="694"/>
      <c r="K64" s="696"/>
      <c r="L64" s="697"/>
      <c r="M64" s="694"/>
      <c r="N64" s="694"/>
      <c r="O64" s="939"/>
      <c r="P64" s="2767"/>
      <c r="Q64" s="2737"/>
      <c r="R64" s="2723"/>
      <c r="S64" s="2723"/>
      <c r="T64" s="2723"/>
      <c r="U64" s="2723"/>
      <c r="V64" s="2723"/>
      <c r="W64" s="2723"/>
      <c r="X64" s="2723"/>
      <c r="Y64" s="2723"/>
      <c r="Z64" s="2723"/>
      <c r="AA64" s="2723"/>
      <c r="AB64" s="2723"/>
      <c r="AC64" s="2723"/>
      <c r="AD64" s="2723"/>
      <c r="AE64" s="2723"/>
    </row>
    <row r="65" spans="1:31" s="457" customFormat="1" ht="15">
      <c r="A65" s="1988" t="s">
        <v>1904</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6">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69"/>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9"/>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2"/>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4"/>
      <c r="H106" s="624"/>
      <c r="I106" s="624"/>
      <c r="J106" s="624"/>
      <c r="K106" s="624"/>
      <c r="L106" s="624"/>
      <c r="M106" s="646"/>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7"/>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2083</v>
      </c>
      <c r="C1" s="3760" t="s">
        <v>2084</v>
      </c>
      <c r="D1" s="3761"/>
      <c r="E1" s="3761"/>
      <c r="F1" s="3761"/>
      <c r="G1" s="3761"/>
      <c r="H1" s="3761"/>
      <c r="I1" s="3761"/>
      <c r="J1" s="3761"/>
      <c r="K1" s="3761"/>
      <c r="L1" s="3761"/>
      <c r="M1" s="3761"/>
      <c r="N1" s="3761"/>
      <c r="O1" s="3761"/>
      <c r="P1" s="3761"/>
      <c r="Q1" s="3761"/>
      <c r="R1" s="3761"/>
      <c r="S1" s="3762"/>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2093</v>
      </c>
      <c r="B17" s="2148"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2095</v>
      </c>
      <c r="E19" s="1339"/>
      <c r="F19" s="1339"/>
      <c r="G19" s="1339"/>
      <c r="H19" s="1058"/>
      <c r="I19" s="159"/>
      <c r="J19" s="159"/>
      <c r="K19" s="159"/>
      <c r="L19" s="159"/>
      <c r="M19" s="159"/>
      <c r="N19" s="159"/>
      <c r="O19" s="159"/>
      <c r="P19" s="159"/>
      <c r="Q19" s="159"/>
      <c r="R19" s="717"/>
      <c r="S19" s="129"/>
    </row>
    <row r="20" spans="1:45" ht="16.5" thickBot="1">
      <c r="A20" s="661" t="s">
        <v>2096</v>
      </c>
      <c r="B20" s="294" t="e">
        <f ca="1">IF(D20="——",S22,S22-F20)</f>
        <v>#REF!</v>
      </c>
      <c r="C20" s="159"/>
      <c r="D20" s="2150"/>
      <c r="E20" s="1340"/>
      <c r="F20" s="982" t="e">
        <f ca="1">SUMIF(INDIRECT("'"&amp;H20&amp;"'"&amp;"!A:A"),"承租人权益价值",INDIRECT("'"&amp;H20&amp;"'"&amp;"!c:c"))</f>
        <v>#REF!</v>
      </c>
      <c r="G20" s="982" t="s">
        <v>2097</v>
      </c>
      <c r="H20" s="2151"/>
      <c r="I20" s="159"/>
      <c r="J20" s="159"/>
      <c r="K20" s="159"/>
      <c r="L20" s="159"/>
      <c r="M20" s="159"/>
      <c r="N20" s="159"/>
      <c r="O20" s="159"/>
      <c r="P20" s="159"/>
      <c r="Q20" s="159"/>
      <c r="R20" s="717"/>
      <c r="S20" s="129"/>
    </row>
    <row r="21" spans="1:45" ht="15.75">
      <c r="A21" s="661" t="s">
        <v>2098</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0</v>
      </c>
      <c r="C22" s="3757" t="s">
        <v>27</v>
      </c>
      <c r="D22" s="3758"/>
      <c r="E22" s="3758"/>
      <c r="F22" s="3758"/>
      <c r="G22" s="3758"/>
      <c r="H22" s="3758"/>
      <c r="I22" s="3758"/>
      <c r="J22" s="3758"/>
      <c r="K22" s="3758"/>
      <c r="L22" s="3758"/>
      <c r="M22" s="3758"/>
      <c r="N22" s="3758"/>
      <c r="O22" s="3758"/>
      <c r="P22" s="3758"/>
      <c r="Q22" s="3759"/>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8">
        <v>1</v>
      </c>
      <c r="D24" s="2809"/>
      <c r="E24" s="2808">
        <v>1</v>
      </c>
      <c r="F24" s="2809"/>
      <c r="G24" s="2808">
        <v>1</v>
      </c>
      <c r="H24" s="2809"/>
      <c r="I24" s="2808">
        <v>1</v>
      </c>
      <c r="J24" s="2809"/>
      <c r="K24" s="2808">
        <v>1</v>
      </c>
      <c r="L24" s="2809"/>
      <c r="M24" s="2808">
        <v>1</v>
      </c>
      <c r="N24" s="2809"/>
      <c r="O24" s="2808">
        <v>1</v>
      </c>
      <c r="P24" s="2809"/>
      <c r="Q24" s="2808">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1"/>
      <c r="G1" s="2791"/>
      <c r="H1" s="2791"/>
      <c r="I1" s="2791"/>
      <c r="J1" s="2791"/>
      <c r="K1" s="2791"/>
      <c r="L1" s="2791"/>
      <c r="M1" s="2791"/>
      <c r="N1" s="2791"/>
      <c r="O1" s="2791"/>
      <c r="P1" s="2791"/>
    </row>
    <row r="2" spans="1:16" ht="15.75">
      <c r="A2" s="2144" t="s">
        <v>2073</v>
      </c>
      <c r="B2" s="2600" t="e">
        <f ca="1">SUMIF(B6:B13,"&lt;&gt;#ref!",B6:B13)</f>
        <v>#DIV/0!</v>
      </c>
      <c r="C2" s="2144" t="s">
        <v>2074</v>
      </c>
      <c r="D2" s="2144" t="s">
        <v>2075</v>
      </c>
      <c r="E2" s="2610">
        <f ca="1">SUMIF(E6:E13,"&lt;&gt;#ref!",E6:E13)</f>
        <v>314.25</v>
      </c>
      <c r="F2" s="2791"/>
      <c r="G2" s="2791"/>
      <c r="H2" s="2791"/>
      <c r="I2" s="2791"/>
      <c r="J2" s="2791"/>
      <c r="K2" s="2791"/>
      <c r="L2" s="2791"/>
      <c r="M2" s="2791"/>
      <c r="N2" s="2791"/>
      <c r="O2" s="2791"/>
      <c r="P2" s="2791"/>
    </row>
    <row r="3" spans="1:16" ht="15.75">
      <c r="A3" s="2144" t="s">
        <v>2076</v>
      </c>
      <c r="B3" s="2600" t="e">
        <f ca="1">ROUND(B2*10000/E2,0)</f>
        <v>#DIV/0!</v>
      </c>
      <c r="C3" s="2144"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5"/>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4" t="s">
        <v>2074</v>
      </c>
      <c r="D6" s="2791"/>
      <c r="E6" s="2610">
        <f ca="1">SUMIF(INDIRECT("'"&amp;A6&amp;"'"&amp;"!C:C"),"建筑面积",INDIRECT("'"&amp;A6&amp;"'"&amp;"!D:D"))</f>
        <v>314.25</v>
      </c>
      <c r="F6" s="2791"/>
      <c r="G6" s="2791"/>
      <c r="H6" s="2791"/>
      <c r="I6" s="2791"/>
      <c r="J6" s="2791"/>
      <c r="K6" s="2791"/>
      <c r="L6" s="2791"/>
      <c r="M6" s="2791"/>
      <c r="N6" s="2791"/>
      <c r="O6" s="2791"/>
      <c r="P6" s="2791"/>
    </row>
    <row r="7" spans="1:16" ht="15.75">
      <c r="A7" s="2607"/>
      <c r="B7" s="2600" t="e">
        <f ca="1">SUMIF(INDIRECT("'"&amp;A7&amp;"'"&amp;"!A:A"),"总价",INDIRECT("'"&amp;A7&amp;"'"&amp;"!B:B"))</f>
        <v>#REF!</v>
      </c>
      <c r="C7" s="2144"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4"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4"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4"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4"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4"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4"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22" zoomScaleNormal="80" zoomScaleSheetLayoutView="100" workbookViewId="0">
      <selection activeCell="G44" sqref="G44"/>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314.25</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19" t="s">
        <v>673</v>
      </c>
      <c r="F2" s="1999" t="s">
        <v>1937</v>
      </c>
      <c r="G2" s="2000" t="str">
        <f>IF(E2="商业",项目基本情况!B37,IF(E2="办公",项目基本情况!C37,IF(E2="住宅",项目基本情况!D37,IF(E2="工业",项目基本情况!E37,项目基本情况!F37))))</f>
        <v>六级</v>
      </c>
      <c r="H2" s="1999" t="s">
        <v>1938</v>
      </c>
      <c r="I2" s="2000" t="str">
        <f>IF(E2="商业",项目基本情况!B38,IF(E2="办公",项目基本情况!C38,IF(E2="住宅",项目基本情况!D38,IF(E2="工业",项目基本情况!E38,项目基本情况!F38))))</f>
        <v>Ⅵ-04</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59">
        <f>ROUND(SUMPRODUCT((B106:B110=R2)*(C105:N105=G2)*(C106:N110)),4)</f>
        <v>1.5019</v>
      </c>
      <c r="T2" s="3359">
        <f t="shared" ref="T2:T16" si="0">ROUND($C$5*$C$22*$C$23*$C$24*S2*$C$28,0)</f>
        <v>10381</v>
      </c>
      <c r="U2" s="1212"/>
      <c r="V2" s="3359">
        <f>ROUND(T2*U2/10000,0)</f>
        <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52" t="s">
        <v>2449</v>
      </c>
      <c r="F3" s="2003" t="s">
        <v>3446</v>
      </c>
      <c r="G3" s="751" t="e">
        <f>IF(F3="宗地容积率",'数据-汇总表'!I4,IF(F3="估价对象容积率",'数据-汇总表'!I6,'数据-汇总表'!I7))</f>
        <v>#DIV/0!</v>
      </c>
      <c r="H3" s="170" t="s">
        <v>1943</v>
      </c>
      <c r="I3" s="774">
        <v>1</v>
      </c>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59">
        <f>ROUND(SUMPRODUCT((B106:B110=R3)*(C105:N105=G2)*(C106:N110)),4)</f>
        <v>1.1838</v>
      </c>
      <c r="T3" s="3359">
        <f t="shared" si="0"/>
        <v>8182</v>
      </c>
      <c r="U3" s="1212"/>
      <c r="V3" s="3359">
        <f t="shared" ref="V3:V16" si="1">ROUND(T3*U3/10000,0)</f>
        <v>0</v>
      </c>
      <c r="W3" s="1215"/>
      <c r="X3" s="1215"/>
      <c r="Y3" s="1215"/>
      <c r="Z3" s="1215"/>
      <c r="AA3" s="1215"/>
      <c r="AB3" s="1215"/>
      <c r="AC3" s="1216"/>
      <c r="AD3" s="1217"/>
      <c r="AE3" s="1217"/>
      <c r="AF3" s="1217"/>
      <c r="AG3" s="1217"/>
      <c r="AH3" s="1217"/>
      <c r="AI3" s="1217"/>
      <c r="AJ3" s="1218"/>
    </row>
    <row r="4" spans="1:36" ht="15.75">
      <c r="A4" s="3770"/>
      <c r="B4" s="3771"/>
      <c r="C4" s="3771"/>
      <c r="D4" s="3772"/>
      <c r="E4" s="3772"/>
      <c r="F4" s="3772"/>
      <c r="G4" s="3772"/>
      <c r="H4" s="3772"/>
      <c r="I4" s="3772"/>
      <c r="J4" s="3773"/>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59">
        <f>ROUND(SUMPRODUCT((B106:B110=R4)*(C105:N105=G2)*(C106:N110)),4)</f>
        <v>1.0004999999999999</v>
      </c>
      <c r="T4" s="3359">
        <f t="shared" si="0"/>
        <v>6915</v>
      </c>
      <c r="U4" s="1212"/>
      <c r="V4" s="3359">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10910</v>
      </c>
      <c r="D5" s="1338">
        <f>ROUND(C6*C17+C20,0)</f>
        <v>10910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59">
        <f>ROUND(SUMPRODUCT((B106:B110=R5)*(C105:N105=G2)*(C106:N110)),4)</f>
        <v>0.88239999999999996</v>
      </c>
      <c r="T5" s="3359">
        <f t="shared" si="0"/>
        <v>6099</v>
      </c>
      <c r="U5" s="1212"/>
      <c r="V5" s="3359">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10910</v>
      </c>
      <c r="D6" s="2016"/>
      <c r="E6" s="2017"/>
      <c r="F6" s="2017"/>
      <c r="G6" s="2018"/>
      <c r="H6" s="2018"/>
      <c r="I6" s="2018"/>
      <c r="J6" s="2019"/>
      <c r="K6" s="1383"/>
      <c r="L6" s="2002" t="s">
        <v>1951</v>
      </c>
      <c r="M6" s="863">
        <f>SUMPRODUCT((区片价!B127:B189=I2)*(区片价!C3:G3=E2)*(区片价!C127:G189))</f>
        <v>10910</v>
      </c>
      <c r="N6" s="865">
        <f>SUMPRODUCT((因素修正幅度!B127:B189=I2)*(因素修正幅度!C3:G3=E2)*(因素修正幅度!C127:G189))</f>
        <v>0.13</v>
      </c>
      <c r="O6" s="1118"/>
      <c r="P6" s="1118"/>
      <c r="Q6" s="1118"/>
      <c r="R6" s="1211">
        <v>5</v>
      </c>
      <c r="S6" s="3359">
        <f>ROUND(SUMPRODUCT((B106:B110=R6)*(C105:N105=G2)*(C106:N110)),4)</f>
        <v>0.84799999999999998</v>
      </c>
      <c r="T6" s="3359">
        <f t="shared" si="0"/>
        <v>5861</v>
      </c>
      <c r="U6" s="1212"/>
      <c r="V6" s="3359">
        <f t="shared" si="1"/>
        <v>0</v>
      </c>
      <c r="W6" s="1215"/>
      <c r="X6" s="1215"/>
      <c r="Y6" s="1215"/>
      <c r="Z6" s="1215"/>
      <c r="AA6" s="1215"/>
      <c r="AB6" s="1215"/>
      <c r="AC6" s="2010"/>
      <c r="AD6" s="2011"/>
      <c r="AE6" s="2011"/>
      <c r="AF6" s="2011"/>
      <c r="AG6" s="2011"/>
      <c r="AH6" s="2011"/>
      <c r="AI6" s="2011"/>
      <c r="AJ6" s="2012"/>
    </row>
    <row r="7" spans="1:36" ht="24.75" thickBot="1">
      <c r="A7" s="3302" t="s">
        <v>3241</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7"/>
      <c r="T7" s="3359">
        <f t="shared" si="0"/>
        <v>0</v>
      </c>
      <c r="U7" s="1212"/>
      <c r="V7" s="3359">
        <f t="shared" si="1"/>
        <v>0</v>
      </c>
      <c r="W7" s="1357" t="s">
        <v>1955</v>
      </c>
      <c r="X7" s="1213" t="str">
        <f>G2</f>
        <v>六级</v>
      </c>
      <c r="Y7" s="1213" t="s">
        <v>1956</v>
      </c>
      <c r="Z7" s="1214" t="e">
        <f>G3</f>
        <v>#DIV/0!</v>
      </c>
      <c r="AA7" s="1215"/>
      <c r="AB7" s="1215"/>
      <c r="AC7" s="1216"/>
      <c r="AD7" s="1217"/>
      <c r="AE7" s="1217"/>
      <c r="AF7" s="1217"/>
      <c r="AG7" s="1217"/>
      <c r="AH7" s="1217"/>
      <c r="AI7" s="1217"/>
      <c r="AJ7" s="1218"/>
    </row>
    <row r="8" spans="1:36" ht="25.5">
      <c r="A8" s="3297"/>
      <c r="B8" s="170" t="s">
        <v>1957</v>
      </c>
      <c r="C8" s="2025" t="s">
        <v>3439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59">
        <f t="shared" si="0"/>
        <v>0</v>
      </c>
      <c r="U8" s="1212"/>
      <c r="V8" s="3359">
        <f t="shared" si="1"/>
        <v>0</v>
      </c>
      <c r="W8" s="3767" t="s">
        <v>1960</v>
      </c>
      <c r="X8" s="3768"/>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7"/>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59">
        <f t="shared" si="0"/>
        <v>0</v>
      </c>
      <c r="U9" s="1212"/>
      <c r="V9" s="3359">
        <f t="shared" si="1"/>
        <v>0</v>
      </c>
      <c r="W9" s="3769"/>
      <c r="X9" s="3360" t="s">
        <v>3272</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59">
        <f t="shared" si="0"/>
        <v>0</v>
      </c>
      <c r="U10" s="1212"/>
      <c r="V10" s="3359">
        <f t="shared" si="1"/>
        <v>0</v>
      </c>
      <c r="W10" s="3769"/>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59">
        <f t="shared" si="0"/>
        <v>0</v>
      </c>
      <c r="U11" s="1212"/>
      <c r="V11" s="3359">
        <f t="shared" si="1"/>
        <v>0</v>
      </c>
      <c r="W11" s="1215"/>
      <c r="X11" s="1215"/>
      <c r="Y11" s="1215"/>
      <c r="Z11" s="1215"/>
      <c r="AA11" s="1215"/>
      <c r="AB11" s="1215"/>
      <c r="AC11" s="1216"/>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59">
        <f t="shared" si="0"/>
        <v>0</v>
      </c>
      <c r="U12" s="1212"/>
      <c r="V12" s="3359">
        <f t="shared" si="1"/>
        <v>0</v>
      </c>
      <c r="W12" s="1215"/>
      <c r="X12" s="1215"/>
      <c r="Y12" s="1215"/>
      <c r="Z12" s="1215"/>
      <c r="AA12" s="1215"/>
      <c r="AB12" s="1215"/>
      <c r="AC12" s="1216"/>
      <c r="AD12" s="2787"/>
      <c r="AE12" s="2787"/>
      <c r="AF12" s="2787"/>
      <c r="AG12" s="2787"/>
      <c r="AH12" s="2787"/>
      <c r="AI12" s="2787"/>
      <c r="AJ12" s="2788"/>
    </row>
    <row r="13" spans="1:36" ht="15.75" thickBot="1">
      <c r="A13" s="3302" t="s">
        <v>3246</v>
      </c>
      <c r="B13" s="2033" t="s">
        <v>1982</v>
      </c>
      <c r="C13" s="754">
        <f>ROUND(C16*D16*E16*F16*G16*H16*I16*J16,4)</f>
        <v>0</v>
      </c>
      <c r="D13" s="2034" t="s">
        <v>1983</v>
      </c>
      <c r="E13" s="2035"/>
      <c r="F13" s="2035"/>
      <c r="G13" s="2036"/>
      <c r="H13" s="2036"/>
      <c r="I13" s="2036"/>
      <c r="J13" s="2037"/>
      <c r="K13" s="1118"/>
      <c r="L13" s="3298"/>
      <c r="M13" s="3299"/>
      <c r="N13" s="3300"/>
      <c r="O13" s="1118"/>
      <c r="P13" s="1118"/>
      <c r="Q13" s="1118"/>
      <c r="R13" s="1211">
        <v>12</v>
      </c>
      <c r="S13" s="1212"/>
      <c r="T13" s="3359">
        <f t="shared" si="0"/>
        <v>0</v>
      </c>
      <c r="U13" s="1212"/>
      <c r="V13" s="3359">
        <f t="shared" si="1"/>
        <v>0</v>
      </c>
      <c r="W13" s="1215"/>
      <c r="X13" s="1215"/>
      <c r="Y13" s="1215"/>
      <c r="Z13" s="1215"/>
      <c r="AA13" s="1215"/>
      <c r="AB13" s="1215"/>
      <c r="AC13" s="1216"/>
      <c r="AD13" s="2787"/>
      <c r="AE13" s="2787"/>
      <c r="AF13" s="2787"/>
      <c r="AG13" s="2787"/>
      <c r="AH13" s="2787"/>
      <c r="AI13" s="2787"/>
      <c r="AJ13" s="2788"/>
    </row>
    <row r="14" spans="1:36" ht="15">
      <c r="A14" s="3296"/>
      <c r="B14" s="2039" t="s">
        <v>1985</v>
      </c>
      <c r="C14" s="2040" t="s">
        <v>1986</v>
      </c>
      <c r="D14" s="1349" t="s">
        <v>1987</v>
      </c>
      <c r="E14" s="27" t="s">
        <v>1988</v>
      </c>
      <c r="F14" s="3310" t="s">
        <v>3247</v>
      </c>
      <c r="G14" s="3310" t="s">
        <v>3247</v>
      </c>
      <c r="H14" s="3310" t="s">
        <v>3247</v>
      </c>
      <c r="I14" s="3310" t="s">
        <v>3247</v>
      </c>
      <c r="J14" s="3310" t="s">
        <v>3247</v>
      </c>
      <c r="K14" s="1118"/>
      <c r="L14" s="1118"/>
      <c r="M14" s="1118"/>
      <c r="N14" s="1118"/>
      <c r="O14" s="1118"/>
      <c r="P14" s="1118"/>
      <c r="Q14" s="1118"/>
      <c r="R14" s="1211">
        <v>13</v>
      </c>
      <c r="S14" s="1212"/>
      <c r="T14" s="3359">
        <f t="shared" si="0"/>
        <v>0</v>
      </c>
      <c r="U14" s="1212"/>
      <c r="V14" s="3359">
        <f t="shared" si="1"/>
        <v>0</v>
      </c>
      <c r="W14" s="1215"/>
      <c r="X14" s="1215"/>
      <c r="Y14" s="1215"/>
      <c r="Z14" s="1215"/>
      <c r="AA14" s="1215"/>
      <c r="AB14" s="1215"/>
      <c r="AC14" s="1216"/>
      <c r="AD14" s="2787"/>
      <c r="AE14" s="2787"/>
      <c r="AF14" s="2787"/>
      <c r="AG14" s="2787"/>
      <c r="AH14" s="2787"/>
      <c r="AI14" s="2787"/>
      <c r="AJ14" s="2788"/>
    </row>
    <row r="15" spans="1:36" ht="15">
      <c r="A15" s="3296"/>
      <c r="B15" s="2041"/>
      <c r="C15" s="2042"/>
      <c r="D15" s="2043"/>
      <c r="E15" s="2044"/>
      <c r="F15" s="3311" t="s">
        <v>3248</v>
      </c>
      <c r="G15" s="3312"/>
      <c r="H15" s="3313"/>
      <c r="I15" s="3314"/>
      <c r="J15" s="3315"/>
      <c r="K15" s="1118"/>
      <c r="L15" s="1118"/>
      <c r="M15" s="1118"/>
      <c r="N15" s="1118"/>
      <c r="O15" s="1118"/>
      <c r="P15" s="1118"/>
      <c r="Q15" s="1118"/>
      <c r="R15" s="1211">
        <v>14</v>
      </c>
      <c r="S15" s="1212"/>
      <c r="T15" s="3359">
        <f t="shared" si="0"/>
        <v>0</v>
      </c>
      <c r="U15" s="1212"/>
      <c r="V15" s="3359">
        <f t="shared" si="1"/>
        <v>0</v>
      </c>
      <c r="W15" s="1215"/>
      <c r="X15" s="1215"/>
      <c r="Y15" s="1215"/>
      <c r="Z15" s="1215"/>
      <c r="AA15" s="1215"/>
      <c r="AB15" s="1215"/>
      <c r="AC15" s="1216"/>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8"/>
      <c r="L16" s="1996"/>
      <c r="M16" s="1996"/>
      <c r="N16" s="1996"/>
      <c r="O16" s="1996"/>
      <c r="P16" s="1996"/>
      <c r="Q16" s="1118"/>
      <c r="R16" s="1211">
        <v>15</v>
      </c>
      <c r="S16" s="1212"/>
      <c r="T16" s="3359">
        <f t="shared" si="0"/>
        <v>0</v>
      </c>
      <c r="U16" s="1212"/>
      <c r="V16" s="3359">
        <f t="shared" si="1"/>
        <v>0</v>
      </c>
      <c r="W16" s="1215"/>
      <c r="X16" s="1215"/>
      <c r="Y16" s="1215"/>
      <c r="Z16" s="1215"/>
      <c r="AA16" s="1215"/>
      <c r="AB16" s="1215"/>
      <c r="AC16" s="1216"/>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f>ROUND(G18/I18,2)</f>
        <v>0</v>
      </c>
      <c r="F17" s="3320" t="s">
        <v>3254</v>
      </c>
      <c r="G17" s="3329" t="e">
        <f>ROUND(E19/G19,2)</f>
        <v>#DIV/0!</v>
      </c>
      <c r="H17" s="3329"/>
      <c r="I17" s="3329"/>
      <c r="J17" s="3330"/>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1"/>
      <c r="B18" s="3008"/>
      <c r="C18" s="3326"/>
      <c r="D18" s="3321" t="s">
        <v>3252</v>
      </c>
      <c r="E18" s="3327"/>
      <c r="F18" s="3322" t="s">
        <v>3255</v>
      </c>
      <c r="G18" s="3326">
        <f>ROUND(1-(1/(POWER(1+G24,E18))),4)</f>
        <v>0</v>
      </c>
      <c r="H18" s="3322" t="s">
        <v>3257</v>
      </c>
      <c r="I18" s="3326">
        <f>ROUND(1-(1/(POWER(1+G24,J24))),4)</f>
        <v>0.88249999999999995</v>
      </c>
      <c r="J18" s="3332"/>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6"/>
    </row>
    <row r="19" spans="1:37" s="2013" customFormat="1" ht="15" thickBot="1">
      <c r="A19" s="3333"/>
      <c r="B19" s="3334"/>
      <c r="C19" s="3335"/>
      <c r="D19" s="3335" t="s">
        <v>3253</v>
      </c>
      <c r="E19" s="3336"/>
      <c r="F19" s="3337" t="s">
        <v>3256</v>
      </c>
      <c r="G19" s="3336"/>
      <c r="H19" s="3335"/>
      <c r="I19" s="3335"/>
      <c r="J19" s="3338"/>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9"/>
      <c r="AH19" s="2140"/>
      <c r="AI19" s="2790"/>
      <c r="AJ19" s="2790"/>
      <c r="AK19" s="2056"/>
    </row>
    <row r="20" spans="1:37" s="2013" customFormat="1" ht="14.25">
      <c r="A20" s="3774" t="s">
        <v>3258</v>
      </c>
      <c r="B20" s="167" t="s">
        <v>1994</v>
      </c>
      <c r="C20" s="3323">
        <f>ROUND(IF(F21="与级别开发程度一致",0,(G21-E21)/C21),0)</f>
        <v>0</v>
      </c>
      <c r="D20" s="3339" t="s">
        <v>1998</v>
      </c>
      <c r="E20" s="3340"/>
      <c r="F20" s="3780" t="s">
        <v>1995</v>
      </c>
      <c r="G20" s="3781"/>
      <c r="H20" s="3324" t="s">
        <v>3388</v>
      </c>
      <c r="I20" s="3324" t="s">
        <v>3389</v>
      </c>
      <c r="J20" s="3325" t="s">
        <v>3390</v>
      </c>
      <c r="K20" s="2046" t="s">
        <v>3391</v>
      </c>
      <c r="L20" s="2046" t="s">
        <v>3392</v>
      </c>
      <c r="M20" s="2046" t="s">
        <v>3441</v>
      </c>
      <c r="N20" s="2046" t="s">
        <v>3447</v>
      </c>
      <c r="O20" s="2047" t="s">
        <v>3448</v>
      </c>
      <c r="P20" s="1996"/>
      <c r="Q20" s="1123"/>
      <c r="R20" s="1123"/>
      <c r="S20" s="1123"/>
      <c r="T20" s="1119"/>
      <c r="U20" s="1119"/>
      <c r="V20" s="1119"/>
      <c r="W20" s="1118"/>
      <c r="X20" s="1118"/>
      <c r="Y20" s="1118"/>
      <c r="Z20" s="1124"/>
      <c r="AA20" s="1124"/>
      <c r="AB20" s="1124"/>
      <c r="AC20" s="1124"/>
      <c r="AD20" s="1124"/>
      <c r="AE20" s="1124"/>
      <c r="AF20" s="1124"/>
      <c r="AG20" s="2786"/>
      <c r="AH20" s="2786"/>
      <c r="AI20" s="2786"/>
      <c r="AJ20" s="2786"/>
    </row>
    <row r="21" spans="1:37" s="2013" customFormat="1" ht="26.25" thickBot="1">
      <c r="A21" s="3775"/>
      <c r="B21" s="2163" t="s">
        <v>1997</v>
      </c>
      <c r="C21" s="2164">
        <f>IF(E3="M4科研用地",SUMPRODUCT((修正!A2:A7=E3)*(修正!B1:M1=G2)*(修正!B2:M7)),SUMPRODUCT((修正!A2:A7=E2)*(修正!B1:M1=G2)*(修正!B2:M7)))</f>
        <v>2.5</v>
      </c>
      <c r="D21" s="187" t="str">
        <f>IF(OR(G2="八级",G2="九级",G2="十级",G2="十一级",G2="十二级"),"五通一平","七通一平")</f>
        <v>七通一平</v>
      </c>
      <c r="E21" s="2154">
        <f>SUMPRODUCT((修正!B1:M1=G2)*(修正!B17:M17))</f>
        <v>315</v>
      </c>
      <c r="F21" s="2155" t="s">
        <v>3437</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15</v>
      </c>
      <c r="N21" s="2164">
        <f>SUMPRODUCT((七通一平=N20)*(修正!B1:M1=G2)*(修正!B8:M16))</f>
        <v>40</v>
      </c>
      <c r="O21" s="2166">
        <f>SUMPRODUCT((七通一平=O20)*(修正!B1:M1=G2)*(修正!B8:M16))</f>
        <v>50</v>
      </c>
      <c r="P21" s="1996"/>
      <c r="Q21" s="2786"/>
      <c r="R21" s="1123"/>
      <c r="S21" s="1123"/>
      <c r="T21" s="1119"/>
      <c r="U21" s="1119"/>
      <c r="V21" s="1119"/>
      <c r="W21" s="1118"/>
      <c r="X21" s="1118"/>
      <c r="Y21" s="1118"/>
      <c r="Z21" s="1124"/>
      <c r="AA21" s="1124"/>
      <c r="AB21" s="1124"/>
      <c r="AC21" s="1124"/>
      <c r="AD21" s="1124"/>
      <c r="AE21" s="1124"/>
      <c r="AF21" s="1124"/>
      <c r="AG21" s="2786"/>
      <c r="AH21" s="2786"/>
      <c r="AI21" s="2786"/>
      <c r="AJ21" s="2786"/>
    </row>
    <row r="22" spans="1:37" s="2013" customFormat="1" ht="15.75" thickBot="1">
      <c r="A22" s="2157" t="s">
        <v>363</v>
      </c>
      <c r="B22" s="2158" t="s">
        <v>2000</v>
      </c>
      <c r="C22" s="2159">
        <f>SUMIF(修正!C20:C51,E3,修正!E20:E51)</f>
        <v>0.9</v>
      </c>
      <c r="D22" s="2160"/>
      <c r="E22" s="2161"/>
      <c r="F22" s="2161"/>
      <c r="G22" s="2161"/>
      <c r="H22" s="2161"/>
      <c r="I22" s="2161"/>
      <c r="J22" s="2162"/>
      <c r="K22" s="1124"/>
      <c r="L22" s="2786"/>
      <c r="M22" s="2786"/>
      <c r="N22" s="2786"/>
      <c r="O22" s="1122"/>
      <c r="P22" s="1122"/>
      <c r="Q22" s="2786"/>
      <c r="R22" s="1123"/>
      <c r="S22" s="1123"/>
      <c r="T22" s="1119"/>
      <c r="U22" s="1119"/>
      <c r="V22" s="1119"/>
      <c r="W22" s="1118"/>
      <c r="X22" s="1118"/>
      <c r="Y22" s="1118"/>
      <c r="Z22" s="1124"/>
      <c r="AA22" s="1124"/>
      <c r="AB22" s="1124"/>
      <c r="AC22" s="1124"/>
      <c r="AD22" s="1124"/>
      <c r="AE22" s="1124"/>
      <c r="AF22" s="1124"/>
      <c r="AG22" s="2786"/>
      <c r="AH22" s="2786"/>
      <c r="AI22" s="2786"/>
      <c r="AJ22" s="2786"/>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3" t="s">
        <v>2002</v>
      </c>
      <c r="E23" s="760">
        <v>44197</v>
      </c>
      <c r="F23" s="2053" t="s">
        <v>2003</v>
      </c>
      <c r="G23" s="761">
        <f>'数据-取费表'!B2</f>
        <v>45435</v>
      </c>
      <c r="H23" s="3341" t="s">
        <v>3260</v>
      </c>
      <c r="I23" s="3342" t="str">
        <f>IF(H23="季度增幅（自定义）",SUMIF(N25:N28,E2,O25:O28),"")</f>
        <v/>
      </c>
      <c r="J23" s="3443" t="s">
        <v>3259</v>
      </c>
      <c r="K23" s="1124"/>
      <c r="L23" s="2054" t="s">
        <v>2004</v>
      </c>
      <c r="M23" s="1327">
        <f>ROUND(SUMIF(地价!B2:G2,E2,地价!B16:G16),0)</f>
        <v>350</v>
      </c>
      <c r="N23" s="2055" t="s">
        <v>2005</v>
      </c>
      <c r="O23" s="762">
        <f>ROUNDDOWN(DATEDIF(E23,G23,"M")/3,0)</f>
        <v>13</v>
      </c>
      <c r="P23" s="1121"/>
      <c r="Q23" s="2786"/>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0.65200000000000002</v>
      </c>
      <c r="D24" s="2059" t="s">
        <v>2007</v>
      </c>
      <c r="E24" s="1334">
        <f>存贷款利率!E24/100</f>
        <v>4.3499999999999997E-2</v>
      </c>
      <c r="F24" s="2059" t="s">
        <v>1999</v>
      </c>
      <c r="G24" s="767">
        <f>SUMIF(M30:Q30,E2,M33:Q33)</f>
        <v>5.5E-2</v>
      </c>
      <c r="H24" s="2059" t="s">
        <v>2008</v>
      </c>
      <c r="I24" s="768">
        <f>SUMIF('数据-取费表'!C6:C15,E2,'数据-取费表'!F6:F15)/COUNTIF('数据-取费表'!C6:C15,E2)</f>
        <v>16</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6"/>
      <c r="AH24" s="2786"/>
      <c r="AI24" s="2786"/>
      <c r="AJ24" s="2786"/>
    </row>
    <row r="25" spans="1:37" ht="15">
      <c r="A25" s="2064" t="s">
        <v>366</v>
      </c>
      <c r="B25" s="2065" t="s">
        <v>3440</v>
      </c>
      <c r="C25" s="770" t="e">
        <f>IF(B25="容积率修正",IF(G3&lt;10,D26,J26),C27)</f>
        <v>#DIV/0!</v>
      </c>
      <c r="D25" s="2066"/>
      <c r="E25" s="2066"/>
      <c r="F25" s="2066"/>
      <c r="G25" s="2066"/>
      <c r="H25" s="2066"/>
      <c r="I25" s="2066"/>
      <c r="J25" s="2067"/>
      <c r="K25" s="1124"/>
      <c r="L25" s="2786"/>
      <c r="M25" s="2786"/>
      <c r="N25" s="2068" t="s">
        <v>2013</v>
      </c>
      <c r="O25" s="1172"/>
      <c r="P25" s="1173">
        <f>SUMPRODUCT((地价!A3:A40=YEAR(G23)&amp;"-"&amp;ROUNDUP(MONTH(G23)/3,0))*(地价!AD2:AH2=N25)*(地价!AD3:AH40))</f>
        <v>0</v>
      </c>
      <c r="Q25" s="2786"/>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3" t="s">
        <v>3261</v>
      </c>
      <c r="D26" s="1351" t="e">
        <f>IF(E26=G26,F26,IF(G3&lt;10,ROUND(F26+(H26-F26)*(G3-E26)/(G26-E26),4),"——"))</f>
        <v>#DIV/0!</v>
      </c>
      <c r="E26" s="751" t="e">
        <f>ROUNDDOWN(G3,1)</f>
        <v>#DIV/0!</v>
      </c>
      <c r="F26" s="1351"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1" t="e">
        <f>ROUNDUP(G3,1)</f>
        <v>#DIV/0!</v>
      </c>
      <c r="H26" s="1351"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3" t="s">
        <v>3262</v>
      </c>
      <c r="J26" s="771" t="e">
        <f>IF(G3&gt;=10,D115,"——")</f>
        <v>#DIV/0!</v>
      </c>
      <c r="K26" s="1124"/>
      <c r="L26" s="2786"/>
      <c r="M26" s="2786"/>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1.5019</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1.0309999999999999</v>
      </c>
      <c r="D28" s="2051"/>
      <c r="E28" s="2076"/>
      <c r="F28" s="2076"/>
      <c r="G28" s="2076"/>
      <c r="H28" s="2076"/>
      <c r="I28" s="2076"/>
      <c r="J28" s="2077"/>
      <c r="K28" s="1124"/>
      <c r="L28" s="2786"/>
      <c r="M28" s="2786"/>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3" t="s">
        <v>2023</v>
      </c>
      <c r="O29" s="2784"/>
      <c r="P29" s="2785">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8"/>
      <c r="L30" s="3349" t="s">
        <v>1936</v>
      </c>
      <c r="M30" s="3350" t="s">
        <v>1990</v>
      </c>
      <c r="N30" s="3350" t="s">
        <v>1991</v>
      </c>
      <c r="O30" s="3350" t="s">
        <v>1992</v>
      </c>
      <c r="P30" s="3350" t="s">
        <v>1993</v>
      </c>
      <c r="Q30" s="3353" t="s">
        <v>3266</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t="e">
        <f>E34+SUM(I37:I42)</f>
        <v>#DIV/0!</v>
      </c>
      <c r="D31" s="2086"/>
      <c r="E31" s="2087"/>
      <c r="F31" s="2088"/>
      <c r="G31" s="2087"/>
      <c r="H31" s="2087"/>
      <c r="I31" s="2087"/>
      <c r="J31" s="2089"/>
      <c r="K31" s="1118"/>
      <c r="L31" s="3351" t="s">
        <v>1996</v>
      </c>
      <c r="M31" s="1999">
        <v>0.25</v>
      </c>
      <c r="N31" s="1999">
        <v>0.2</v>
      </c>
      <c r="O31" s="1999">
        <v>0.15</v>
      </c>
      <c r="P31" s="1999">
        <v>0.1</v>
      </c>
      <c r="Q31" s="3346">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2" t="s">
        <v>1999</v>
      </c>
      <c r="M32" s="2568">
        <f>ROUND($E$24*(1+M31),3)</f>
        <v>5.3999999999999999E-2</v>
      </c>
      <c r="N32" s="2568">
        <f>ROUND($E$24*(1+N31),3)</f>
        <v>5.1999999999999998E-2</v>
      </c>
      <c r="O32" s="2568">
        <f>ROUND($E$24*(1+O31),3)</f>
        <v>0.05</v>
      </c>
      <c r="P32" s="2568">
        <f>ROUND($E$24*(1+P31),3)</f>
        <v>4.8000000000000001E-2</v>
      </c>
      <c r="Q32" s="3354">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t="e">
        <f>ROUND(C5*C22*C23*C24*C25*C28,0)</f>
        <v>#DIV/0!</v>
      </c>
      <c r="D33" s="2097">
        <f>'数据-汇总表'!F19</f>
        <v>217.64</v>
      </c>
      <c r="E33" s="772" t="e">
        <f>ROUND(C33*D33/10000,0)</f>
        <v>#DIV/0!</v>
      </c>
      <c r="F33" s="3344" t="s">
        <v>3264</v>
      </c>
      <c r="G33" s="2098"/>
      <c r="H33" s="2098"/>
      <c r="I33" s="2098"/>
      <c r="J33" s="2099"/>
      <c r="K33" s="1118"/>
      <c r="L33" s="3347" t="s">
        <v>3267</v>
      </c>
      <c r="M33" s="3348">
        <v>5.5E-2</v>
      </c>
      <c r="N33" s="3348">
        <v>5.5E-2</v>
      </c>
      <c r="O33" s="3348">
        <v>0.05</v>
      </c>
      <c r="P33" s="3348">
        <v>0.05</v>
      </c>
      <c r="Q33" s="3348">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t="e">
        <f>ROUND(IF(E2="工业",C33*M42,IF(B25="楼层修正",SUM(V2:V16)*M41*10000/D34,C33*M41)),0)</f>
        <v>#DIV/0!</v>
      </c>
      <c r="D34" s="2102"/>
      <c r="E34" s="772" t="e">
        <f>ROUND(IF(B25="楼层修正",SUM(V2:V16)*M40,C34*D34/10000),0)</f>
        <v>#DIV/0!</v>
      </c>
      <c r="F34" s="2103" t="s">
        <v>2032</v>
      </c>
      <c r="G34" s="2104"/>
      <c r="H34" s="2104"/>
      <c r="I34" s="2104"/>
      <c r="J34" s="2105"/>
      <c r="K34" s="1118"/>
      <c r="L34" s="3347" t="s">
        <v>3268</v>
      </c>
      <c r="M34" s="3348">
        <v>6.5000000000000002E-2</v>
      </c>
      <c r="N34" s="3348">
        <v>6.5000000000000002E-2</v>
      </c>
      <c r="O34" s="3348">
        <v>0.06</v>
      </c>
      <c r="P34" s="3348">
        <v>0.06</v>
      </c>
      <c r="Q34" s="3348">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5" t="s">
        <v>3265</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5" t="s">
        <v>3269</v>
      </c>
      <c r="L36" s="3444">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8"/>
      <c r="B37" s="2112" t="s">
        <v>2036</v>
      </c>
      <c r="C37" s="175">
        <f>ROUND(D5*C22*C23*C24*C28*F37,0)</f>
        <v>4147</v>
      </c>
      <c r="D37" s="2097"/>
      <c r="E37" s="171">
        <f>ROUND(C37*D37/10000,0)</f>
        <v>0</v>
      </c>
      <c r="F37" s="171">
        <f>SUMIF(修正!A57:A68,G2,修正!B57:B68)</f>
        <v>0.6</v>
      </c>
      <c r="G37" s="171">
        <f>ROUND(IF(E2="工业",C37*$M$42,C37*$M$41),0)</f>
        <v>1037</v>
      </c>
      <c r="H37" s="171">
        <f>D37</f>
        <v>0</v>
      </c>
      <c r="I37" s="171">
        <f>ROUND(G37*H37/10000,0)</f>
        <v>0</v>
      </c>
      <c r="J37" s="3010"/>
      <c r="K37" s="3357" t="s">
        <v>3270</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9"/>
      <c r="B38" s="2040" t="s">
        <v>2037</v>
      </c>
      <c r="C38" s="175">
        <f>ROUND(D5*C22*C23*C24*C28*F38,0)</f>
        <v>2074</v>
      </c>
      <c r="D38" s="2097"/>
      <c r="E38" s="171">
        <f t="shared" ref="E38:E42" si="4">ROUND(C38*D38/10000,0)</f>
        <v>0</v>
      </c>
      <c r="F38" s="171">
        <f>SUMIF(修正!A57:A68,G2,修正!C57:C68)</f>
        <v>0.3</v>
      </c>
      <c r="G38" s="171">
        <f>ROUND(IF(E2="工业",C38*$M$42,C38*$M$41),0)</f>
        <v>519</v>
      </c>
      <c r="H38" s="171">
        <f t="shared" ref="H38:H42" si="5">D38</f>
        <v>0</v>
      </c>
      <c r="I38" s="171">
        <f t="shared" ref="I38:I42" si="6">ROUND(G38*H38/10000,0)</f>
        <v>0</v>
      </c>
      <c r="J38" s="3009"/>
      <c r="K38" s="3355">
        <v>5.0000000000000001E-3</v>
      </c>
      <c r="L38" s="3355"/>
      <c r="M38" s="3355"/>
      <c r="N38" s="3355"/>
      <c r="O38" s="3355"/>
      <c r="P38" s="3355"/>
      <c r="Q38" s="3355"/>
      <c r="R38" s="1118"/>
      <c r="S38" s="1118"/>
      <c r="T38" s="1118"/>
      <c r="U38" s="1118"/>
      <c r="V38" s="1118"/>
      <c r="W38" s="1118"/>
      <c r="X38" s="1118"/>
      <c r="Y38" s="1118"/>
      <c r="Z38" s="1119"/>
      <c r="AA38" s="1119"/>
      <c r="AB38" s="1119"/>
      <c r="AC38" s="1119"/>
      <c r="AD38" s="1119"/>
    </row>
    <row r="39" spans="1:37" ht="13.5" thickBot="1">
      <c r="A39" s="3779"/>
      <c r="B39" s="2040" t="s">
        <v>3263</v>
      </c>
      <c r="C39" s="175">
        <f>ROUND(D5*C22*C23*C24*C28*F39,0)</f>
        <v>1728</v>
      </c>
      <c r="D39" s="2097"/>
      <c r="E39" s="171">
        <f t="shared" si="4"/>
        <v>0</v>
      </c>
      <c r="F39" s="171">
        <f>SUMIF(修正!A57:A68,G2,修正!D57:D68)</f>
        <v>0.25</v>
      </c>
      <c r="G39" s="171">
        <f>ROUND(IF(E2="工业",C39*$M$42,C39*$M$41),0)</f>
        <v>432</v>
      </c>
      <c r="H39" s="171">
        <f t="shared" si="5"/>
        <v>0</v>
      </c>
      <c r="I39" s="171">
        <f t="shared" si="6"/>
        <v>0</v>
      </c>
      <c r="J39" s="3009"/>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1728</v>
      </c>
      <c r="D40" s="2097"/>
      <c r="E40" s="171">
        <f t="shared" si="4"/>
        <v>0</v>
      </c>
      <c r="F40" s="175">
        <f>SUMIF(修正!A57:A68,G2,修正!E57:E68)</f>
        <v>0.25</v>
      </c>
      <c r="G40" s="171">
        <f>ROUND(IF(E2="工业",C40*$M$42,C40*$M$41),0)</f>
        <v>432</v>
      </c>
      <c r="H40" s="171">
        <f t="shared" si="5"/>
        <v>0</v>
      </c>
      <c r="I40" s="171">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t="e">
        <f>ROUND(D5*C22*C23*C44*C28*F41,0)</f>
        <v>#VALUE!</v>
      </c>
      <c r="D41" s="2097"/>
      <c r="E41" s="171" t="e">
        <f t="shared" si="4"/>
        <v>#VALUE!</v>
      </c>
      <c r="F41" s="175">
        <f>SUMIF(修正!A57:A68,G2,修正!F57:F68)</f>
        <v>0.25</v>
      </c>
      <c r="G41" s="171" t="e">
        <f>ROUND(IF(E2="工业",C41*$M$42,C41*$M$41),0)</f>
        <v>#VALUE!</v>
      </c>
      <c r="H41" s="171">
        <f t="shared" si="5"/>
        <v>0</v>
      </c>
      <c r="I41" s="171" t="e">
        <f t="shared" si="6"/>
        <v>#VALUE!</v>
      </c>
      <c r="J41" s="2113"/>
      <c r="L41" s="3358" t="s">
        <v>3271</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t="e">
        <f>ROUND(D5*C22*C23*C44*C28*F42,0)</f>
        <v>#VALUE!</v>
      </c>
      <c r="D42" s="3453">
        <f>'数据-基础表'!K5</f>
        <v>96.61</v>
      </c>
      <c r="E42" s="187" t="e">
        <f t="shared" si="4"/>
        <v>#VALUE!</v>
      </c>
      <c r="F42" s="766">
        <f>SUMIF(修正!A57:A68,G2,修正!G57:G68)</f>
        <v>0.15</v>
      </c>
      <c r="G42" s="187" t="e">
        <f>ROUND(IF(E2="工业",C42*$M$42,C42*$M$41),0)</f>
        <v>#VALUE!</v>
      </c>
      <c r="H42" s="187">
        <f t="shared" si="5"/>
        <v>96.61</v>
      </c>
      <c r="I42" s="187" t="e">
        <f t="shared" si="6"/>
        <v>#VALUE!</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2122</v>
      </c>
      <c r="C44" s="342" t="e">
        <f>ROUND(POWER(1+E44,H44-G44)*(POWER(1+E44,G44)-1)/(POWER(1+E44,H44)-1),4)</f>
        <v>#VALUE!</v>
      </c>
      <c r="D44" s="171" t="s">
        <v>1999</v>
      </c>
      <c r="E44" s="2152">
        <f>G24</f>
        <v>5.5E-2</v>
      </c>
      <c r="F44" s="171" t="s">
        <v>2008</v>
      </c>
      <c r="G44" s="183" t="str">
        <f>项目基本情况!F15</f>
        <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1.0309999999999999</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t="s">
        <v>3406</v>
      </c>
      <c r="D50" s="1064">
        <f t="shared" ref="D50:D58" si="7">SUMIF($J$49:$N$49,C50,J50:N50)</f>
        <v>0</v>
      </c>
      <c r="E50" s="743">
        <f>ROUND(SUM(D50:D58),4)</f>
        <v>3.1E-2</v>
      </c>
      <c r="F50" s="1813">
        <f>IF(E2="商业",SUMIF(L1:L12,G2,N1:N12),"——")</f>
        <v>0.13</v>
      </c>
      <c r="G50" s="1062">
        <f t="shared" ref="G50:G58" si="8">H50</f>
        <v>1.95E-2</v>
      </c>
      <c r="H50" s="1065">
        <f t="shared" ref="H50:H58" si="9">IFERROR(ROUNDDOWN($F$50*I50/2,4),"——")</f>
        <v>1.95E-2</v>
      </c>
      <c r="I50" s="3365">
        <v>0.3</v>
      </c>
      <c r="J50" s="1063">
        <f t="shared" ref="J50:J58" si="10">K50+$G50</f>
        <v>3.9E-2</v>
      </c>
      <c r="K50" s="1063">
        <f t="shared" ref="K50:K58" si="11">$L50+$G50</f>
        <v>1.95E-2</v>
      </c>
      <c r="L50" s="1063">
        <v>0</v>
      </c>
      <c r="M50" s="1063">
        <f t="shared" ref="M50:N58" si="12">L50-$G50</f>
        <v>-1.95E-2</v>
      </c>
      <c r="N50" s="1063">
        <f t="shared" si="12"/>
        <v>-3.9E-2</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t="s">
        <v>3406</v>
      </c>
      <c r="D51" s="1064">
        <f t="shared" si="7"/>
        <v>0</v>
      </c>
      <c r="E51" s="744"/>
      <c r="F51" s="1813"/>
      <c r="G51" s="1062">
        <f t="shared" si="8"/>
        <v>1.43E-2</v>
      </c>
      <c r="H51" s="1065">
        <f t="shared" si="9"/>
        <v>1.43E-2</v>
      </c>
      <c r="I51" s="3365">
        <v>0.22</v>
      </c>
      <c r="J51" s="1063">
        <f t="shared" si="10"/>
        <v>2.86E-2</v>
      </c>
      <c r="K51" s="1063">
        <f t="shared" si="11"/>
        <v>1.43E-2</v>
      </c>
      <c r="L51" s="1063">
        <v>0</v>
      </c>
      <c r="M51" s="1063">
        <f t="shared" si="12"/>
        <v>-1.43E-2</v>
      </c>
      <c r="N51" s="1063">
        <f t="shared" si="12"/>
        <v>-2.86E-2</v>
      </c>
      <c r="AA51" s="1119"/>
      <c r="AB51" s="1119"/>
      <c r="AC51" s="1119"/>
      <c r="AD51" s="1119"/>
      <c r="AE51" s="1119"/>
      <c r="AF51" s="1119"/>
      <c r="AG51" s="1119"/>
      <c r="AH51" s="1119"/>
      <c r="AI51" s="1119"/>
      <c r="AJ51" s="1119"/>
      <c r="AK51" s="1119"/>
    </row>
    <row r="52" spans="1:37" s="1118" customFormat="1" ht="36">
      <c r="A52" s="3367" t="s">
        <v>3273</v>
      </c>
      <c r="B52" s="2133">
        <f>估价对象房地状况!C19</f>
        <v>0</v>
      </c>
      <c r="C52" s="2043" t="s">
        <v>3405</v>
      </c>
      <c r="D52" s="1064">
        <f t="shared" si="7"/>
        <v>7.7999999999999996E-3</v>
      </c>
      <c r="E52" s="744"/>
      <c r="F52" s="1813"/>
      <c r="G52" s="1062">
        <f t="shared" si="8"/>
        <v>7.7999999999999996E-3</v>
      </c>
      <c r="H52" s="1065">
        <f t="shared" si="9"/>
        <v>7.7999999999999996E-3</v>
      </c>
      <c r="I52" s="3365">
        <v>0.12</v>
      </c>
      <c r="J52" s="1063">
        <f t="shared" si="10"/>
        <v>1.5599999999999999E-2</v>
      </c>
      <c r="K52" s="1063">
        <f t="shared" si="11"/>
        <v>7.7999999999999996E-3</v>
      </c>
      <c r="L52" s="1063">
        <v>0</v>
      </c>
      <c r="M52" s="1063">
        <f t="shared" si="12"/>
        <v>-7.7999999999999996E-3</v>
      </c>
      <c r="N52" s="1063">
        <f t="shared" si="12"/>
        <v>-1.5599999999999999E-2</v>
      </c>
      <c r="AA52" s="1119"/>
      <c r="AB52" s="1119"/>
      <c r="AC52" s="1119"/>
      <c r="AD52" s="1119"/>
      <c r="AE52" s="1119"/>
      <c r="AF52" s="1119"/>
      <c r="AG52" s="1119"/>
      <c r="AH52" s="1119"/>
      <c r="AI52" s="1119"/>
      <c r="AJ52" s="1119"/>
      <c r="AK52" s="1119"/>
    </row>
    <row r="53" spans="1:37" s="1118" customFormat="1" ht="36.75">
      <c r="A53" s="2129" t="s">
        <v>2054</v>
      </c>
      <c r="B53" s="2134" t="s">
        <v>2055</v>
      </c>
      <c r="C53" s="2043" t="s">
        <v>3405</v>
      </c>
      <c r="D53" s="1064">
        <f t="shared" si="7"/>
        <v>3.2000000000000002E-3</v>
      </c>
      <c r="E53" s="744"/>
      <c r="F53" s="1813"/>
      <c r="G53" s="1062">
        <f t="shared" si="8"/>
        <v>3.2000000000000002E-3</v>
      </c>
      <c r="H53" s="1065">
        <f t="shared" si="9"/>
        <v>3.2000000000000002E-3</v>
      </c>
      <c r="I53" s="3365">
        <v>0.05</v>
      </c>
      <c r="J53" s="1063">
        <f t="shared" si="10"/>
        <v>6.4000000000000003E-3</v>
      </c>
      <c r="K53" s="1063">
        <f t="shared" si="11"/>
        <v>3.2000000000000002E-3</v>
      </c>
      <c r="L53" s="1063">
        <v>0</v>
      </c>
      <c r="M53" s="1063">
        <f t="shared" si="12"/>
        <v>-3.2000000000000002E-3</v>
      </c>
      <c r="N53" s="1063">
        <f t="shared" si="12"/>
        <v>-6.4000000000000003E-3</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t="s">
        <v>3406</v>
      </c>
      <c r="D54" s="1064">
        <f t="shared" si="7"/>
        <v>0</v>
      </c>
      <c r="E54" s="744"/>
      <c r="F54" s="1813"/>
      <c r="G54" s="1062">
        <f t="shared" si="8"/>
        <v>5.1999999999999998E-3</v>
      </c>
      <c r="H54" s="1065">
        <f t="shared" si="9"/>
        <v>5.1999999999999998E-3</v>
      </c>
      <c r="I54" s="3365">
        <v>0.08</v>
      </c>
      <c r="J54" s="1063">
        <f t="shared" si="10"/>
        <v>1.04E-2</v>
      </c>
      <c r="K54" s="1063">
        <f t="shared" si="11"/>
        <v>5.1999999999999998E-3</v>
      </c>
      <c r="L54" s="1063">
        <v>0</v>
      </c>
      <c r="M54" s="1063">
        <f t="shared" si="12"/>
        <v>-5.1999999999999998E-3</v>
      </c>
      <c r="N54" s="1063">
        <f t="shared" si="12"/>
        <v>-1.04E-2</v>
      </c>
      <c r="AA54" s="1119"/>
      <c r="AB54" s="1119"/>
      <c r="AC54" s="1119"/>
      <c r="AD54" s="1119"/>
      <c r="AE54" s="1119"/>
      <c r="AF54" s="1119"/>
      <c r="AG54" s="1119"/>
      <c r="AH54" s="1119"/>
      <c r="AI54" s="1119"/>
      <c r="AJ54" s="1119"/>
      <c r="AK54" s="1119"/>
    </row>
    <row r="55" spans="1:37" s="1118" customFormat="1" ht="24">
      <c r="A55" s="2129" t="s">
        <v>2057</v>
      </c>
      <c r="B55" s="2135" t="s">
        <v>2058</v>
      </c>
      <c r="C55" s="2043" t="s">
        <v>3405</v>
      </c>
      <c r="D55" s="1064">
        <f t="shared" si="7"/>
        <v>3.2000000000000002E-3</v>
      </c>
      <c r="E55" s="744"/>
      <c r="F55" s="1813"/>
      <c r="G55" s="1062">
        <f t="shared" si="8"/>
        <v>3.2000000000000002E-3</v>
      </c>
      <c r="H55" s="1065">
        <f t="shared" si="9"/>
        <v>3.2000000000000002E-3</v>
      </c>
      <c r="I55" s="3365">
        <v>0.05</v>
      </c>
      <c r="J55" s="1063">
        <f t="shared" si="10"/>
        <v>6.4000000000000003E-3</v>
      </c>
      <c r="K55" s="1063">
        <f t="shared" si="11"/>
        <v>3.2000000000000002E-3</v>
      </c>
      <c r="L55" s="1063">
        <v>0</v>
      </c>
      <c r="M55" s="1063">
        <f t="shared" si="12"/>
        <v>-3.2000000000000002E-3</v>
      </c>
      <c r="N55" s="1063">
        <f t="shared" si="12"/>
        <v>-6.4000000000000003E-3</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t="s">
        <v>3405</v>
      </c>
      <c r="D56" s="1064">
        <f t="shared" si="7"/>
        <v>3.2000000000000002E-3</v>
      </c>
      <c r="E56" s="744"/>
      <c r="F56" s="1813"/>
      <c r="G56" s="1062">
        <f t="shared" si="8"/>
        <v>3.2000000000000002E-3</v>
      </c>
      <c r="H56" s="1065">
        <f t="shared" si="9"/>
        <v>3.2000000000000002E-3</v>
      </c>
      <c r="I56" s="3365">
        <v>0.05</v>
      </c>
      <c r="J56" s="1063">
        <f t="shared" si="10"/>
        <v>6.4000000000000003E-3</v>
      </c>
      <c r="K56" s="1063">
        <f t="shared" si="11"/>
        <v>3.2000000000000002E-3</v>
      </c>
      <c r="L56" s="1063">
        <v>0</v>
      </c>
      <c r="M56" s="1063">
        <f t="shared" si="12"/>
        <v>-3.2000000000000002E-3</v>
      </c>
      <c r="N56" s="1063">
        <f t="shared" si="12"/>
        <v>-6.4000000000000003E-3</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t="s">
        <v>3404</v>
      </c>
      <c r="D57" s="1064">
        <f t="shared" si="7"/>
        <v>1.04E-2</v>
      </c>
      <c r="E57" s="744"/>
      <c r="F57" s="1813"/>
      <c r="G57" s="1062">
        <f t="shared" si="8"/>
        <v>5.1999999999999998E-3</v>
      </c>
      <c r="H57" s="1065">
        <f t="shared" si="9"/>
        <v>5.1999999999999998E-3</v>
      </c>
      <c r="I57" s="3365">
        <v>0.08</v>
      </c>
      <c r="J57" s="1063">
        <f t="shared" si="10"/>
        <v>1.04E-2</v>
      </c>
      <c r="K57" s="1063">
        <f t="shared" si="11"/>
        <v>5.1999999999999998E-3</v>
      </c>
      <c r="L57" s="1063">
        <v>0</v>
      </c>
      <c r="M57" s="1063">
        <f t="shared" si="12"/>
        <v>-5.1999999999999998E-3</v>
      </c>
      <c r="N57" s="1063">
        <f t="shared" si="12"/>
        <v>-1.04E-2</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t="s">
        <v>3405</v>
      </c>
      <c r="D58" s="1064">
        <f t="shared" si="7"/>
        <v>3.2000000000000002E-3</v>
      </c>
      <c r="E58" s="745"/>
      <c r="F58" s="1813"/>
      <c r="G58" s="1062">
        <f t="shared" si="8"/>
        <v>3.2000000000000002E-3</v>
      </c>
      <c r="H58" s="1065">
        <f t="shared" si="9"/>
        <v>3.2000000000000002E-3</v>
      </c>
      <c r="I58" s="3366">
        <v>0.05</v>
      </c>
      <c r="J58" s="1063">
        <f t="shared" si="10"/>
        <v>6.4000000000000003E-3</v>
      </c>
      <c r="K58" s="1063">
        <f t="shared" si="11"/>
        <v>3.2000000000000002E-3</v>
      </c>
      <c r="L58" s="1063">
        <v>0</v>
      </c>
      <c r="M58" s="1063">
        <f t="shared" si="12"/>
        <v>-3.2000000000000002E-3</v>
      </c>
      <c r="N58" s="1063">
        <f t="shared" si="12"/>
        <v>-6.4000000000000003E-3</v>
      </c>
      <c r="AA58" s="1119"/>
      <c r="AB58" s="1119"/>
      <c r="AC58" s="1119"/>
      <c r="AD58" s="1119"/>
      <c r="AE58" s="1119"/>
      <c r="AF58" s="1119"/>
      <c r="AG58" s="1119"/>
      <c r="AH58" s="1119"/>
      <c r="AI58" s="1119"/>
      <c r="AJ58" s="1119"/>
      <c r="AK58" s="1119"/>
    </row>
    <row r="59" spans="1:37" s="1118" customFormat="1" ht="15">
      <c r="A59" s="2125" t="s">
        <v>2062</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t="s">
        <v>3405</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5">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t="s">
        <v>3405</v>
      </c>
      <c r="D62" s="1064">
        <f t="shared" si="13"/>
        <v>1.67E-2</v>
      </c>
      <c r="E62" s="744"/>
      <c r="F62" s="1813"/>
      <c r="G62" s="1062">
        <v>1.67E-2</v>
      </c>
      <c r="H62" s="1065" t="str">
        <f t="shared" si="14"/>
        <v>——</v>
      </c>
      <c r="I62" s="3365">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7" t="s">
        <v>3273</v>
      </c>
      <c r="B63" s="2133">
        <f>估价对象房地状况!C19</f>
        <v>0</v>
      </c>
      <c r="C63" s="2043" t="s">
        <v>3405</v>
      </c>
      <c r="D63" s="1064">
        <f t="shared" si="13"/>
        <v>7.0000000000000001E-3</v>
      </c>
      <c r="E63" s="744"/>
      <c r="F63" s="1813"/>
      <c r="G63" s="1062">
        <v>7.0000000000000001E-3</v>
      </c>
      <c r="H63" s="1065" t="str">
        <f t="shared" si="14"/>
        <v>——</v>
      </c>
      <c r="I63" s="3365">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2054</v>
      </c>
      <c r="B64" s="2134" t="s">
        <v>2055</v>
      </c>
      <c r="C64" s="2043" t="s">
        <v>3406</v>
      </c>
      <c r="D64" s="1064">
        <f t="shared" si="13"/>
        <v>0</v>
      </c>
      <c r="E64" s="744"/>
      <c r="F64" s="1813"/>
      <c r="G64" s="1062">
        <v>3.2000000000000002E-3</v>
      </c>
      <c r="H64" s="1065" t="str">
        <f t="shared" si="14"/>
        <v>——</v>
      </c>
      <c r="I64" s="3365">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t="s">
        <v>3407</v>
      </c>
      <c r="D65" s="1064">
        <f t="shared" si="13"/>
        <v>-3.2000000000000002E-3</v>
      </c>
      <c r="E65" s="744"/>
      <c r="F65" s="1813"/>
      <c r="G65" s="1062">
        <v>3.2000000000000002E-3</v>
      </c>
      <c r="H65" s="1065" t="str">
        <f t="shared" si="14"/>
        <v>——</v>
      </c>
      <c r="I65" s="3365">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2057</v>
      </c>
      <c r="B66" s="2135" t="s">
        <v>2058</v>
      </c>
      <c r="C66" s="2043" t="s">
        <v>3405</v>
      </c>
      <c r="D66" s="1064">
        <f t="shared" si="13"/>
        <v>3.8E-3</v>
      </c>
      <c r="E66" s="744"/>
      <c r="F66" s="1813"/>
      <c r="G66" s="1062">
        <v>3.8E-3</v>
      </c>
      <c r="H66" s="1065" t="str">
        <f t="shared" si="14"/>
        <v>——</v>
      </c>
      <c r="I66" s="3365">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t="s">
        <v>3405</v>
      </c>
      <c r="D67" s="1064">
        <f t="shared" si="13"/>
        <v>3.8E-3</v>
      </c>
      <c r="E67" s="744"/>
      <c r="F67" s="1813"/>
      <c r="G67" s="1062">
        <v>3.8E-3</v>
      </c>
      <c r="H67" s="1065" t="str">
        <f t="shared" si="14"/>
        <v>——</v>
      </c>
      <c r="I67" s="3365">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t="s">
        <v>3404</v>
      </c>
      <c r="D68" s="1064">
        <f t="shared" si="13"/>
        <v>1.1599999999999999E-2</v>
      </c>
      <c r="E68" s="744"/>
      <c r="F68" s="1813"/>
      <c r="G68" s="1062">
        <v>5.7999999999999996E-3</v>
      </c>
      <c r="H68" s="1065" t="str">
        <f t="shared" si="14"/>
        <v>——</v>
      </c>
      <c r="I68" s="3365">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t="s">
        <v>3405</v>
      </c>
      <c r="D69" s="1064">
        <f t="shared" si="13"/>
        <v>4.4999999999999997E-3</v>
      </c>
      <c r="E69" s="745"/>
      <c r="F69" s="1813"/>
      <c r="G69" s="1062">
        <v>4.4999999999999997E-3</v>
      </c>
      <c r="H69" s="1065" t="str">
        <f t="shared" si="14"/>
        <v>——</v>
      </c>
      <c r="I69" s="3366">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5">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5">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7" t="s">
        <v>3273</v>
      </c>
      <c r="B74" s="2133">
        <f>估价对象房地状况!C19</f>
        <v>0</v>
      </c>
      <c r="C74" s="2043"/>
      <c r="D74" s="1064">
        <f t="shared" si="18"/>
        <v>0</v>
      </c>
      <c r="E74" s="746"/>
      <c r="F74" s="1813"/>
      <c r="G74" s="1062"/>
      <c r="H74" s="1065" t="str">
        <f t="shared" si="19"/>
        <v>——</v>
      </c>
      <c r="I74" s="3365">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8"/>
        <v>0</v>
      </c>
      <c r="E75" s="746"/>
      <c r="F75" s="1813"/>
      <c r="G75" s="1062"/>
      <c r="H75" s="1065" t="str">
        <f t="shared" si="19"/>
        <v>——</v>
      </c>
      <c r="I75" s="3365">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8"/>
        <v>0</v>
      </c>
      <c r="E76" s="746"/>
      <c r="F76" s="1813"/>
      <c r="G76" s="1062"/>
      <c r="H76" s="1065" t="str">
        <f t="shared" si="19"/>
        <v>——</v>
      </c>
      <c r="I76" s="3365">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2060</v>
      </c>
      <c r="B77" s="1325" t="str">
        <f>估价对象房地状况!C22</f>
        <v>估价对象所在区域基础设施水平</v>
      </c>
      <c r="C77" s="2043"/>
      <c r="D77" s="1064">
        <f t="shared" si="18"/>
        <v>0</v>
      </c>
      <c r="E77" s="746"/>
      <c r="F77" s="1813"/>
      <c r="G77" s="1062"/>
      <c r="H77" s="1065" t="str">
        <f t="shared" si="19"/>
        <v>——</v>
      </c>
      <c r="I77" s="3365">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2057</v>
      </c>
      <c r="B78" s="2135" t="s">
        <v>2058</v>
      </c>
      <c r="C78" s="2043"/>
      <c r="D78" s="1064">
        <f t="shared" si="18"/>
        <v>0</v>
      </c>
      <c r="E78" s="746"/>
      <c r="F78" s="1813"/>
      <c r="G78" s="1062"/>
      <c r="H78" s="1065" t="str">
        <f t="shared" si="19"/>
        <v>——</v>
      </c>
      <c r="I78" s="3365">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8"/>
        <v>0</v>
      </c>
      <c r="E79" s="746"/>
      <c r="F79" s="1813"/>
      <c r="G79" s="1062"/>
      <c r="H79" s="1065" t="str">
        <f t="shared" si="19"/>
        <v>——</v>
      </c>
      <c r="I79" s="3365">
        <v>0.12</v>
      </c>
      <c r="J79" s="1063">
        <f t="shared" si="20"/>
        <v>0</v>
      </c>
      <c r="K79" s="1063">
        <f t="shared" si="21"/>
        <v>0</v>
      </c>
      <c r="L79" s="1063">
        <v>0</v>
      </c>
      <c r="M79" s="1063">
        <f t="shared" si="22"/>
        <v>0</v>
      </c>
      <c r="N79" s="1063">
        <f t="shared" si="22"/>
        <v>0</v>
      </c>
      <c r="Z79" s="1997"/>
      <c r="AA79" s="2052"/>
      <c r="AG79" s="1120"/>
      <c r="AK79" s="2052"/>
    </row>
    <row r="80" spans="1:37" ht="24.75" thickBot="1">
      <c r="A80" s="2137" t="s">
        <v>2068</v>
      </c>
      <c r="B80" s="2141"/>
      <c r="C80" s="2043"/>
      <c r="D80" s="1064">
        <f t="shared" si="18"/>
        <v>0</v>
      </c>
      <c r="E80" s="747"/>
      <c r="F80" s="1813"/>
      <c r="G80" s="1062"/>
      <c r="H80" s="1065" t="str">
        <f t="shared" si="19"/>
        <v>——</v>
      </c>
      <c r="I80" s="3366">
        <v>0.05</v>
      </c>
      <c r="J80" s="1063">
        <f t="shared" si="20"/>
        <v>0</v>
      </c>
      <c r="K80" s="1063">
        <f t="shared" si="21"/>
        <v>0</v>
      </c>
      <c r="L80" s="1063">
        <v>0</v>
      </c>
      <c r="M80" s="1063">
        <f t="shared" si="22"/>
        <v>0</v>
      </c>
      <c r="N80" s="1063">
        <f t="shared" si="22"/>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3">SUMIF($J$82:$N$82,C83,J83:N83)</f>
        <v>0</v>
      </c>
      <c r="E83" s="743">
        <f>ROUND(SUM(D83:D90),4)</f>
        <v>0</v>
      </c>
      <c r="F83" s="1813" t="str">
        <f>IF(E2="工业",SUMIF(L1:L12,G2,N1:N12),"——")</f>
        <v>——</v>
      </c>
      <c r="G83" s="1062"/>
      <c r="H83" s="1065" t="str">
        <f t="shared" ref="H83:H90" si="24">IFERROR(ROUNDDOWN($F$83*I83/2,4),"——")</f>
        <v>——</v>
      </c>
      <c r="I83" s="3365">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3"/>
        <v>0</v>
      </c>
      <c r="E84" s="746"/>
      <c r="F84" s="1813"/>
      <c r="G84" s="1062"/>
      <c r="H84" s="1065" t="str">
        <f t="shared" si="24"/>
        <v>——</v>
      </c>
      <c r="I84" s="3365">
        <v>0.3</v>
      </c>
      <c r="J84" s="1063">
        <f t="shared" si="25"/>
        <v>0</v>
      </c>
      <c r="K84" s="1063">
        <f t="shared" si="26"/>
        <v>0</v>
      </c>
      <c r="L84" s="1063">
        <v>0</v>
      </c>
      <c r="M84" s="1063">
        <f t="shared" si="27"/>
        <v>0</v>
      </c>
      <c r="N84" s="1063">
        <f t="shared" si="27"/>
        <v>0</v>
      </c>
      <c r="Z84" s="1997"/>
      <c r="AA84" s="2052"/>
      <c r="AG84" s="1120"/>
      <c r="AK84" s="2052"/>
    </row>
    <row r="85" spans="1:37" ht="36">
      <c r="A85" s="3367" t="s">
        <v>3274</v>
      </c>
      <c r="B85" s="2133">
        <f>估价对象房地状况!G17</f>
        <v>0</v>
      </c>
      <c r="C85" s="2043"/>
      <c r="D85" s="1064">
        <f t="shared" si="23"/>
        <v>0</v>
      </c>
      <c r="E85" s="746"/>
      <c r="F85" s="1813"/>
      <c r="G85" s="1062"/>
      <c r="H85" s="1065" t="str">
        <f t="shared" si="24"/>
        <v>——</v>
      </c>
      <c r="I85" s="3365">
        <v>0.1</v>
      </c>
      <c r="J85" s="1063">
        <f t="shared" si="25"/>
        <v>0</v>
      </c>
      <c r="K85" s="1063">
        <f t="shared" si="26"/>
        <v>0</v>
      </c>
      <c r="L85" s="1063">
        <v>0</v>
      </c>
      <c r="M85" s="1063">
        <f t="shared" si="27"/>
        <v>0</v>
      </c>
      <c r="N85" s="1063">
        <f t="shared" si="27"/>
        <v>0</v>
      </c>
      <c r="Z85" s="1997"/>
      <c r="AA85" s="2052"/>
      <c r="AG85" s="1120"/>
      <c r="AK85" s="2052"/>
    </row>
    <row r="86" spans="1:37" ht="14.25">
      <c r="A86" s="2129" t="s">
        <v>2067</v>
      </c>
      <c r="B86" s="2133">
        <f>估价对象房地状况!G22</f>
        <v>0</v>
      </c>
      <c r="C86" s="2043"/>
      <c r="D86" s="1064">
        <f t="shared" si="23"/>
        <v>0</v>
      </c>
      <c r="E86" s="746"/>
      <c r="F86" s="1813"/>
      <c r="G86" s="1062"/>
      <c r="H86" s="1065" t="str">
        <f t="shared" si="24"/>
        <v>——</v>
      </c>
      <c r="I86" s="3365">
        <v>0.05</v>
      </c>
      <c r="J86" s="1063">
        <f t="shared" si="25"/>
        <v>0</v>
      </c>
      <c r="K86" s="1063">
        <f t="shared" si="26"/>
        <v>0</v>
      </c>
      <c r="L86" s="1063">
        <v>0</v>
      </c>
      <c r="M86" s="1063">
        <f t="shared" si="27"/>
        <v>0</v>
      </c>
      <c r="N86" s="1063">
        <f t="shared" si="27"/>
        <v>0</v>
      </c>
      <c r="Z86" s="1997"/>
      <c r="AA86" s="2052"/>
      <c r="AG86" s="1120"/>
      <c r="AK86" s="2052"/>
    </row>
    <row r="87" spans="1:37" ht="25.5">
      <c r="A87" s="2129" t="s">
        <v>2059</v>
      </c>
      <c r="B87" s="1325" t="str">
        <f>估价对象房地状况!G19</f>
        <v>估价对象所在区域公共配套设施齐备情况</v>
      </c>
      <c r="C87" s="2043"/>
      <c r="D87" s="1064">
        <f t="shared" si="23"/>
        <v>0</v>
      </c>
      <c r="E87" s="746"/>
      <c r="F87" s="1813"/>
      <c r="G87" s="1062"/>
      <c r="H87" s="1065" t="str">
        <f t="shared" si="24"/>
        <v>——</v>
      </c>
      <c r="I87" s="3365">
        <v>0.06</v>
      </c>
      <c r="J87" s="1063">
        <f t="shared" si="25"/>
        <v>0</v>
      </c>
      <c r="K87" s="1063">
        <f t="shared" si="26"/>
        <v>0</v>
      </c>
      <c r="L87" s="1063">
        <v>0</v>
      </c>
      <c r="M87" s="1063">
        <f t="shared" si="27"/>
        <v>0</v>
      </c>
      <c r="N87" s="1063">
        <f t="shared" si="27"/>
        <v>0</v>
      </c>
    </row>
    <row r="88" spans="1:37" ht="25.5">
      <c r="A88" s="2129" t="s">
        <v>2060</v>
      </c>
      <c r="B88" s="1325" t="str">
        <f>估价对象房地状况!G20</f>
        <v>估价对象所在区域基础设施水平</v>
      </c>
      <c r="C88" s="2043"/>
      <c r="D88" s="1064">
        <f t="shared" si="23"/>
        <v>0</v>
      </c>
      <c r="E88" s="746"/>
      <c r="F88" s="1813"/>
      <c r="G88" s="1062"/>
      <c r="H88" s="1065" t="str">
        <f t="shared" si="24"/>
        <v>——</v>
      </c>
      <c r="I88" s="3365">
        <v>0.12</v>
      </c>
      <c r="J88" s="1063">
        <f t="shared" si="25"/>
        <v>0</v>
      </c>
      <c r="K88" s="1063">
        <f t="shared" si="26"/>
        <v>0</v>
      </c>
      <c r="L88" s="1063">
        <v>0</v>
      </c>
      <c r="M88" s="1063">
        <f t="shared" si="27"/>
        <v>0</v>
      </c>
      <c r="N88" s="1063">
        <f t="shared" si="27"/>
        <v>0</v>
      </c>
    </row>
    <row r="89" spans="1:37" ht="24">
      <c r="A89" s="2129" t="s">
        <v>2057</v>
      </c>
      <c r="B89" s="2135" t="s">
        <v>2071</v>
      </c>
      <c r="C89" s="2043"/>
      <c r="D89" s="1064">
        <f t="shared" si="23"/>
        <v>0</v>
      </c>
      <c r="E89" s="746"/>
      <c r="F89" s="1813"/>
      <c r="G89" s="1062"/>
      <c r="H89" s="1065" t="str">
        <f t="shared" si="24"/>
        <v>——</v>
      </c>
      <c r="I89" s="3365">
        <v>0.06</v>
      </c>
      <c r="J89" s="1063">
        <f t="shared" si="25"/>
        <v>0</v>
      </c>
      <c r="K89" s="1063">
        <f t="shared" si="26"/>
        <v>0</v>
      </c>
      <c r="L89" s="1063">
        <v>0</v>
      </c>
      <c r="M89" s="1063">
        <f t="shared" si="27"/>
        <v>0</v>
      </c>
      <c r="N89" s="1063">
        <f t="shared" si="27"/>
        <v>0</v>
      </c>
    </row>
    <row r="90" spans="1:37" ht="39" thickBot="1">
      <c r="A90" s="2137" t="s">
        <v>2072</v>
      </c>
      <c r="B90" s="2142" t="str">
        <f>估价对象房地状况!G18</f>
        <v>该园区内是否有污染型企业，绿化情况，卫生条件，整体环境状况判断</v>
      </c>
      <c r="C90" s="2043"/>
      <c r="D90" s="1064">
        <f t="shared" si="23"/>
        <v>0</v>
      </c>
      <c r="E90" s="747"/>
      <c r="F90" s="1813"/>
      <c r="G90" s="1062"/>
      <c r="H90" s="1065" t="str">
        <f t="shared" si="24"/>
        <v>——</v>
      </c>
      <c r="I90" s="3366">
        <v>0.05</v>
      </c>
      <c r="J90" s="1063">
        <f t="shared" si="25"/>
        <v>0</v>
      </c>
      <c r="K90" s="1063">
        <f t="shared" si="26"/>
        <v>0</v>
      </c>
      <c r="L90" s="1063">
        <v>0</v>
      </c>
      <c r="M90" s="1063">
        <f t="shared" si="27"/>
        <v>0</v>
      </c>
      <c r="N90" s="1063">
        <f t="shared" si="27"/>
        <v>0</v>
      </c>
    </row>
    <row r="91" spans="1:37" ht="15">
      <c r="A91" s="3375" t="s">
        <v>2616</v>
      </c>
      <c r="B91" s="3376">
        <f>1+E93</f>
        <v>1</v>
      </c>
      <c r="C91" s="3369"/>
      <c r="D91" s="3370"/>
      <c r="E91" s="1813"/>
      <c r="F91" s="1813"/>
      <c r="G91" s="3371"/>
      <c r="H91" s="3372"/>
      <c r="I91" s="3373"/>
      <c r="J91" s="3374"/>
      <c r="K91" s="3374"/>
      <c r="L91" s="3374"/>
      <c r="M91" s="3374"/>
      <c r="N91" s="3374"/>
    </row>
    <row r="92" spans="1:37" ht="24.75">
      <c r="A92" s="3377" t="s">
        <v>3275</v>
      </c>
      <c r="B92" s="3364"/>
      <c r="C92" s="3364" t="s">
        <v>3284</v>
      </c>
      <c r="D92" s="3364" t="s">
        <v>3285</v>
      </c>
      <c r="E92" s="3346" t="s">
        <v>3286</v>
      </c>
      <c r="F92" s="3379" t="s">
        <v>3287</v>
      </c>
      <c r="G92" s="3364" t="s">
        <v>3288</v>
      </c>
      <c r="H92" s="3386" t="s">
        <v>3291</v>
      </c>
      <c r="I92" s="3364" t="s">
        <v>3292</v>
      </c>
      <c r="J92" s="3387" t="s">
        <v>3293</v>
      </c>
      <c r="K92" s="3387" t="s">
        <v>3294</v>
      </c>
      <c r="L92" s="3387" t="s">
        <v>3295</v>
      </c>
      <c r="M92" s="3387" t="s">
        <v>3296</v>
      </c>
      <c r="N92" s="3387" t="s">
        <v>3297</v>
      </c>
    </row>
    <row r="93" spans="1:37" ht="24">
      <c r="A93" s="3367" t="s">
        <v>3276</v>
      </c>
      <c r="B93" s="1305"/>
      <c r="C93" s="2043"/>
      <c r="D93" s="3364">
        <f>SUMIF($J$92:$N$92,C93,J93:N93)</f>
        <v>0</v>
      </c>
      <c r="E93" s="3380">
        <f>ROUND(SUM(D93:D101),4)</f>
        <v>0</v>
      </c>
      <c r="F93" s="1813" t="str">
        <f>IF(E2="公共服务",SUMIF(L1:L12,G2,N1:N12),"——")</f>
        <v>——</v>
      </c>
      <c r="G93" s="3371"/>
      <c r="H93" s="3418" t="str">
        <f>IFERROR(ROUNDDOWN($F$93*I93/2,4),"——")</f>
        <v>——</v>
      </c>
      <c r="I93" s="3365">
        <v>0.25</v>
      </c>
      <c r="J93" s="3343">
        <f t="shared" ref="J93:J101" si="28">K93+$G93</f>
        <v>0</v>
      </c>
      <c r="K93" s="3343">
        <f t="shared" ref="K93:K101" si="29">$L93+$G93</f>
        <v>0</v>
      </c>
      <c r="L93" s="3343">
        <v>0</v>
      </c>
      <c r="M93" s="3343">
        <f t="shared" ref="M93:N101" si="30">L93-$G93</f>
        <v>0</v>
      </c>
      <c r="N93" s="3343">
        <f t="shared" si="30"/>
        <v>0</v>
      </c>
    </row>
    <row r="94" spans="1:37" ht="38.25">
      <c r="A94" s="3377" t="s">
        <v>3277</v>
      </c>
      <c r="B94" s="3368" t="str">
        <f>估价对象房地状况!C18</f>
        <v>估价对象周边道路状况、公共交通通达情况、停车便捷程度，综合评价交通便捷度较好</v>
      </c>
      <c r="C94" s="2043"/>
      <c r="D94" s="3364">
        <f t="shared" ref="D94:D101" si="31">SUMIF($J$60:$N$60,C94,J94:N94)</f>
        <v>0</v>
      </c>
      <c r="E94" s="3381"/>
      <c r="F94" s="1813"/>
      <c r="G94" s="3371"/>
      <c r="H94" s="3418" t="str">
        <f>IFERROR(ROUNDDOWN($F$93*I94/2,4),"——")</f>
        <v>——</v>
      </c>
      <c r="I94" s="3365">
        <v>0.26</v>
      </c>
      <c r="J94" s="3343">
        <f t="shared" si="28"/>
        <v>0</v>
      </c>
      <c r="K94" s="3343">
        <f t="shared" si="29"/>
        <v>0</v>
      </c>
      <c r="L94" s="3343">
        <v>0</v>
      </c>
      <c r="M94" s="3343">
        <f t="shared" si="30"/>
        <v>0</v>
      </c>
      <c r="N94" s="3343">
        <f t="shared" si="30"/>
        <v>0</v>
      </c>
    </row>
    <row r="95" spans="1:37" ht="36">
      <c r="A95" s="3367" t="s">
        <v>3273</v>
      </c>
      <c r="B95" s="3368">
        <f>估价对象房地状况!C19</f>
        <v>0</v>
      </c>
      <c r="C95" s="2043"/>
      <c r="D95" s="3364">
        <f t="shared" si="31"/>
        <v>0</v>
      </c>
      <c r="E95" s="3381"/>
      <c r="F95" s="1813"/>
      <c r="G95" s="3371"/>
      <c r="H95" s="3418" t="str">
        <f t="shared" ref="H95:H101" si="32">IFERROR(ROUNDDOWN($F$93*I95/2,4),"——")</f>
        <v>——</v>
      </c>
      <c r="I95" s="3365">
        <v>0.11</v>
      </c>
      <c r="J95" s="3343">
        <f t="shared" si="28"/>
        <v>0</v>
      </c>
      <c r="K95" s="3343">
        <f t="shared" si="29"/>
        <v>0</v>
      </c>
      <c r="L95" s="3343">
        <v>0</v>
      </c>
      <c r="M95" s="3343">
        <f t="shared" si="30"/>
        <v>0</v>
      </c>
      <c r="N95" s="3343">
        <f t="shared" si="30"/>
        <v>0</v>
      </c>
    </row>
    <row r="96" spans="1:37" ht="36.75">
      <c r="A96" s="3377" t="s">
        <v>3278</v>
      </c>
      <c r="B96" s="3383" t="s">
        <v>3289</v>
      </c>
      <c r="C96" s="2043"/>
      <c r="D96" s="3364">
        <f t="shared" si="31"/>
        <v>0</v>
      </c>
      <c r="E96" s="3381"/>
      <c r="F96" s="1813"/>
      <c r="G96" s="3371"/>
      <c r="H96" s="3418" t="str">
        <f t="shared" si="32"/>
        <v>——</v>
      </c>
      <c r="I96" s="3365">
        <v>0.05</v>
      </c>
      <c r="J96" s="3343">
        <f t="shared" si="28"/>
        <v>0</v>
      </c>
      <c r="K96" s="3343">
        <f t="shared" si="29"/>
        <v>0</v>
      </c>
      <c r="L96" s="3343">
        <v>0</v>
      </c>
      <c r="M96" s="3343">
        <f t="shared" si="30"/>
        <v>0</v>
      </c>
      <c r="N96" s="3343">
        <f t="shared" si="30"/>
        <v>0</v>
      </c>
    </row>
    <row r="97" spans="1:14" ht="24">
      <c r="A97" s="3377" t="s">
        <v>3279</v>
      </c>
      <c r="B97" s="3368">
        <f>估价对象房地状况!C24</f>
        <v>0</v>
      </c>
      <c r="C97" s="2043"/>
      <c r="D97" s="3364">
        <f t="shared" si="31"/>
        <v>0</v>
      </c>
      <c r="E97" s="3381"/>
      <c r="F97" s="1813"/>
      <c r="G97" s="3371"/>
      <c r="H97" s="3418" t="str">
        <f t="shared" si="32"/>
        <v>——</v>
      </c>
      <c r="I97" s="3365">
        <v>0.05</v>
      </c>
      <c r="J97" s="3343">
        <f t="shared" si="28"/>
        <v>0</v>
      </c>
      <c r="K97" s="3343">
        <f t="shared" si="29"/>
        <v>0</v>
      </c>
      <c r="L97" s="3343">
        <v>0</v>
      </c>
      <c r="M97" s="3343">
        <f t="shared" si="30"/>
        <v>0</v>
      </c>
      <c r="N97" s="3343">
        <f t="shared" si="30"/>
        <v>0</v>
      </c>
    </row>
    <row r="98" spans="1:14" ht="24">
      <c r="A98" s="3377" t="s">
        <v>3280</v>
      </c>
      <c r="B98" s="3384" t="s">
        <v>3290</v>
      </c>
      <c r="C98" s="2043"/>
      <c r="D98" s="3364">
        <f t="shared" si="31"/>
        <v>0</v>
      </c>
      <c r="E98" s="3381"/>
      <c r="F98" s="1813"/>
      <c r="G98" s="3371"/>
      <c r="H98" s="3418" t="str">
        <f t="shared" si="32"/>
        <v>——</v>
      </c>
      <c r="I98" s="3365">
        <v>0.06</v>
      </c>
      <c r="J98" s="3343">
        <f t="shared" si="28"/>
        <v>0</v>
      </c>
      <c r="K98" s="3343">
        <f t="shared" si="29"/>
        <v>0</v>
      </c>
      <c r="L98" s="3343">
        <v>0</v>
      </c>
      <c r="M98" s="3343">
        <f t="shared" si="30"/>
        <v>0</v>
      </c>
      <c r="N98" s="3343">
        <f t="shared" si="30"/>
        <v>0</v>
      </c>
    </row>
    <row r="99" spans="1:14" ht="25.5">
      <c r="A99" s="3377" t="s">
        <v>3281</v>
      </c>
      <c r="B99" s="3368" t="str">
        <f>估价对象房地状况!C21</f>
        <v>估价对象所在区域公共配套设施齐备情况</v>
      </c>
      <c r="C99" s="2043"/>
      <c r="D99" s="3364">
        <f t="shared" si="31"/>
        <v>0</v>
      </c>
      <c r="E99" s="3381"/>
      <c r="F99" s="1813"/>
      <c r="G99" s="3371"/>
      <c r="H99" s="3418" t="str">
        <f t="shared" si="32"/>
        <v>——</v>
      </c>
      <c r="I99" s="3365">
        <v>0.06</v>
      </c>
      <c r="J99" s="3343">
        <f t="shared" si="28"/>
        <v>0</v>
      </c>
      <c r="K99" s="3343">
        <f t="shared" si="29"/>
        <v>0</v>
      </c>
      <c r="L99" s="3343">
        <v>0</v>
      </c>
      <c r="M99" s="3343">
        <f t="shared" si="30"/>
        <v>0</v>
      </c>
      <c r="N99" s="3343">
        <f t="shared" si="30"/>
        <v>0</v>
      </c>
    </row>
    <row r="100" spans="1:14" ht="25.5">
      <c r="A100" s="3377" t="s">
        <v>3282</v>
      </c>
      <c r="B100" s="3368" t="str">
        <f>估价对象房地状况!C22</f>
        <v>估价对象所在区域基础设施水平</v>
      </c>
      <c r="C100" s="2043"/>
      <c r="D100" s="3364">
        <f t="shared" si="31"/>
        <v>0</v>
      </c>
      <c r="E100" s="3381"/>
      <c r="F100" s="1813"/>
      <c r="G100" s="3371"/>
      <c r="H100" s="3418" t="str">
        <f t="shared" si="32"/>
        <v>——</v>
      </c>
      <c r="I100" s="3365">
        <v>0.09</v>
      </c>
      <c r="J100" s="3343">
        <f t="shared" si="28"/>
        <v>0</v>
      </c>
      <c r="K100" s="3343">
        <f t="shared" si="29"/>
        <v>0</v>
      </c>
      <c r="L100" s="3343">
        <v>0</v>
      </c>
      <c r="M100" s="3343">
        <f t="shared" si="30"/>
        <v>0</v>
      </c>
      <c r="N100" s="3343">
        <f t="shared" si="30"/>
        <v>0</v>
      </c>
    </row>
    <row r="101" spans="1:14" ht="26.25" thickBot="1">
      <c r="A101" s="3378" t="s">
        <v>3283</v>
      </c>
      <c r="B101" s="3385" t="str">
        <f>估价对象房地状况!C20</f>
        <v>区域自然环境：；人文环境；综合评价环境状况一般</v>
      </c>
      <c r="C101" s="2043"/>
      <c r="D101" s="3364">
        <f t="shared" si="31"/>
        <v>0</v>
      </c>
      <c r="E101" s="3382"/>
      <c r="F101" s="1813"/>
      <c r="G101" s="3371"/>
      <c r="H101" s="3418" t="str">
        <f t="shared" si="32"/>
        <v>——</v>
      </c>
      <c r="I101" s="3366">
        <v>7.0000000000000007E-2</v>
      </c>
      <c r="J101" s="3343">
        <f t="shared" si="28"/>
        <v>0</v>
      </c>
      <c r="K101" s="3343">
        <f t="shared" si="29"/>
        <v>0</v>
      </c>
      <c r="L101" s="3343">
        <v>0</v>
      </c>
      <c r="M101" s="3343">
        <f t="shared" si="30"/>
        <v>0</v>
      </c>
      <c r="N101" s="3343">
        <f t="shared" si="30"/>
        <v>0</v>
      </c>
    </row>
    <row r="103" spans="1:14">
      <c r="A103" s="3776" t="s">
        <v>3298</v>
      </c>
      <c r="B103" s="3776"/>
      <c r="C103" s="3776"/>
      <c r="D103" s="3776"/>
      <c r="E103" s="3776"/>
      <c r="F103" s="3776"/>
      <c r="G103" s="3776"/>
      <c r="H103" s="3776"/>
      <c r="I103" s="3776"/>
      <c r="J103" s="3776"/>
      <c r="K103" s="3388"/>
      <c r="L103" s="3388"/>
      <c r="M103" s="3388"/>
      <c r="N103" s="3388"/>
    </row>
    <row r="104" spans="1:14">
      <c r="A104" s="3777" t="s">
        <v>3299</v>
      </c>
      <c r="B104" s="3777" t="s">
        <v>3300</v>
      </c>
      <c r="C104" s="3389" t="s">
        <v>3301</v>
      </c>
      <c r="D104" s="3390"/>
      <c r="E104" s="3390"/>
      <c r="F104" s="3390"/>
      <c r="G104" s="3390"/>
      <c r="H104" s="3390"/>
      <c r="I104" s="3390"/>
      <c r="J104" s="3391"/>
      <c r="K104" s="3392"/>
      <c r="L104" s="3392"/>
      <c r="M104" s="3392"/>
      <c r="N104" s="3392"/>
    </row>
    <row r="105" spans="1:14">
      <c r="A105" s="3777"/>
      <c r="B105" s="3777"/>
      <c r="C105" s="3393" t="s">
        <v>3302</v>
      </c>
      <c r="D105" s="3393" t="s">
        <v>3303</v>
      </c>
      <c r="E105" s="3393" t="s">
        <v>3304</v>
      </c>
      <c r="F105" s="3393" t="s">
        <v>3305</v>
      </c>
      <c r="G105" s="3393" t="s">
        <v>3306</v>
      </c>
      <c r="H105" s="3393" t="s">
        <v>3307</v>
      </c>
      <c r="I105" s="3393" t="s">
        <v>3308</v>
      </c>
      <c r="J105" s="3393" t="s">
        <v>3309</v>
      </c>
      <c r="K105" s="3393" t="s">
        <v>3310</v>
      </c>
      <c r="L105" s="3393" t="s">
        <v>3311</v>
      </c>
      <c r="M105" s="3393" t="s">
        <v>3312</v>
      </c>
      <c r="N105" s="3393" t="s">
        <v>3313</v>
      </c>
    </row>
    <row r="106" spans="1:14">
      <c r="A106" s="3763" t="s">
        <v>3314</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64"/>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64"/>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64"/>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64"/>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64"/>
      <c r="B111" s="3393" t="s">
        <v>3272</v>
      </c>
      <c r="C111" s="3394">
        <f>$I$3</f>
        <v>1</v>
      </c>
      <c r="D111" s="3394">
        <f t="shared" ref="D111:M111" si="33">$I$3</f>
        <v>1</v>
      </c>
      <c r="E111" s="3394">
        <f t="shared" si="33"/>
        <v>1</v>
      </c>
      <c r="F111" s="3394">
        <f t="shared" si="33"/>
        <v>1</v>
      </c>
      <c r="G111" s="3394">
        <f t="shared" si="33"/>
        <v>1</v>
      </c>
      <c r="H111" s="3394">
        <f t="shared" si="33"/>
        <v>1</v>
      </c>
      <c r="I111" s="3394">
        <f t="shared" si="33"/>
        <v>1</v>
      </c>
      <c r="J111" s="3394">
        <f t="shared" si="33"/>
        <v>1</v>
      </c>
      <c r="K111" s="3394">
        <f t="shared" si="33"/>
        <v>1</v>
      </c>
      <c r="L111" s="3394">
        <f t="shared" si="33"/>
        <v>1</v>
      </c>
      <c r="M111" s="3394">
        <f t="shared" si="33"/>
        <v>1</v>
      </c>
      <c r="N111" s="3394">
        <f>$I$3</f>
        <v>1</v>
      </c>
    </row>
    <row r="112" spans="1:14">
      <c r="A112" s="3765"/>
      <c r="B112" s="3393">
        <v>6</v>
      </c>
      <c r="C112" s="3386">
        <f>(-0.5556*(C111^2)-0.2719*C111+8944)*(10^(-4))</f>
        <v>0.89431725000000006</v>
      </c>
      <c r="D112" s="3386">
        <f>(-0.5556*(D111^2)-0.2719*D111+8944)*(10^(-4))</f>
        <v>0.89431725000000006</v>
      </c>
      <c r="E112" s="3386">
        <f>(-0.7912*(E111^2)-11.3794*E111+8482)*(10^(-4))</f>
        <v>0.84698294000000007</v>
      </c>
      <c r="F112" s="3386">
        <f t="shared" ref="F112:I112" si="34">(-0.7912*(F111^2)-11.3794*F111+8482)*(10^(-4))</f>
        <v>0.84698294000000007</v>
      </c>
      <c r="G112" s="3386">
        <f t="shared" si="34"/>
        <v>0.84698294000000007</v>
      </c>
      <c r="H112" s="3386">
        <f t="shared" si="34"/>
        <v>0.84698294000000007</v>
      </c>
      <c r="I112" s="3386">
        <f t="shared" si="34"/>
        <v>0.84698294000000007</v>
      </c>
      <c r="J112" s="3386">
        <f>(-0.989*(J111^2)-63.78*J111+7771)*(10^(-4))</f>
        <v>0.77062310000000001</v>
      </c>
      <c r="K112" s="3386">
        <f t="shared" ref="K112:N112" si="35">(-0.989*(K111^2)-63.78*K111+7771)*(10^(-4))</f>
        <v>0.77062310000000001</v>
      </c>
      <c r="L112" s="3386">
        <f t="shared" si="35"/>
        <v>0.77062310000000001</v>
      </c>
      <c r="M112" s="3386">
        <f t="shared" si="35"/>
        <v>0.77062310000000001</v>
      </c>
      <c r="N112" s="3386">
        <f t="shared" si="35"/>
        <v>0.77062310000000001</v>
      </c>
    </row>
    <row r="113" spans="1:14">
      <c r="A113" s="3766" t="s">
        <v>3315</v>
      </c>
      <c r="B113" s="3766"/>
      <c r="C113" s="3766"/>
      <c r="D113" s="3766"/>
      <c r="E113" s="3766"/>
      <c r="F113" s="3766"/>
      <c r="G113" s="3766"/>
      <c r="H113" s="3766"/>
      <c r="I113" s="3766"/>
      <c r="J113" s="3766"/>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3316</v>
      </c>
      <c r="B116" s="3414" t="e">
        <f>G3</f>
        <v>#DIV/0!</v>
      </c>
      <c r="C116" s="3398" t="s">
        <v>3317</v>
      </c>
      <c r="D116" s="3399" t="e">
        <f>SUMPRODUCT((A118:A122=F116)*(B117:M117=H116)*B118:M122)</f>
        <v>#DIV/0!</v>
      </c>
      <c r="E116" s="1999" t="s">
        <v>3318</v>
      </c>
      <c r="F116" s="3400" t="str">
        <f>E2</f>
        <v>商业</v>
      </c>
      <c r="G116" s="1999" t="s">
        <v>3319</v>
      </c>
      <c r="H116" s="3400" t="str">
        <f>G2</f>
        <v>六级</v>
      </c>
      <c r="I116" s="1999"/>
      <c r="J116" s="3401"/>
      <c r="K116" s="3401"/>
      <c r="L116" s="3401"/>
      <c r="M116" s="3401"/>
      <c r="N116" s="3396"/>
    </row>
    <row r="117" spans="1:14">
      <c r="A117" s="3402"/>
      <c r="B117" s="3403" t="s">
        <v>3320</v>
      </c>
      <c r="C117" s="3403" t="s">
        <v>3321</v>
      </c>
      <c r="D117" s="3403" t="s">
        <v>3322</v>
      </c>
      <c r="E117" s="3404" t="s">
        <v>3323</v>
      </c>
      <c r="F117" s="3404" t="s">
        <v>3324</v>
      </c>
      <c r="G117" s="3404" t="s">
        <v>3325</v>
      </c>
      <c r="H117" s="3405" t="s">
        <v>3326</v>
      </c>
      <c r="I117" s="3405" t="s">
        <v>3327</v>
      </c>
      <c r="J117" s="3406" t="s">
        <v>3328</v>
      </c>
      <c r="K117" s="3406" t="s">
        <v>3329</v>
      </c>
      <c r="L117" s="3406" t="s">
        <v>3330</v>
      </c>
      <c r="M117" s="3407" t="s">
        <v>3331</v>
      </c>
      <c r="N117" s="3396"/>
    </row>
    <row r="118" spans="1:14">
      <c r="A118" s="3408" t="s">
        <v>3332</v>
      </c>
      <c r="B118" s="3386" t="e">
        <f>ROUND(0.9968-0.011*B116,4)</f>
        <v>#DIV/0!</v>
      </c>
      <c r="C118" s="3386" t="e">
        <f>B118</f>
        <v>#DIV/0!</v>
      </c>
      <c r="D118" s="3386" t="e">
        <f>ROUND(0.949-0.014*B116,4)</f>
        <v>#DIV/0!</v>
      </c>
      <c r="E118" s="3386" t="e">
        <f>D118</f>
        <v>#DIV/0!</v>
      </c>
      <c r="F118" s="3386" t="e">
        <f>E118</f>
        <v>#DIV/0!</v>
      </c>
      <c r="G118" s="3386" t="e">
        <f>F118</f>
        <v>#DIV/0!</v>
      </c>
      <c r="H118" s="3386" t="e">
        <f>G118</f>
        <v>#DIV/0!</v>
      </c>
      <c r="I118" s="3386" t="e">
        <f>ROUND(0.8486-0.018*B116,4)</f>
        <v>#DIV/0!</v>
      </c>
      <c r="J118" s="3386" t="e">
        <f t="shared" ref="J118:M122" si="36">I118</f>
        <v>#DIV/0!</v>
      </c>
      <c r="K118" s="3386" t="e">
        <f t="shared" si="36"/>
        <v>#DIV/0!</v>
      </c>
      <c r="L118" s="3386" t="e">
        <f t="shared" si="36"/>
        <v>#DIV/0!</v>
      </c>
      <c r="M118" s="3409" t="e">
        <f t="shared" si="36"/>
        <v>#DIV/0!</v>
      </c>
      <c r="N118" s="3396"/>
    </row>
    <row r="119" spans="1:14">
      <c r="A119" s="3408" t="s">
        <v>3333</v>
      </c>
      <c r="B119" s="3386" t="e">
        <f>ROUND(0.993-0.0112*B116,4)</f>
        <v>#DIV/0!</v>
      </c>
      <c r="C119" s="3386" t="e">
        <f>B119</f>
        <v>#DIV/0!</v>
      </c>
      <c r="D119" s="3386" t="e">
        <f>ROUND(0.9415-0.0142*B116,4)</f>
        <v>#DIV/0!</v>
      </c>
      <c r="E119" s="3386" t="e">
        <f t="shared" ref="E119:H120" si="37">D119</f>
        <v>#DIV/0!</v>
      </c>
      <c r="F119" s="3386" t="e">
        <f t="shared" si="37"/>
        <v>#DIV/0!</v>
      </c>
      <c r="G119" s="3386" t="e">
        <f t="shared" si="37"/>
        <v>#DIV/0!</v>
      </c>
      <c r="H119" s="3386" t="e">
        <f t="shared" si="37"/>
        <v>#DIV/0!</v>
      </c>
      <c r="I119" s="3386" t="e">
        <f>ROUND(0.838-0.0182*B116,4)</f>
        <v>#DIV/0!</v>
      </c>
      <c r="J119" s="3386" t="e">
        <f t="shared" si="36"/>
        <v>#DIV/0!</v>
      </c>
      <c r="K119" s="3386" t="e">
        <f t="shared" si="36"/>
        <v>#DIV/0!</v>
      </c>
      <c r="L119" s="3386" t="e">
        <f t="shared" si="36"/>
        <v>#DIV/0!</v>
      </c>
      <c r="M119" s="3409" t="e">
        <f t="shared" si="36"/>
        <v>#DIV/0!</v>
      </c>
      <c r="N119" s="3396"/>
    </row>
    <row r="120" spans="1:14">
      <c r="A120" s="3408" t="s">
        <v>3334</v>
      </c>
      <c r="B120" s="3386" t="e">
        <f>ROUND(0.9448-0.0115*B116,4)</f>
        <v>#DIV/0!</v>
      </c>
      <c r="C120" s="3386" t="e">
        <f>B120</f>
        <v>#DIV/0!</v>
      </c>
      <c r="D120" s="3386" t="e">
        <f>ROUND(0.937-0.0145*B116,4)</f>
        <v>#DIV/0!</v>
      </c>
      <c r="E120" s="3386" t="e">
        <f t="shared" si="37"/>
        <v>#DIV/0!</v>
      </c>
      <c r="F120" s="3386" t="e">
        <f t="shared" si="37"/>
        <v>#DIV/0!</v>
      </c>
      <c r="G120" s="3386" t="e">
        <f t="shared" si="37"/>
        <v>#DIV/0!</v>
      </c>
      <c r="H120" s="3386" t="e">
        <f t="shared" si="37"/>
        <v>#DIV/0!</v>
      </c>
      <c r="I120" s="3386" t="e">
        <f>ROUND(0.7965-0.0185*B116,4)</f>
        <v>#DIV/0!</v>
      </c>
      <c r="J120" s="3386" t="e">
        <f t="shared" si="36"/>
        <v>#DIV/0!</v>
      </c>
      <c r="K120" s="3386" t="e">
        <f t="shared" si="36"/>
        <v>#DIV/0!</v>
      </c>
      <c r="L120" s="3386" t="e">
        <f t="shared" si="36"/>
        <v>#DIV/0!</v>
      </c>
      <c r="M120" s="3409" t="e">
        <f t="shared" si="36"/>
        <v>#DIV/0!</v>
      </c>
      <c r="N120" s="3396"/>
    </row>
    <row r="121" spans="1:14" ht="13.5" thickBot="1">
      <c r="A121" s="3410" t="s">
        <v>3335</v>
      </c>
      <c r="B121" s="3411" t="e">
        <f>ROUND(0.7836-0.012*B116,4)</f>
        <v>#DIV/0!</v>
      </c>
      <c r="C121" s="3411" t="e">
        <f>B121</f>
        <v>#DIV/0!</v>
      </c>
      <c r="D121" s="3411" t="e">
        <f>ROUND(0.753-0.015*B116,4)</f>
        <v>#DIV/0!</v>
      </c>
      <c r="E121" s="3411" t="e">
        <f>D121</f>
        <v>#DIV/0!</v>
      </c>
      <c r="F121" s="3411" t="e">
        <f>E121</f>
        <v>#DIV/0!</v>
      </c>
      <c r="G121" s="3411" t="e">
        <f>ROUND(0.6612-0.018*B116,4)</f>
        <v>#DIV/0!</v>
      </c>
      <c r="H121" s="3411" t="e">
        <f>G121</f>
        <v>#DIV/0!</v>
      </c>
      <c r="I121" s="3411" t="e">
        <f>ROUND(0.5905-0.019*B116,4)</f>
        <v>#DIV/0!</v>
      </c>
      <c r="J121" s="3411" t="e">
        <f t="shared" si="36"/>
        <v>#DIV/0!</v>
      </c>
      <c r="K121" s="3411" t="e">
        <f t="shared" si="36"/>
        <v>#DIV/0!</v>
      </c>
      <c r="L121" s="3411" t="e">
        <f t="shared" si="36"/>
        <v>#DIV/0!</v>
      </c>
      <c r="M121" s="3412" t="e">
        <f t="shared" si="36"/>
        <v>#DIV/0!</v>
      </c>
      <c r="N121" s="3396"/>
    </row>
    <row r="122" spans="1:14">
      <c r="A122" s="3413" t="s">
        <v>2616</v>
      </c>
      <c r="B122" s="3386" t="e">
        <f>ROUND(0.9404-0.0106*B116,4)</f>
        <v>#DIV/0!</v>
      </c>
      <c r="C122" s="3386" t="e">
        <f>B122</f>
        <v>#DIV/0!</v>
      </c>
      <c r="D122" s="3386" t="e">
        <f>ROUND(0.8955-0.0135*B116,4)</f>
        <v>#DIV/0!</v>
      </c>
      <c r="E122" s="3386" t="e">
        <f t="shared" ref="E122:H122" si="38">D122</f>
        <v>#DIV/0!</v>
      </c>
      <c r="F122" s="3386" t="e">
        <f t="shared" si="38"/>
        <v>#DIV/0!</v>
      </c>
      <c r="G122" s="3386" t="e">
        <f t="shared" si="38"/>
        <v>#DIV/0!</v>
      </c>
      <c r="H122" s="3386" t="e">
        <f t="shared" si="38"/>
        <v>#DIV/0!</v>
      </c>
      <c r="I122" s="3386" t="e">
        <f>ROUND(0.7632-0.0166*B116,4)</f>
        <v>#DIV/0!</v>
      </c>
      <c r="J122" s="3386" t="e">
        <f t="shared" si="36"/>
        <v>#DIV/0!</v>
      </c>
      <c r="K122" s="3386" t="e">
        <f t="shared" si="36"/>
        <v>#DIV/0!</v>
      </c>
      <c r="L122" s="3386" t="e">
        <f t="shared" si="36"/>
        <v>#DIV/0!</v>
      </c>
      <c r="M122" s="3409" t="e">
        <f t="shared" si="36"/>
        <v>#DIV/0!</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2598</v>
      </c>
      <c r="B1" s="3070" t="s">
        <v>2599</v>
      </c>
      <c r="C1" s="3070" t="s">
        <v>2600</v>
      </c>
      <c r="D1" s="3070" t="s">
        <v>2601</v>
      </c>
      <c r="E1" s="3070" t="s">
        <v>2602</v>
      </c>
      <c r="F1" s="3070" t="s">
        <v>2603</v>
      </c>
      <c r="G1" s="3070" t="s">
        <v>2604</v>
      </c>
      <c r="H1" s="3070" t="s">
        <v>2605</v>
      </c>
      <c r="I1" s="3070" t="s">
        <v>2606</v>
      </c>
      <c r="J1" s="3070" t="s">
        <v>2607</v>
      </c>
      <c r="K1" s="3070" t="s">
        <v>2608</v>
      </c>
      <c r="L1" s="3070" t="s">
        <v>2609</v>
      </c>
      <c r="M1" s="3071" t="s">
        <v>2610</v>
      </c>
    </row>
    <row r="2" spans="1:13" ht="19.5" customHeight="1">
      <c r="A2" s="3073" t="s">
        <v>2611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2620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2627</v>
      </c>
      <c r="B18" s="3095"/>
      <c r="C18" s="3096"/>
      <c r="D18" s="3096"/>
      <c r="E18" s="3095"/>
      <c r="F18" s="3096"/>
      <c r="G18" s="3096"/>
    </row>
    <row r="19" spans="1:13" ht="19.5" customHeight="1" thickBot="1">
      <c r="A19" s="3093" t="s">
        <v>2628</v>
      </c>
      <c r="B19" s="3098" t="s">
        <v>2629</v>
      </c>
      <c r="C19" s="3098" t="s">
        <v>2630</v>
      </c>
      <c r="D19" s="3099"/>
      <c r="E19" s="3093" t="s">
        <v>2631</v>
      </c>
      <c r="F19" s="3100"/>
      <c r="G19" s="3100"/>
    </row>
    <row r="20" spans="1:13" ht="19.5" customHeight="1">
      <c r="A20" s="3791" t="s">
        <v>2611</v>
      </c>
      <c r="B20" s="3786" t="s">
        <v>2632</v>
      </c>
      <c r="C20" s="3101" t="s">
        <v>2443</v>
      </c>
      <c r="D20" s="3102"/>
      <c r="E20" s="3103">
        <v>1</v>
      </c>
      <c r="F20" s="3104" t="s">
        <v>2444</v>
      </c>
      <c r="G20" s="3104"/>
    </row>
    <row r="21" spans="1:13" ht="19.5" customHeight="1">
      <c r="A21" s="3792"/>
      <c r="B21" s="3785"/>
      <c r="C21" s="3105" t="s">
        <v>2445</v>
      </c>
      <c r="D21" s="3106"/>
      <c r="E21" s="3107">
        <v>1</v>
      </c>
      <c r="F21" s="3104" t="s">
        <v>2446</v>
      </c>
      <c r="G21" s="3104"/>
    </row>
    <row r="22" spans="1:13" ht="19.5" customHeight="1">
      <c r="A22" s="3792"/>
      <c r="B22" s="3785"/>
      <c r="C22" s="3105" t="s">
        <v>2447</v>
      </c>
      <c r="D22" s="3106"/>
      <c r="E22" s="3107">
        <v>0.9</v>
      </c>
      <c r="F22" s="3104" t="s">
        <v>2448</v>
      </c>
      <c r="G22" s="3104"/>
    </row>
    <row r="23" spans="1:13" ht="19.5" customHeight="1">
      <c r="A23" s="3792"/>
      <c r="B23" s="3785"/>
      <c r="C23" s="3105" t="s">
        <v>2449</v>
      </c>
      <c r="D23" s="3106"/>
      <c r="E23" s="3107">
        <v>0.9</v>
      </c>
      <c r="F23" s="3104" t="s">
        <v>2450</v>
      </c>
      <c r="G23" s="3104"/>
    </row>
    <row r="24" spans="1:13" ht="19.5" customHeight="1">
      <c r="A24" s="3792"/>
      <c r="B24" s="3785"/>
      <c r="C24" s="3105" t="s">
        <v>2451</v>
      </c>
      <c r="D24" s="3106"/>
      <c r="E24" s="3107">
        <v>0.8</v>
      </c>
      <c r="F24" s="3104" t="s">
        <v>2452</v>
      </c>
      <c r="G24" s="3104"/>
    </row>
    <row r="25" spans="1:13" ht="19.5" customHeight="1" thickBot="1">
      <c r="A25" s="3793"/>
      <c r="B25" s="3787"/>
      <c r="C25" s="3108" t="s">
        <v>2453</v>
      </c>
      <c r="D25" s="3109"/>
      <c r="E25" s="3110">
        <v>0.8</v>
      </c>
      <c r="F25" s="3104" t="s">
        <v>2454</v>
      </c>
      <c r="G25" s="3104"/>
    </row>
    <row r="26" spans="1:13" ht="19.5" customHeight="1" thickBot="1">
      <c r="A26" s="3111" t="s">
        <v>2633</v>
      </c>
      <c r="B26" s="3112" t="s">
        <v>2632</v>
      </c>
      <c r="C26" s="3113" t="s">
        <v>2634</v>
      </c>
      <c r="D26" s="3114"/>
      <c r="E26" s="3115">
        <v>1</v>
      </c>
      <c r="F26" s="3104" t="s">
        <v>2455</v>
      </c>
      <c r="G26" s="3104"/>
    </row>
    <row r="27" spans="1:13" ht="19.5" customHeight="1">
      <c r="A27" s="3788" t="s">
        <v>2635</v>
      </c>
      <c r="B27" s="3786" t="s">
        <v>2616</v>
      </c>
      <c r="C27" s="3101" t="s">
        <v>2456</v>
      </c>
      <c r="D27" s="3102"/>
      <c r="E27" s="3103">
        <v>1</v>
      </c>
      <c r="F27" s="3104" t="s">
        <v>2457</v>
      </c>
      <c r="G27" s="3104"/>
    </row>
    <row r="28" spans="1:13" ht="19.5" customHeight="1">
      <c r="A28" s="3789"/>
      <c r="B28" s="3785"/>
      <c r="C28" s="3105" t="s">
        <v>2458</v>
      </c>
      <c r="D28" s="3106"/>
      <c r="E28" s="3107">
        <v>1</v>
      </c>
      <c r="F28" s="3104" t="s">
        <v>2459</v>
      </c>
      <c r="G28" s="3104"/>
    </row>
    <row r="29" spans="1:13" ht="19.5" customHeight="1">
      <c r="A29" s="3789"/>
      <c r="B29" s="3785"/>
      <c r="C29" s="3105" t="s">
        <v>2460</v>
      </c>
      <c r="D29" s="3106"/>
      <c r="E29" s="3107">
        <v>0.8</v>
      </c>
      <c r="F29" s="3104" t="s">
        <v>2461</v>
      </c>
      <c r="G29" s="3104"/>
    </row>
    <row r="30" spans="1:13" ht="19.5" customHeight="1">
      <c r="A30" s="3789"/>
      <c r="B30" s="3785"/>
      <c r="C30" s="3105" t="s">
        <v>2462</v>
      </c>
      <c r="D30" s="3106"/>
      <c r="E30" s="3107">
        <v>0.8</v>
      </c>
      <c r="F30" s="3104" t="s">
        <v>2463</v>
      </c>
      <c r="G30" s="3104"/>
    </row>
    <row r="31" spans="1:13" ht="19.5" customHeight="1">
      <c r="A31" s="3789"/>
      <c r="B31" s="3785"/>
      <c r="C31" s="3105" t="s">
        <v>2464</v>
      </c>
      <c r="D31" s="3106"/>
      <c r="E31" s="3107">
        <v>0.8</v>
      </c>
      <c r="F31" s="3104" t="s">
        <v>2465</v>
      </c>
      <c r="G31" s="3104"/>
    </row>
    <row r="32" spans="1:13" ht="19.5" customHeight="1">
      <c r="A32" s="3789"/>
      <c r="B32" s="3785"/>
      <c r="C32" s="3105" t="s">
        <v>2466</v>
      </c>
      <c r="D32" s="3106"/>
      <c r="E32" s="3107">
        <v>0.7</v>
      </c>
      <c r="F32" s="3104" t="s">
        <v>2467</v>
      </c>
      <c r="G32" s="3104"/>
    </row>
    <row r="33" spans="1:7" ht="19.5" customHeight="1">
      <c r="A33" s="3789"/>
      <c r="B33" s="3785"/>
      <c r="C33" s="3105" t="s">
        <v>2468</v>
      </c>
      <c r="D33" s="3106"/>
      <c r="E33" s="3107">
        <v>0.8</v>
      </c>
      <c r="F33" s="3104" t="s">
        <v>2469</v>
      </c>
      <c r="G33" s="3104"/>
    </row>
    <row r="34" spans="1:7" ht="19.5" customHeight="1">
      <c r="A34" s="3789"/>
      <c r="B34" s="3785"/>
      <c r="C34" s="3105" t="s">
        <v>2470</v>
      </c>
      <c r="D34" s="3106"/>
      <c r="E34" s="3107">
        <v>0.6</v>
      </c>
      <c r="F34" s="3104" t="s">
        <v>2471</v>
      </c>
      <c r="G34" s="3104"/>
    </row>
    <row r="35" spans="1:7" ht="19.5" customHeight="1">
      <c r="A35" s="3789"/>
      <c r="B35" s="3785"/>
      <c r="C35" s="3105" t="s">
        <v>2472</v>
      </c>
      <c r="D35" s="3106"/>
      <c r="E35" s="3107">
        <v>0.2</v>
      </c>
      <c r="F35" s="3104" t="s">
        <v>2473</v>
      </c>
      <c r="G35" s="3104"/>
    </row>
    <row r="36" spans="1:7" ht="19.5" customHeight="1">
      <c r="A36" s="3789"/>
      <c r="B36" s="3785"/>
      <c r="C36" s="3105" t="s">
        <v>2474</v>
      </c>
      <c r="D36" s="3106"/>
      <c r="E36" s="3107">
        <v>0.2</v>
      </c>
      <c r="F36" s="3104" t="s">
        <v>2475</v>
      </c>
      <c r="G36" s="3104"/>
    </row>
    <row r="37" spans="1:7" ht="19.5" customHeight="1">
      <c r="A37" s="3789"/>
      <c r="B37" s="3783" t="s">
        <v>2636</v>
      </c>
      <c r="C37" s="3105" t="s">
        <v>2476</v>
      </c>
      <c r="D37" s="3106"/>
      <c r="E37" s="3107">
        <v>0.6</v>
      </c>
      <c r="F37" s="3104" t="s">
        <v>2477</v>
      </c>
      <c r="G37" s="3104"/>
    </row>
    <row r="38" spans="1:7" ht="19.5" customHeight="1">
      <c r="A38" s="3789"/>
      <c r="B38" s="3785"/>
      <c r="C38" s="3105" t="s">
        <v>2478</v>
      </c>
      <c r="D38" s="3106"/>
      <c r="E38" s="3107">
        <v>0.6</v>
      </c>
      <c r="F38" s="3104" t="s">
        <v>2479</v>
      </c>
      <c r="G38" s="3104"/>
    </row>
    <row r="39" spans="1:7" ht="19.5" customHeight="1" thickBot="1">
      <c r="A39" s="3790"/>
      <c r="B39" s="3787"/>
      <c r="C39" s="3108" t="s">
        <v>2480</v>
      </c>
      <c r="D39" s="3109"/>
      <c r="E39" s="3110">
        <v>0.6</v>
      </c>
      <c r="F39" s="3104" t="s">
        <v>2481</v>
      </c>
      <c r="G39" s="3104"/>
    </row>
    <row r="40" spans="1:7" ht="19.5" customHeight="1" thickBot="1">
      <c r="A40" s="3111" t="s">
        <v>2613</v>
      </c>
      <c r="B40" s="3112" t="s">
        <v>2613</v>
      </c>
      <c r="C40" s="3113" t="s">
        <v>2637</v>
      </c>
      <c r="D40" s="3114"/>
      <c r="E40" s="3115">
        <v>1</v>
      </c>
      <c r="F40" s="3104" t="s">
        <v>2482</v>
      </c>
      <c r="G40" s="3104"/>
    </row>
    <row r="41" spans="1:7" ht="19.5" customHeight="1">
      <c r="A41" s="3791" t="s">
        <v>2614</v>
      </c>
      <c r="B41" s="3786" t="s">
        <v>2638</v>
      </c>
      <c r="C41" s="3101" t="s">
        <v>2483</v>
      </c>
      <c r="D41" s="3102"/>
      <c r="E41" s="3103">
        <v>1</v>
      </c>
      <c r="F41" s="3104" t="s">
        <v>2484</v>
      </c>
      <c r="G41" s="3104"/>
    </row>
    <row r="42" spans="1:7" ht="19.5" customHeight="1">
      <c r="A42" s="3792"/>
      <c r="B42" s="3785"/>
      <c r="C42" s="3105" t="s">
        <v>2485</v>
      </c>
      <c r="D42" s="3106"/>
      <c r="E42" s="3107">
        <v>1</v>
      </c>
      <c r="F42" s="3104" t="s">
        <v>2486</v>
      </c>
      <c r="G42" s="3104"/>
    </row>
    <row r="43" spans="1:7" ht="19.5" customHeight="1">
      <c r="A43" s="3792"/>
      <c r="B43" s="3784"/>
      <c r="C43" s="3105" t="s">
        <v>2487</v>
      </c>
      <c r="D43" s="3106"/>
      <c r="E43" s="3107">
        <v>1.5</v>
      </c>
      <c r="F43" s="3104" t="s">
        <v>2488</v>
      </c>
      <c r="G43" s="3104"/>
    </row>
    <row r="44" spans="1:7" ht="19.5" customHeight="1">
      <c r="A44" s="3792"/>
      <c r="B44" s="3116" t="s">
        <v>2639</v>
      </c>
      <c r="C44" s="3105" t="s">
        <v>2640</v>
      </c>
      <c r="D44" s="3106"/>
      <c r="E44" s="3107">
        <v>2</v>
      </c>
      <c r="F44" s="3104" t="s">
        <v>2489</v>
      </c>
      <c r="G44" s="3104"/>
    </row>
    <row r="45" spans="1:7" ht="19.5" customHeight="1">
      <c r="A45" s="3792"/>
      <c r="B45" s="3783" t="s">
        <v>2641</v>
      </c>
      <c r="C45" s="3105" t="s">
        <v>2490</v>
      </c>
      <c r="D45" s="3106"/>
      <c r="E45" s="3107">
        <v>1</v>
      </c>
      <c r="F45" s="3104" t="s">
        <v>2491</v>
      </c>
      <c r="G45" s="3104"/>
    </row>
    <row r="46" spans="1:7" ht="19.5" customHeight="1">
      <c r="A46" s="3792"/>
      <c r="B46" s="3785"/>
      <c r="C46" s="3105" t="s">
        <v>2492</v>
      </c>
      <c r="D46" s="3106"/>
      <c r="E46" s="3107">
        <v>1</v>
      </c>
      <c r="F46" s="3104" t="s">
        <v>2493</v>
      </c>
      <c r="G46" s="3104"/>
    </row>
    <row r="47" spans="1:7" ht="19.5" customHeight="1">
      <c r="A47" s="3792"/>
      <c r="B47" s="3785"/>
      <c r="C47" s="3105" t="s">
        <v>2494</v>
      </c>
      <c r="D47" s="3106"/>
      <c r="E47" s="3107">
        <v>1</v>
      </c>
      <c r="F47" s="3104" t="s">
        <v>2495</v>
      </c>
      <c r="G47" s="3104"/>
    </row>
    <row r="48" spans="1:7" ht="19.5" customHeight="1">
      <c r="A48" s="3792"/>
      <c r="B48" s="3785"/>
      <c r="C48" s="3105" t="s">
        <v>2496</v>
      </c>
      <c r="D48" s="3106"/>
      <c r="E48" s="3107">
        <v>1</v>
      </c>
      <c r="F48" s="3104" t="s">
        <v>2497</v>
      </c>
      <c r="G48" s="3104"/>
    </row>
    <row r="49" spans="1:7" ht="19.5" customHeight="1">
      <c r="A49" s="3792"/>
      <c r="B49" s="3785"/>
      <c r="C49" s="3105" t="s">
        <v>2498</v>
      </c>
      <c r="D49" s="3106"/>
      <c r="E49" s="3107">
        <v>1</v>
      </c>
      <c r="F49" s="3104" t="s">
        <v>2499</v>
      </c>
      <c r="G49" s="3104"/>
    </row>
    <row r="50" spans="1:7" ht="19.5" customHeight="1">
      <c r="A50" s="3792"/>
      <c r="B50" s="3785"/>
      <c r="C50" s="3105" t="s">
        <v>2500</v>
      </c>
      <c r="D50" s="3106"/>
      <c r="E50" s="3107">
        <v>1</v>
      </c>
      <c r="F50" s="3104" t="s">
        <v>2501</v>
      </c>
      <c r="G50" s="3104"/>
    </row>
    <row r="51" spans="1:7" ht="19.5" customHeight="1" thickBot="1">
      <c r="A51" s="3793"/>
      <c r="B51" s="3787"/>
      <c r="C51" s="3108" t="s">
        <v>2502</v>
      </c>
      <c r="D51" s="3109"/>
      <c r="E51" s="3110">
        <v>1</v>
      </c>
      <c r="F51" s="3104" t="s">
        <v>2503</v>
      </c>
      <c r="G51" s="3104"/>
    </row>
    <row r="52" spans="1:7" ht="19.5" customHeight="1">
      <c r="A52" s="3117"/>
      <c r="B52" s="3117"/>
      <c r="C52" s="3117"/>
      <c r="D52" s="3117"/>
      <c r="E52" s="3117"/>
      <c r="F52" s="3117"/>
      <c r="G52" s="3117"/>
    </row>
    <row r="54" spans="1:7" ht="19.5" customHeight="1">
      <c r="A54" s="3118"/>
      <c r="B54" s="3090" t="s">
        <v>2642</v>
      </c>
      <c r="C54" s="3090" t="s">
        <v>2642</v>
      </c>
      <c r="D54" s="3090" t="s">
        <v>2642</v>
      </c>
      <c r="E54" s="3093" t="s">
        <v>2642</v>
      </c>
      <c r="F54" s="3093" t="s">
        <v>2643</v>
      </c>
      <c r="G54" s="3093" t="s">
        <v>2644</v>
      </c>
    </row>
    <row r="55" spans="1:7" ht="19.5" customHeight="1">
      <c r="A55" s="3119"/>
      <c r="B55" s="3093" t="s">
        <v>2611</v>
      </c>
      <c r="C55" s="3093" t="s">
        <v>2611</v>
      </c>
      <c r="D55" s="3093" t="s">
        <v>2611</v>
      </c>
      <c r="E55" s="3090" t="s">
        <v>2612</v>
      </c>
      <c r="F55" s="3090" t="s">
        <v>2614</v>
      </c>
      <c r="G55" s="3090" t="s">
        <v>2645</v>
      </c>
    </row>
    <row r="56" spans="1:7" ht="19.5" customHeight="1">
      <c r="A56" s="3120"/>
      <c r="B56" s="3090">
        <v>1</v>
      </c>
      <c r="C56" s="3090">
        <v>2</v>
      </c>
      <c r="D56" s="3090">
        <v>3</v>
      </c>
      <c r="E56" s="3121" t="s">
        <v>2646</v>
      </c>
      <c r="F56" s="3121" t="s">
        <v>2646</v>
      </c>
      <c r="G56" s="3121" t="s">
        <v>2646</v>
      </c>
    </row>
    <row r="57" spans="1:7" ht="19.5" customHeight="1">
      <c r="A57" s="3122" t="s">
        <v>2599</v>
      </c>
      <c r="B57" s="3090">
        <v>0.7</v>
      </c>
      <c r="C57" s="3090">
        <v>0.4</v>
      </c>
      <c r="D57" s="3090">
        <v>0.3</v>
      </c>
      <c r="E57" s="3121">
        <v>0.3</v>
      </c>
      <c r="F57" s="3090">
        <v>0.3</v>
      </c>
      <c r="G57" s="3090">
        <v>0.2</v>
      </c>
    </row>
    <row r="58" spans="1:7" ht="19.5" customHeight="1">
      <c r="A58" s="3122" t="s">
        <v>2600</v>
      </c>
      <c r="B58" s="3090">
        <v>0.7</v>
      </c>
      <c r="C58" s="3090">
        <v>0.4</v>
      </c>
      <c r="D58" s="3090">
        <v>0.3</v>
      </c>
      <c r="E58" s="3090">
        <v>0.3</v>
      </c>
      <c r="F58" s="3090">
        <v>0.3</v>
      </c>
      <c r="G58" s="3090">
        <v>0.2</v>
      </c>
    </row>
    <row r="59" spans="1:7" ht="19.5" customHeight="1">
      <c r="A59" s="3122" t="s">
        <v>2601</v>
      </c>
      <c r="B59" s="3090">
        <v>0.6</v>
      </c>
      <c r="C59" s="3090">
        <v>0.3</v>
      </c>
      <c r="D59" s="3090">
        <v>0.25</v>
      </c>
      <c r="E59" s="3090">
        <v>0.25</v>
      </c>
      <c r="F59" s="3090">
        <v>0.25</v>
      </c>
      <c r="G59" s="3090">
        <v>0.15</v>
      </c>
    </row>
    <row r="60" spans="1:7" ht="19.5" customHeight="1">
      <c r="A60" s="3122" t="s">
        <v>2602</v>
      </c>
      <c r="B60" s="3090">
        <v>0.6</v>
      </c>
      <c r="C60" s="3090">
        <v>0.3</v>
      </c>
      <c r="D60" s="3090">
        <v>0.25</v>
      </c>
      <c r="E60" s="3090">
        <v>0.25</v>
      </c>
      <c r="F60" s="3090">
        <v>0.25</v>
      </c>
      <c r="G60" s="3090">
        <v>0.15</v>
      </c>
    </row>
    <row r="61" spans="1:7" ht="19.5" customHeight="1">
      <c r="A61" s="3122" t="s">
        <v>2603</v>
      </c>
      <c r="B61" s="3090">
        <v>0.6</v>
      </c>
      <c r="C61" s="3090">
        <v>0.3</v>
      </c>
      <c r="D61" s="3090">
        <v>0.25</v>
      </c>
      <c r="E61" s="3090">
        <v>0.25</v>
      </c>
      <c r="F61" s="3090">
        <v>0.25</v>
      </c>
      <c r="G61" s="3090">
        <v>0.15</v>
      </c>
    </row>
    <row r="62" spans="1:7" ht="19.5" customHeight="1">
      <c r="A62" s="3122" t="s">
        <v>2604</v>
      </c>
      <c r="B62" s="3090">
        <v>0.6</v>
      </c>
      <c r="C62" s="3090">
        <v>0.3</v>
      </c>
      <c r="D62" s="3090">
        <v>0.25</v>
      </c>
      <c r="E62" s="3090">
        <v>0.25</v>
      </c>
      <c r="F62" s="3090">
        <v>0.25</v>
      </c>
      <c r="G62" s="3090">
        <v>0.15</v>
      </c>
    </row>
    <row r="63" spans="1:7" ht="19.5" customHeight="1">
      <c r="A63" s="3122" t="s">
        <v>2605</v>
      </c>
      <c r="B63" s="3090">
        <v>0.6</v>
      </c>
      <c r="C63" s="3090">
        <v>0.3</v>
      </c>
      <c r="D63" s="3090">
        <v>0.25</v>
      </c>
      <c r="E63" s="3090">
        <v>0.25</v>
      </c>
      <c r="F63" s="3090">
        <v>0.25</v>
      </c>
      <c r="G63" s="3090">
        <v>0.15</v>
      </c>
    </row>
    <row r="64" spans="1:7" ht="19.5" customHeight="1">
      <c r="A64" s="3122" t="s">
        <v>2606</v>
      </c>
      <c r="B64" s="3090">
        <v>0.5</v>
      </c>
      <c r="C64" s="3090">
        <v>0.2</v>
      </c>
      <c r="D64" s="3090">
        <v>0.2</v>
      </c>
      <c r="E64" s="3090">
        <v>0.2</v>
      </c>
      <c r="F64" s="3090">
        <v>0.2</v>
      </c>
      <c r="G64" s="3090">
        <v>0.1</v>
      </c>
    </row>
    <row r="65" spans="1:7" ht="19.5" customHeight="1">
      <c r="A65" s="3122" t="s">
        <v>2607</v>
      </c>
      <c r="B65" s="3090">
        <v>0.5</v>
      </c>
      <c r="C65" s="3090">
        <v>0.2</v>
      </c>
      <c r="D65" s="3090">
        <v>0.2</v>
      </c>
      <c r="E65" s="3090">
        <v>0.2</v>
      </c>
      <c r="F65" s="3090">
        <v>0.2</v>
      </c>
      <c r="G65" s="3090">
        <v>0.1</v>
      </c>
    </row>
    <row r="66" spans="1:7" ht="19.5" customHeight="1">
      <c r="A66" s="3122" t="s">
        <v>2608</v>
      </c>
      <c r="B66" s="3090">
        <v>0.5</v>
      </c>
      <c r="C66" s="3090">
        <v>0.2</v>
      </c>
      <c r="D66" s="3090">
        <v>0.2</v>
      </c>
      <c r="E66" s="3090">
        <v>0.2</v>
      </c>
      <c r="F66" s="3090">
        <v>0.2</v>
      </c>
      <c r="G66" s="3090">
        <v>0.1</v>
      </c>
    </row>
    <row r="67" spans="1:7" ht="19.5" customHeight="1">
      <c r="A67" s="3122" t="s">
        <v>2609</v>
      </c>
      <c r="B67" s="3090">
        <v>0.5</v>
      </c>
      <c r="C67" s="3090">
        <v>0.2</v>
      </c>
      <c r="D67" s="3090">
        <v>0.2</v>
      </c>
      <c r="E67" s="3090">
        <v>0.2</v>
      </c>
      <c r="F67" s="3090">
        <v>0.2</v>
      </c>
      <c r="G67" s="3090">
        <v>0.1</v>
      </c>
    </row>
    <row r="68" spans="1:7" ht="19.5" customHeight="1">
      <c r="A68" s="3122" t="s">
        <v>2610</v>
      </c>
      <c r="B68" s="3090">
        <v>0.5</v>
      </c>
      <c r="C68" s="3090">
        <v>0.2</v>
      </c>
      <c r="D68" s="3090">
        <v>0.2</v>
      </c>
      <c r="E68" s="3090">
        <v>0.2</v>
      </c>
      <c r="F68" s="3090">
        <v>0.2</v>
      </c>
      <c r="G68" s="3090">
        <v>0.1</v>
      </c>
    </row>
    <row r="70" spans="1:7" ht="19.5" customHeight="1">
      <c r="A70" s="3123"/>
      <c r="B70" s="3124"/>
      <c r="C70" s="3124"/>
      <c r="D70" s="3124" t="s">
        <v>2647</v>
      </c>
      <c r="E70" s="3124"/>
      <c r="F70" s="3124"/>
    </row>
    <row r="71" spans="1:7" ht="19.5" customHeight="1">
      <c r="A71" s="3116" t="s">
        <v>2648</v>
      </c>
      <c r="B71" s="3116" t="s">
        <v>2649</v>
      </c>
      <c r="C71" s="3116" t="s">
        <v>2650</v>
      </c>
      <c r="D71" s="3116" t="s">
        <v>2651</v>
      </c>
      <c r="E71" s="3116" t="s">
        <v>2652</v>
      </c>
      <c r="F71" s="3116" t="s">
        <v>2653</v>
      </c>
    </row>
    <row r="72" spans="1:7" ht="13.5">
      <c r="A72" s="3116"/>
      <c r="B72" s="3116"/>
      <c r="C72" s="3116" t="s">
        <v>2654</v>
      </c>
      <c r="D72" s="3116"/>
      <c r="E72" s="3116" t="s">
        <v>2625</v>
      </c>
      <c r="F72" s="3116" t="s">
        <v>2625</v>
      </c>
    </row>
    <row r="73" spans="1:7" ht="13.5">
      <c r="A73" s="3116">
        <v>1</v>
      </c>
      <c r="B73" s="3783" t="s">
        <v>2655</v>
      </c>
      <c r="C73" s="3090" t="s">
        <v>2656</v>
      </c>
      <c r="D73" s="3090" t="s">
        <v>2657</v>
      </c>
      <c r="E73" s="3116">
        <v>0.2</v>
      </c>
      <c r="F73" s="3116">
        <v>25</v>
      </c>
    </row>
    <row r="74" spans="1:7" ht="24">
      <c r="A74" s="3116">
        <v>2</v>
      </c>
      <c r="B74" s="3785"/>
      <c r="C74" s="3090" t="s">
        <v>2658</v>
      </c>
      <c r="D74" s="3090" t="s">
        <v>2659</v>
      </c>
      <c r="E74" s="3116">
        <v>0.2</v>
      </c>
      <c r="F74" s="3116">
        <v>25</v>
      </c>
    </row>
    <row r="75" spans="1:7" ht="24">
      <c r="A75" s="3116">
        <v>3</v>
      </c>
      <c r="B75" s="3785"/>
      <c r="C75" s="3090" t="s">
        <v>2660</v>
      </c>
      <c r="D75" s="3090" t="s">
        <v>2661</v>
      </c>
      <c r="E75" s="3116">
        <v>0.2</v>
      </c>
      <c r="F75" s="3116">
        <v>25</v>
      </c>
    </row>
    <row r="76" spans="1:7" ht="13.5">
      <c r="A76" s="3116">
        <v>4</v>
      </c>
      <c r="B76" s="3785"/>
      <c r="C76" s="3090" t="s">
        <v>2662</v>
      </c>
      <c r="D76" s="3090" t="s">
        <v>2663</v>
      </c>
      <c r="E76" s="3116">
        <v>0.15</v>
      </c>
      <c r="F76" s="3116">
        <v>20</v>
      </c>
    </row>
    <row r="77" spans="1:7" ht="24">
      <c r="A77" s="3116">
        <v>5</v>
      </c>
      <c r="B77" s="3785"/>
      <c r="C77" s="3090" t="s">
        <v>2664</v>
      </c>
      <c r="D77" s="3090" t="s">
        <v>2665</v>
      </c>
      <c r="E77" s="3116">
        <v>0.15</v>
      </c>
      <c r="F77" s="3116">
        <v>20</v>
      </c>
    </row>
    <row r="78" spans="1:7" ht="24">
      <c r="A78" s="3116">
        <v>6</v>
      </c>
      <c r="B78" s="3785"/>
      <c r="C78" s="3090" t="s">
        <v>2666</v>
      </c>
      <c r="D78" s="3090" t="s">
        <v>2667</v>
      </c>
      <c r="E78" s="3116">
        <v>0.15</v>
      </c>
      <c r="F78" s="3116">
        <v>20</v>
      </c>
    </row>
    <row r="79" spans="1:7" ht="24">
      <c r="A79" s="3116">
        <v>7</v>
      </c>
      <c r="B79" s="3785"/>
      <c r="C79" s="3090" t="s">
        <v>2668</v>
      </c>
      <c r="D79" s="3090" t="s">
        <v>2669</v>
      </c>
      <c r="E79" s="3116">
        <v>0.15</v>
      </c>
      <c r="F79" s="3116">
        <v>20</v>
      </c>
    </row>
    <row r="80" spans="1:7" ht="24">
      <c r="A80" s="3116">
        <v>8</v>
      </c>
      <c r="B80" s="3785"/>
      <c r="C80" s="3090" t="s">
        <v>2670</v>
      </c>
      <c r="D80" s="3090" t="s">
        <v>2671</v>
      </c>
      <c r="E80" s="3116">
        <v>0.1</v>
      </c>
      <c r="F80" s="3116">
        <v>15</v>
      </c>
    </row>
    <row r="81" spans="1:6" ht="24">
      <c r="A81" s="3116">
        <v>9</v>
      </c>
      <c r="B81" s="3785"/>
      <c r="C81" s="3090" t="s">
        <v>2672</v>
      </c>
      <c r="D81" s="3090" t="s">
        <v>2673</v>
      </c>
      <c r="E81" s="3116">
        <v>0.1</v>
      </c>
      <c r="F81" s="3116">
        <v>15</v>
      </c>
    </row>
    <row r="82" spans="1:6" ht="24">
      <c r="A82" s="3116">
        <v>10</v>
      </c>
      <c r="B82" s="3785"/>
      <c r="C82" s="3090" t="s">
        <v>2674</v>
      </c>
      <c r="D82" s="3090" t="s">
        <v>2675</v>
      </c>
      <c r="E82" s="3116">
        <v>0.1</v>
      </c>
      <c r="F82" s="3116">
        <v>15</v>
      </c>
    </row>
    <row r="83" spans="1:6" ht="24">
      <c r="A83" s="3116">
        <v>11</v>
      </c>
      <c r="B83" s="3785"/>
      <c r="C83" s="3090" t="s">
        <v>2676</v>
      </c>
      <c r="D83" s="3090" t="s">
        <v>2677</v>
      </c>
      <c r="E83" s="3116">
        <v>0.1</v>
      </c>
      <c r="F83" s="3116">
        <v>15</v>
      </c>
    </row>
    <row r="84" spans="1:6" ht="24">
      <c r="A84" s="3116">
        <v>12</v>
      </c>
      <c r="B84" s="3785"/>
      <c r="C84" s="3090" t="s">
        <v>2678</v>
      </c>
      <c r="D84" s="3090" t="s">
        <v>2679</v>
      </c>
      <c r="E84" s="3116">
        <v>0.1</v>
      </c>
      <c r="F84" s="3116">
        <v>15</v>
      </c>
    </row>
    <row r="85" spans="1:6" ht="13.5">
      <c r="A85" s="3116">
        <v>13</v>
      </c>
      <c r="B85" s="3785"/>
      <c r="C85" s="3090" t="s">
        <v>2680</v>
      </c>
      <c r="D85" s="3090" t="s">
        <v>2681</v>
      </c>
      <c r="E85" s="3116">
        <v>0.1</v>
      </c>
      <c r="F85" s="3116">
        <v>15</v>
      </c>
    </row>
    <row r="86" spans="1:6" ht="13.5">
      <c r="A86" s="3116">
        <v>14</v>
      </c>
      <c r="B86" s="3785"/>
      <c r="C86" s="3090" t="s">
        <v>2682</v>
      </c>
      <c r="D86" s="3090" t="s">
        <v>2683</v>
      </c>
      <c r="E86" s="3116">
        <v>0.1</v>
      </c>
      <c r="F86" s="3116">
        <v>15</v>
      </c>
    </row>
    <row r="87" spans="1:6" ht="13.5">
      <c r="A87" s="3116">
        <v>15</v>
      </c>
      <c r="B87" s="3785"/>
      <c r="C87" s="3090" t="s">
        <v>2684</v>
      </c>
      <c r="D87" s="3090" t="s">
        <v>2685</v>
      </c>
      <c r="E87" s="3116">
        <v>0.1</v>
      </c>
      <c r="F87" s="3116">
        <v>15</v>
      </c>
    </row>
    <row r="88" spans="1:6" ht="24">
      <c r="A88" s="3116">
        <v>16</v>
      </c>
      <c r="B88" s="3785"/>
      <c r="C88" s="3090" t="s">
        <v>2686</v>
      </c>
      <c r="D88" s="3090" t="s">
        <v>2687</v>
      </c>
      <c r="E88" s="3116">
        <v>0.1</v>
      </c>
      <c r="F88" s="3116">
        <v>15</v>
      </c>
    </row>
    <row r="89" spans="1:6" ht="24">
      <c r="A89" s="3116">
        <v>17</v>
      </c>
      <c r="B89" s="3784"/>
      <c r="C89" s="3090" t="s">
        <v>2688</v>
      </c>
      <c r="D89" s="3090" t="s">
        <v>2689</v>
      </c>
      <c r="E89" s="3116">
        <v>0.1</v>
      </c>
      <c r="F89" s="3116">
        <v>15</v>
      </c>
    </row>
    <row r="90" spans="1:6" ht="13.5">
      <c r="A90" s="3116">
        <v>18</v>
      </c>
      <c r="B90" s="3783" t="s">
        <v>2690</v>
      </c>
      <c r="C90" s="3090" t="s">
        <v>2691</v>
      </c>
      <c r="D90" s="3090" t="s">
        <v>2692</v>
      </c>
      <c r="E90" s="3116">
        <v>0.2</v>
      </c>
      <c r="F90" s="3116">
        <v>25</v>
      </c>
    </row>
    <row r="91" spans="1:6" ht="24">
      <c r="A91" s="3116">
        <v>19</v>
      </c>
      <c r="B91" s="3785"/>
      <c r="C91" s="3090" t="s">
        <v>2693</v>
      </c>
      <c r="D91" s="3090" t="s">
        <v>2694</v>
      </c>
      <c r="E91" s="3116">
        <v>0.2</v>
      </c>
      <c r="F91" s="3116">
        <v>25</v>
      </c>
    </row>
    <row r="92" spans="1:6" ht="13.5">
      <c r="A92" s="3116">
        <v>20</v>
      </c>
      <c r="B92" s="3785"/>
      <c r="C92" s="3090" t="s">
        <v>2695</v>
      </c>
      <c r="D92" s="3090" t="s">
        <v>2696</v>
      </c>
      <c r="E92" s="3116">
        <v>0.15</v>
      </c>
      <c r="F92" s="3116">
        <v>20</v>
      </c>
    </row>
    <row r="93" spans="1:6" ht="13.5">
      <c r="A93" s="3116">
        <v>21</v>
      </c>
      <c r="B93" s="3785"/>
      <c r="C93" s="3090" t="s">
        <v>2697</v>
      </c>
      <c r="D93" s="3090" t="s">
        <v>2698</v>
      </c>
      <c r="E93" s="3116">
        <v>0.15</v>
      </c>
      <c r="F93" s="3116">
        <v>20</v>
      </c>
    </row>
    <row r="94" spans="1:6" ht="13.5">
      <c r="A94" s="3116">
        <v>22</v>
      </c>
      <c r="B94" s="3785"/>
      <c r="C94" s="3090" t="s">
        <v>2699</v>
      </c>
      <c r="D94" s="3090" t="s">
        <v>2700</v>
      </c>
      <c r="E94" s="3116">
        <v>0.15</v>
      </c>
      <c r="F94" s="3116">
        <v>20</v>
      </c>
    </row>
    <row r="95" spans="1:6" ht="36">
      <c r="A95" s="3116">
        <v>23</v>
      </c>
      <c r="B95" s="3785"/>
      <c r="C95" s="3090" t="s">
        <v>2701</v>
      </c>
      <c r="D95" s="3090" t="s">
        <v>2702</v>
      </c>
      <c r="E95" s="3116">
        <v>0.15</v>
      </c>
      <c r="F95" s="3116">
        <v>20</v>
      </c>
    </row>
    <row r="96" spans="1:6" ht="13.5">
      <c r="A96" s="3116">
        <v>24</v>
      </c>
      <c r="B96" s="3785"/>
      <c r="C96" s="3090" t="s">
        <v>2703</v>
      </c>
      <c r="D96" s="3090" t="s">
        <v>2704</v>
      </c>
      <c r="E96" s="3116">
        <v>0.1</v>
      </c>
      <c r="F96" s="3116">
        <v>15</v>
      </c>
    </row>
    <row r="97" spans="1:6" ht="13.5">
      <c r="A97" s="3116">
        <v>25</v>
      </c>
      <c r="B97" s="3785"/>
      <c r="C97" s="3090" t="s">
        <v>2705</v>
      </c>
      <c r="D97" s="3090" t="s">
        <v>2706</v>
      </c>
      <c r="E97" s="3116">
        <v>0.1</v>
      </c>
      <c r="F97" s="3116">
        <v>15</v>
      </c>
    </row>
    <row r="98" spans="1:6" ht="24">
      <c r="A98" s="3116">
        <v>26</v>
      </c>
      <c r="B98" s="3785"/>
      <c r="C98" s="3090" t="s">
        <v>2707</v>
      </c>
      <c r="D98" s="3090" t="s">
        <v>2708</v>
      </c>
      <c r="E98" s="3116">
        <v>0.1</v>
      </c>
      <c r="F98" s="3116">
        <v>15</v>
      </c>
    </row>
    <row r="99" spans="1:6" ht="24">
      <c r="A99" s="3116">
        <v>27</v>
      </c>
      <c r="B99" s="3785"/>
      <c r="C99" s="3090" t="s">
        <v>2709</v>
      </c>
      <c r="D99" s="3090" t="s">
        <v>2710</v>
      </c>
      <c r="E99" s="3116">
        <v>0.1</v>
      </c>
      <c r="F99" s="3116">
        <v>15</v>
      </c>
    </row>
    <row r="100" spans="1:6" ht="13.5">
      <c r="A100" s="3116">
        <v>28</v>
      </c>
      <c r="B100" s="3785"/>
      <c r="C100" s="3090" t="s">
        <v>2711</v>
      </c>
      <c r="D100" s="3090" t="s">
        <v>2712</v>
      </c>
      <c r="E100" s="3116">
        <v>0.1</v>
      </c>
      <c r="F100" s="3116">
        <v>15</v>
      </c>
    </row>
    <row r="101" spans="1:6" ht="13.5">
      <c r="A101" s="3116">
        <v>29</v>
      </c>
      <c r="B101" s="3785"/>
      <c r="C101" s="3090" t="s">
        <v>2713</v>
      </c>
      <c r="D101" s="3090" t="s">
        <v>2714</v>
      </c>
      <c r="E101" s="3116">
        <v>0.1</v>
      </c>
      <c r="F101" s="3116">
        <v>15</v>
      </c>
    </row>
    <row r="102" spans="1:6" ht="13.5">
      <c r="A102" s="3116">
        <v>30</v>
      </c>
      <c r="B102" s="3785"/>
      <c r="C102" s="3090" t="s">
        <v>2715</v>
      </c>
      <c r="D102" s="3090" t="s">
        <v>2716</v>
      </c>
      <c r="E102" s="3116">
        <v>0.1</v>
      </c>
      <c r="F102" s="3116">
        <v>15</v>
      </c>
    </row>
    <row r="103" spans="1:6" ht="24">
      <c r="A103" s="3116">
        <v>31</v>
      </c>
      <c r="B103" s="3785"/>
      <c r="C103" s="3090" t="s">
        <v>2717</v>
      </c>
      <c r="D103" s="3090" t="s">
        <v>2718</v>
      </c>
      <c r="E103" s="3116">
        <v>0.1</v>
      </c>
      <c r="F103" s="3116">
        <v>15</v>
      </c>
    </row>
    <row r="104" spans="1:6" ht="24">
      <c r="A104" s="3116">
        <v>32</v>
      </c>
      <c r="B104" s="3785"/>
      <c r="C104" s="3090" t="s">
        <v>2719</v>
      </c>
      <c r="D104" s="3090" t="s">
        <v>2720</v>
      </c>
      <c r="E104" s="3116">
        <v>0.1</v>
      </c>
      <c r="F104" s="3116">
        <v>15</v>
      </c>
    </row>
    <row r="105" spans="1:6" ht="24">
      <c r="A105" s="3116">
        <v>33</v>
      </c>
      <c r="B105" s="3785"/>
      <c r="C105" s="3090" t="s">
        <v>2721</v>
      </c>
      <c r="D105" s="3090" t="s">
        <v>2722</v>
      </c>
      <c r="E105" s="3116">
        <v>0.1</v>
      </c>
      <c r="F105" s="3116">
        <v>15</v>
      </c>
    </row>
    <row r="106" spans="1:6" ht="24">
      <c r="A106" s="3116">
        <v>34</v>
      </c>
      <c r="B106" s="3784"/>
      <c r="C106" s="3090" t="s">
        <v>2723</v>
      </c>
      <c r="D106" s="3090" t="s">
        <v>2724</v>
      </c>
      <c r="E106" s="3116">
        <v>0.1</v>
      </c>
      <c r="F106" s="3116">
        <v>15</v>
      </c>
    </row>
    <row r="107" spans="1:6" ht="24">
      <c r="A107" s="3116">
        <v>35</v>
      </c>
      <c r="B107" s="3783" t="s">
        <v>2725</v>
      </c>
      <c r="C107" s="3116" t="s">
        <v>2726</v>
      </c>
      <c r="D107" s="3090" t="s">
        <v>2727</v>
      </c>
      <c r="E107" s="3116">
        <v>0.15</v>
      </c>
      <c r="F107" s="3116">
        <v>20</v>
      </c>
    </row>
    <row r="108" spans="1:6" ht="13.5">
      <c r="A108" s="3116">
        <v>36</v>
      </c>
      <c r="B108" s="3785"/>
      <c r="C108" s="3116" t="s">
        <v>2728</v>
      </c>
      <c r="D108" s="3090" t="s">
        <v>2729</v>
      </c>
      <c r="E108" s="3116">
        <v>0.15</v>
      </c>
      <c r="F108" s="3116">
        <v>20</v>
      </c>
    </row>
    <row r="109" spans="1:6" ht="13.5">
      <c r="A109" s="3116">
        <v>37</v>
      </c>
      <c r="B109" s="3785"/>
      <c r="C109" s="3116" t="s">
        <v>2730</v>
      </c>
      <c r="D109" s="3090" t="s">
        <v>2731</v>
      </c>
      <c r="E109" s="3116">
        <v>0.15</v>
      </c>
      <c r="F109" s="3116">
        <v>20</v>
      </c>
    </row>
    <row r="110" spans="1:6" ht="13.5">
      <c r="A110" s="3116">
        <v>38</v>
      </c>
      <c r="B110" s="3785"/>
      <c r="C110" s="3116" t="s">
        <v>2732</v>
      </c>
      <c r="D110" s="3090" t="s">
        <v>2733</v>
      </c>
      <c r="E110" s="3116">
        <v>0.1</v>
      </c>
      <c r="F110" s="3116">
        <v>15</v>
      </c>
    </row>
    <row r="111" spans="1:6" ht="24">
      <c r="A111" s="3116">
        <v>39</v>
      </c>
      <c r="B111" s="3785"/>
      <c r="C111" s="3116" t="s">
        <v>2734</v>
      </c>
      <c r="D111" s="3090" t="s">
        <v>2735</v>
      </c>
      <c r="E111" s="3116">
        <v>0.1</v>
      </c>
      <c r="F111" s="3116">
        <v>15</v>
      </c>
    </row>
    <row r="112" spans="1:6" ht="24">
      <c r="A112" s="3116">
        <v>40</v>
      </c>
      <c r="B112" s="3784"/>
      <c r="C112" s="3116" t="s">
        <v>2736</v>
      </c>
      <c r="D112" s="3090" t="s">
        <v>2737</v>
      </c>
      <c r="E112" s="3116">
        <v>0.1</v>
      </c>
      <c r="F112" s="3116">
        <v>15</v>
      </c>
    </row>
    <row r="113" spans="1:6" ht="13.5">
      <c r="A113" s="3116">
        <v>41</v>
      </c>
      <c r="B113" s="3782" t="s">
        <v>2738</v>
      </c>
      <c r="C113" s="3116" t="s">
        <v>2739</v>
      </c>
      <c r="D113" s="3090" t="s">
        <v>2740</v>
      </c>
      <c r="E113" s="3116">
        <v>0.1</v>
      </c>
      <c r="F113" s="3116">
        <v>15</v>
      </c>
    </row>
    <row r="114" spans="1:6" ht="13.5">
      <c r="A114" s="3116">
        <v>42</v>
      </c>
      <c r="B114" s="3782"/>
      <c r="C114" s="3116" t="s">
        <v>2741</v>
      </c>
      <c r="D114" s="3090" t="s">
        <v>2742</v>
      </c>
      <c r="E114" s="3116">
        <v>0.1</v>
      </c>
      <c r="F114" s="3116">
        <v>15</v>
      </c>
    </row>
    <row r="115" spans="1:6" ht="24">
      <c r="A115" s="3116">
        <v>43</v>
      </c>
      <c r="B115" s="3782"/>
      <c r="C115" s="3116" t="s">
        <v>2743</v>
      </c>
      <c r="D115" s="3090" t="s">
        <v>2744</v>
      </c>
      <c r="E115" s="3116">
        <v>0.1</v>
      </c>
      <c r="F115" s="3116">
        <v>15</v>
      </c>
    </row>
    <row r="116" spans="1:6" ht="13.5">
      <c r="A116" s="3116">
        <v>44</v>
      </c>
      <c r="B116" s="3783" t="s">
        <v>2745</v>
      </c>
      <c r="C116" s="3116" t="s">
        <v>2746</v>
      </c>
      <c r="D116" s="3090" t="s">
        <v>2747</v>
      </c>
      <c r="E116" s="3116">
        <v>0.1</v>
      </c>
      <c r="F116" s="3116">
        <v>15</v>
      </c>
    </row>
    <row r="117" spans="1:6" ht="24">
      <c r="A117" s="3116">
        <v>45</v>
      </c>
      <c r="B117" s="3784"/>
      <c r="C117" s="3090" t="s">
        <v>2748</v>
      </c>
      <c r="D117" s="3090" t="s">
        <v>2749</v>
      </c>
      <c r="E117" s="3116">
        <v>0.1</v>
      </c>
      <c r="F117" s="3116">
        <v>15</v>
      </c>
    </row>
    <row r="118" spans="1:6" ht="24">
      <c r="A118" s="3116">
        <v>46</v>
      </c>
      <c r="B118" s="3783" t="s">
        <v>2750</v>
      </c>
      <c r="C118" s="3116" t="s">
        <v>2751</v>
      </c>
      <c r="D118" s="3090" t="s">
        <v>2752</v>
      </c>
      <c r="E118" s="3116">
        <v>0.1</v>
      </c>
      <c r="F118" s="3116">
        <v>15</v>
      </c>
    </row>
    <row r="119" spans="1:6" ht="24">
      <c r="A119" s="3116">
        <v>47</v>
      </c>
      <c r="B119" s="3784"/>
      <c r="C119" s="3116" t="s">
        <v>2753</v>
      </c>
      <c r="D119" s="3090" t="s">
        <v>2754</v>
      </c>
      <c r="E119" s="3116">
        <v>0.1</v>
      </c>
      <c r="F119" s="3116">
        <v>15</v>
      </c>
    </row>
    <row r="120" spans="1:6" ht="13.5">
      <c r="A120" s="3116">
        <v>48</v>
      </c>
      <c r="B120" s="3783" t="s">
        <v>2755</v>
      </c>
      <c r="C120" s="3116" t="s">
        <v>2756</v>
      </c>
      <c r="D120" s="3090" t="s">
        <v>2757</v>
      </c>
      <c r="E120" s="3116">
        <v>0.1</v>
      </c>
      <c r="F120" s="3116">
        <v>15</v>
      </c>
    </row>
    <row r="121" spans="1:6" ht="13.5">
      <c r="A121" s="3116">
        <v>49</v>
      </c>
      <c r="B121" s="3784"/>
      <c r="C121" s="3116" t="s">
        <v>2758</v>
      </c>
      <c r="D121" s="3090" t="s">
        <v>2759</v>
      </c>
      <c r="E121" s="3116">
        <v>0.1</v>
      </c>
      <c r="F121" s="3116">
        <v>15</v>
      </c>
    </row>
    <row r="122" spans="1:6" ht="24">
      <c r="A122" s="3116">
        <v>50</v>
      </c>
      <c r="B122" s="3782" t="s">
        <v>2760</v>
      </c>
      <c r="C122" s="3116" t="s">
        <v>2761</v>
      </c>
      <c r="D122" s="3090" t="s">
        <v>2762</v>
      </c>
      <c r="E122" s="3116">
        <v>0.1</v>
      </c>
      <c r="F122" s="3116">
        <v>15</v>
      </c>
    </row>
    <row r="123" spans="1:6" ht="24">
      <c r="A123" s="3116">
        <v>51</v>
      </c>
      <c r="B123" s="3782"/>
      <c r="C123" s="3116" t="s">
        <v>2763</v>
      </c>
      <c r="D123" s="3090" t="s">
        <v>2764</v>
      </c>
      <c r="E123" s="3116">
        <v>0.1</v>
      </c>
      <c r="F123" s="3116">
        <v>15</v>
      </c>
    </row>
    <row r="124" spans="1:6" ht="24">
      <c r="A124" s="3116">
        <v>52</v>
      </c>
      <c r="B124" s="3782" t="s">
        <v>2765</v>
      </c>
      <c r="C124" s="3116" t="s">
        <v>2766</v>
      </c>
      <c r="D124" s="3090" t="s">
        <v>2767</v>
      </c>
      <c r="E124" s="3116">
        <v>0.1</v>
      </c>
      <c r="F124" s="3116">
        <v>15</v>
      </c>
    </row>
    <row r="125" spans="1:6" ht="24">
      <c r="A125" s="3116">
        <v>53</v>
      </c>
      <c r="B125" s="3782"/>
      <c r="C125" s="3116" t="s">
        <v>2768</v>
      </c>
      <c r="D125" s="3090" t="s">
        <v>2769</v>
      </c>
      <c r="E125" s="3116">
        <v>0.1</v>
      </c>
      <c r="F125" s="3116">
        <v>15</v>
      </c>
    </row>
    <row r="126" spans="1:6" ht="13.5">
      <c r="A126" s="3116">
        <v>54</v>
      </c>
      <c r="B126" s="3116" t="s">
        <v>2770</v>
      </c>
      <c r="C126" s="3116" t="s">
        <v>2771</v>
      </c>
      <c r="D126" s="3090" t="s">
        <v>2772</v>
      </c>
      <c r="E126" s="3116">
        <v>0.1</v>
      </c>
      <c r="F126" s="3116">
        <v>15</v>
      </c>
    </row>
    <row r="127" spans="1:6" ht="13.5">
      <c r="A127" s="3116">
        <v>55</v>
      </c>
      <c r="B127" s="3782" t="s">
        <v>2773</v>
      </c>
      <c r="C127" s="3116" t="s">
        <v>2774</v>
      </c>
      <c r="D127" s="3090" t="s">
        <v>2775</v>
      </c>
      <c r="E127" s="3116">
        <v>0.1</v>
      </c>
      <c r="F127" s="3116">
        <v>15</v>
      </c>
    </row>
    <row r="128" spans="1:6" ht="13.5">
      <c r="A128" s="3116">
        <v>56</v>
      </c>
      <c r="B128" s="3782"/>
      <c r="C128" s="3116" t="s">
        <v>2776</v>
      </c>
      <c r="D128" s="3090" t="s">
        <v>2777</v>
      </c>
      <c r="E128" s="3116">
        <v>0.1</v>
      </c>
      <c r="F128" s="3116">
        <v>15</v>
      </c>
    </row>
    <row r="129" spans="1:6" ht="24">
      <c r="A129" s="3116">
        <v>57</v>
      </c>
      <c r="B129" s="3782"/>
      <c r="C129" s="3116" t="s">
        <v>2778</v>
      </c>
      <c r="D129" s="3090" t="s">
        <v>2779</v>
      </c>
      <c r="E129" s="3116">
        <v>0.1</v>
      </c>
      <c r="F129" s="3116">
        <v>15</v>
      </c>
    </row>
    <row r="130" spans="1:6" ht="24">
      <c r="A130" s="3116">
        <v>58</v>
      </c>
      <c r="B130" s="3782" t="s">
        <v>2780</v>
      </c>
      <c r="C130" s="3116" t="s">
        <v>2781</v>
      </c>
      <c r="D130" s="3090" t="s">
        <v>2782</v>
      </c>
      <c r="E130" s="3116">
        <v>0.1</v>
      </c>
      <c r="F130" s="3116">
        <v>15</v>
      </c>
    </row>
    <row r="131" spans="1:6" ht="13.5">
      <c r="A131" s="3116">
        <v>59</v>
      </c>
      <c r="B131" s="3782"/>
      <c r="C131" s="3116" t="s">
        <v>2783</v>
      </c>
      <c r="D131" s="3090" t="s">
        <v>2784</v>
      </c>
      <c r="E131" s="3116">
        <v>0.1</v>
      </c>
      <c r="F131" s="3116">
        <v>15</v>
      </c>
    </row>
    <row r="132" spans="1:6" ht="13.5">
      <c r="A132" s="3116">
        <v>60</v>
      </c>
      <c r="B132" s="3783" t="s">
        <v>2785</v>
      </c>
      <c r="C132" s="3116" t="s">
        <v>2786</v>
      </c>
      <c r="D132" s="3090" t="s">
        <v>2787</v>
      </c>
      <c r="E132" s="3116">
        <v>0.1</v>
      </c>
      <c r="F132" s="3116">
        <v>15</v>
      </c>
    </row>
    <row r="133" spans="1:6" ht="13.5">
      <c r="A133" s="3116">
        <v>61</v>
      </c>
      <c r="B133" s="3784"/>
      <c r="C133" s="3116" t="s">
        <v>2788</v>
      </c>
      <c r="D133" s="3090" t="s">
        <v>2789</v>
      </c>
      <c r="E133" s="3116">
        <v>0.1</v>
      </c>
      <c r="F133" s="3116">
        <v>15</v>
      </c>
    </row>
    <row r="134" spans="1:6" ht="24">
      <c r="A134" s="3116">
        <v>62</v>
      </c>
      <c r="B134" s="3116" t="s">
        <v>2790</v>
      </c>
      <c r="C134" s="3116" t="s">
        <v>2791</v>
      </c>
      <c r="D134" s="3090" t="s">
        <v>2792</v>
      </c>
      <c r="E134" s="3116">
        <v>0.1</v>
      </c>
      <c r="F134" s="3116">
        <v>15</v>
      </c>
    </row>
    <row r="135" spans="1:6" ht="13.5">
      <c r="A135" s="3116">
        <v>63</v>
      </c>
      <c r="B135" s="3782" t="s">
        <v>2793</v>
      </c>
      <c r="C135" s="3116" t="s">
        <v>2794</v>
      </c>
      <c r="D135" s="3090" t="s">
        <v>2795</v>
      </c>
      <c r="E135" s="3116">
        <v>0.1</v>
      </c>
      <c r="F135" s="3116">
        <v>15</v>
      </c>
    </row>
    <row r="136" spans="1:6" ht="13.5">
      <c r="A136" s="3116">
        <v>64</v>
      </c>
      <c r="B136" s="3782"/>
      <c r="C136" s="3116" t="s">
        <v>2796</v>
      </c>
      <c r="D136" s="3090" t="s">
        <v>2797</v>
      </c>
      <c r="E136" s="3116">
        <v>0.1</v>
      </c>
      <c r="F136" s="3116">
        <v>15</v>
      </c>
    </row>
    <row r="137" spans="1:6" ht="13.5">
      <c r="A137" s="3116">
        <v>65</v>
      </c>
      <c r="B137" s="3116" t="s">
        <v>2798</v>
      </c>
      <c r="C137" s="3116" t="s">
        <v>2799</v>
      </c>
      <c r="D137" s="3090" t="s">
        <v>2800</v>
      </c>
      <c r="E137" s="3116">
        <v>0.1</v>
      </c>
      <c r="F137" s="3116">
        <v>15</v>
      </c>
    </row>
    <row r="138" spans="1:6" ht="13.5">
      <c r="A138" s="3116"/>
      <c r="B138" s="3116"/>
      <c r="C138" s="3116"/>
      <c r="D138" s="3116"/>
      <c r="E138" s="3116" t="s">
        <v>2801</v>
      </c>
      <c r="F138" s="3116"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9"/>
  </cols>
  <sheetData>
    <row r="1" spans="1:20" ht="15" thickBot="1">
      <c r="A1" s="3125" t="s">
        <v>2802</v>
      </c>
      <c r="B1" s="3125"/>
      <c r="C1" s="3125"/>
      <c r="D1" s="3125"/>
      <c r="E1" s="3125"/>
      <c r="F1" s="3125"/>
      <c r="G1" s="3125"/>
      <c r="H1" s="3125"/>
      <c r="I1" s="3125"/>
      <c r="J1" s="3125"/>
      <c r="K1" s="3125"/>
      <c r="L1" s="3125"/>
      <c r="M1" s="3125"/>
      <c r="N1" s="748"/>
    </row>
    <row r="2" spans="1:20">
      <c r="A2" s="3126" t="s">
        <v>2803</v>
      </c>
      <c r="B2" s="3127" t="s">
        <v>2599</v>
      </c>
      <c r="C2" s="3127" t="s">
        <v>2600</v>
      </c>
      <c r="D2" s="3127" t="s">
        <v>2601</v>
      </c>
      <c r="E2" s="3127" t="s">
        <v>2602</v>
      </c>
      <c r="F2" s="3127" t="s">
        <v>2603</v>
      </c>
      <c r="G2" s="3127" t="s">
        <v>2604</v>
      </c>
      <c r="H2" s="3128" t="s">
        <v>2605</v>
      </c>
      <c r="I2" s="3128" t="s">
        <v>2606</v>
      </c>
      <c r="J2" s="3129" t="s">
        <v>2607</v>
      </c>
      <c r="K2" s="3129" t="s">
        <v>2608</v>
      </c>
      <c r="L2" s="3129" t="s">
        <v>2609</v>
      </c>
      <c r="M2" s="3130" t="s">
        <v>2610</v>
      </c>
      <c r="Q2" s="3140" t="s">
        <v>2808</v>
      </c>
      <c r="R2" s="3140" t="s">
        <v>2809</v>
      </c>
      <c r="S2" s="3140" t="s">
        <v>2810</v>
      </c>
      <c r="T2" s="3140" t="s">
        <v>2811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0"/>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0"/>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0"/>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2804</v>
      </c>
      <c r="B93" s="3125"/>
      <c r="C93" s="3125"/>
      <c r="D93" s="3125"/>
      <c r="E93" s="3125"/>
      <c r="F93" s="3125"/>
      <c r="G93" s="3125"/>
      <c r="H93" s="3125"/>
      <c r="I93" s="3125"/>
      <c r="J93" s="3125"/>
      <c r="K93" s="3125"/>
      <c r="L93" s="3125"/>
      <c r="M93" s="3125"/>
    </row>
    <row r="94" spans="1:20">
      <c r="A94" s="3126" t="s">
        <v>2803</v>
      </c>
      <c r="B94" s="3127" t="s">
        <v>2599</v>
      </c>
      <c r="C94" s="3127" t="s">
        <v>2600</v>
      </c>
      <c r="D94" s="3127" t="s">
        <v>2601</v>
      </c>
      <c r="E94" s="3127" t="s">
        <v>2602</v>
      </c>
      <c r="F94" s="3127" t="s">
        <v>2603</v>
      </c>
      <c r="G94" s="3127" t="s">
        <v>2604</v>
      </c>
      <c r="H94" s="3128" t="s">
        <v>2605</v>
      </c>
      <c r="I94" s="3128" t="s">
        <v>2606</v>
      </c>
      <c r="J94" s="3129" t="s">
        <v>2607</v>
      </c>
      <c r="K94" s="3129" t="s">
        <v>2608</v>
      </c>
      <c r="L94" s="3129" t="s">
        <v>2609</v>
      </c>
      <c r="M94" s="3130" t="s">
        <v>2610</v>
      </c>
      <c r="N94" s="749" t="e">
        <f>SUMPRODUCT((A95:A184=ROUNDDOWN(基准地价修正!G3,1))*(B94:M94=基准地价修正!G2)*(B95:M184))</f>
        <v>#DIV/0!</v>
      </c>
      <c r="Q94" s="3140" t="s">
        <v>2808</v>
      </c>
      <c r="R94" s="3140" t="s">
        <v>2809</v>
      </c>
      <c r="S94" s="3140" t="s">
        <v>2810</v>
      </c>
      <c r="T94" s="3140" t="s">
        <v>2811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8"/>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8"/>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2805</v>
      </c>
      <c r="B185" s="3125"/>
      <c r="C185" s="3125"/>
      <c r="D185" s="3125"/>
      <c r="E185" s="3125"/>
      <c r="F185" s="3125"/>
      <c r="G185" s="3125"/>
      <c r="H185" s="3125"/>
      <c r="I185" s="3125"/>
      <c r="J185" s="3125"/>
      <c r="K185" s="3125"/>
      <c r="L185" s="3125"/>
      <c r="M185" s="3125"/>
    </row>
    <row r="186" spans="1:20">
      <c r="A186" s="3126" t="s">
        <v>2803</v>
      </c>
      <c r="B186" s="3127" t="s">
        <v>2599</v>
      </c>
      <c r="C186" s="3127" t="s">
        <v>2600</v>
      </c>
      <c r="D186" s="3127" t="s">
        <v>2601</v>
      </c>
      <c r="E186" s="3127" t="s">
        <v>2602</v>
      </c>
      <c r="F186" s="3127" t="s">
        <v>2603</v>
      </c>
      <c r="G186" s="3127" t="s">
        <v>2604</v>
      </c>
      <c r="H186" s="3128" t="s">
        <v>2605</v>
      </c>
      <c r="I186" s="3128" t="s">
        <v>2606</v>
      </c>
      <c r="J186" s="3129" t="s">
        <v>2607</v>
      </c>
      <c r="K186" s="3129" t="s">
        <v>2608</v>
      </c>
      <c r="L186" s="3129" t="s">
        <v>2609</v>
      </c>
      <c r="M186" s="3130" t="s">
        <v>2610</v>
      </c>
      <c r="Q186" s="3140" t="s">
        <v>2808</v>
      </c>
      <c r="R186" s="3140" t="s">
        <v>2809</v>
      </c>
      <c r="S186" s="3140" t="s">
        <v>2810</v>
      </c>
      <c r="T186" s="3140" t="s">
        <v>2811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2806</v>
      </c>
      <c r="B277" s="3125"/>
      <c r="C277" s="3125"/>
      <c r="D277" s="3125"/>
      <c r="E277" s="3125"/>
      <c r="F277" s="3125"/>
      <c r="G277" s="3125"/>
      <c r="H277" s="3125"/>
      <c r="I277" s="3125"/>
      <c r="J277" s="3125"/>
      <c r="K277" s="3125"/>
      <c r="L277" s="3125"/>
      <c r="M277" s="3125"/>
    </row>
    <row r="278" spans="1:21">
      <c r="A278" s="3126" t="s">
        <v>2803</v>
      </c>
      <c r="B278" s="3127" t="s">
        <v>2599</v>
      </c>
      <c r="C278" s="3127" t="s">
        <v>2600</v>
      </c>
      <c r="D278" s="3127" t="s">
        <v>2601</v>
      </c>
      <c r="E278" s="3127" t="s">
        <v>2602</v>
      </c>
      <c r="F278" s="3127" t="s">
        <v>2603</v>
      </c>
      <c r="G278" s="3127" t="s">
        <v>2604</v>
      </c>
      <c r="H278" s="3128" t="s">
        <v>2605</v>
      </c>
      <c r="I278" s="3128" t="s">
        <v>2606</v>
      </c>
      <c r="J278" s="3129" t="s">
        <v>2607</v>
      </c>
      <c r="K278" s="3129" t="s">
        <v>2608</v>
      </c>
      <c r="L278" s="3129" t="s">
        <v>2609</v>
      </c>
      <c r="M278" s="3130" t="s">
        <v>2610</v>
      </c>
      <c r="Q278" s="3140" t="s">
        <v>2808</v>
      </c>
      <c r="R278" s="3140" t="s">
        <v>2809</v>
      </c>
      <c r="S278" s="3140" t="s">
        <v>2812</v>
      </c>
      <c r="T278" s="3140" t="s">
        <v>2813</v>
      </c>
      <c r="U278" s="3140" t="s">
        <v>2811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2807</v>
      </c>
      <c r="B369" s="3138"/>
      <c r="C369" s="3138"/>
      <c r="D369" s="3138"/>
      <c r="E369" s="3138"/>
      <c r="F369" s="3138"/>
      <c r="G369" s="3138"/>
      <c r="H369" s="3138"/>
      <c r="I369" s="3138"/>
      <c r="J369" s="3138"/>
      <c r="K369" s="3138"/>
      <c r="L369" s="3138"/>
      <c r="M369" s="3138"/>
    </row>
    <row r="370" spans="1:20">
      <c r="A370" s="3126" t="s">
        <v>2803</v>
      </c>
      <c r="B370" s="3127" t="s">
        <v>2599</v>
      </c>
      <c r="C370" s="3127" t="s">
        <v>2600</v>
      </c>
      <c r="D370" s="3127" t="s">
        <v>2601</v>
      </c>
      <c r="E370" s="3127" t="s">
        <v>2602</v>
      </c>
      <c r="F370" s="3127" t="s">
        <v>2603</v>
      </c>
      <c r="G370" s="3127" t="s">
        <v>2604</v>
      </c>
      <c r="H370" s="3128" t="s">
        <v>2605</v>
      </c>
      <c r="I370" s="3128" t="s">
        <v>2606</v>
      </c>
      <c r="J370" s="3129" t="s">
        <v>2607</v>
      </c>
      <c r="K370" s="3129" t="s">
        <v>2608</v>
      </c>
      <c r="L370" s="3129" t="s">
        <v>2609</v>
      </c>
      <c r="M370" s="3130" t="s">
        <v>2610</v>
      </c>
      <c r="N370" s="749" t="e">
        <f>SUMPRODUCT((A371:A460=ROUNDDOWN(基准地价修正!G3,1))*(B370:M370=基准地价修正!G2)*(B371:M460))</f>
        <v>#DIV/0!</v>
      </c>
      <c r="Q370" s="3140" t="s">
        <v>2808</v>
      </c>
      <c r="R370" s="3140" t="s">
        <v>2809</v>
      </c>
      <c r="S370" s="3140" t="s">
        <v>2810</v>
      </c>
      <c r="T370" s="3140" t="s">
        <v>2811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29076</v>
      </c>
      <c r="C2" s="2" t="s">
        <v>106</v>
      </c>
      <c r="D2" s="199"/>
      <c r="E2" s="199"/>
      <c r="F2" s="199"/>
      <c r="G2" s="199"/>
    </row>
    <row r="3" spans="1:7" s="200" customFormat="1" ht="18" customHeight="1" thickBot="1">
      <c r="A3" s="203" t="s">
        <v>58</v>
      </c>
      <c r="B3" s="204">
        <f ca="1">ROUND(B2*10000/'数据-汇总表'!E3,0)</f>
        <v>925251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6</v>
      </c>
      <c r="D10" s="844">
        <f>'数据-汇总表'!E6</f>
        <v>314.25</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6</v>
      </c>
      <c r="D19" s="848">
        <f>'数据-汇总表'!E3</f>
        <v>314.25</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1461</v>
      </c>
      <c r="D22" s="235">
        <f ca="1">C26</f>
        <v>6.9999999999999999E-4</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4206</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4206</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28954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121</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110</v>
      </c>
      <c r="D34" s="217"/>
      <c r="E34" s="220"/>
      <c r="F34" s="257">
        <f>IF('数据-取费表'!B24=0,1,'数据-取费表'!N16)</f>
        <v>1</v>
      </c>
      <c r="G34" s="219" t="s">
        <v>89</v>
      </c>
    </row>
    <row r="35" spans="1:7" ht="13.5" customHeight="1">
      <c r="A35" s="779" t="s">
        <v>351</v>
      </c>
      <c r="B35" s="215" t="s">
        <v>33</v>
      </c>
      <c r="C35" s="220">
        <f>ROUND(C34*F35,0)</f>
        <v>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6</v>
      </c>
      <c r="D37" s="217">
        <f>'数据-汇总表'!E3</f>
        <v>314.25</v>
      </c>
      <c r="E37" s="249">
        <f>'数据-取费表'!B35</f>
        <v>200</v>
      </c>
      <c r="F37" s="259"/>
      <c r="G37" s="261" t="s">
        <v>92</v>
      </c>
    </row>
    <row r="38" spans="1:7" ht="13.5" customHeight="1">
      <c r="A38" s="779" t="s">
        <v>354</v>
      </c>
      <c r="B38" s="215" t="s">
        <v>36</v>
      </c>
      <c r="C38" s="220">
        <f>ROUND(C34*F38,0)</f>
        <v>2</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4</v>
      </c>
      <c r="D41" s="235">
        <f ca="1">C44</f>
        <v>6.9999999999999999E-4</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4</v>
      </c>
      <c r="D42" s="238"/>
      <c r="E42" s="238"/>
      <c r="F42" s="239"/>
      <c r="G42" s="3656" t="s">
        <v>94</v>
      </c>
    </row>
    <row r="43" spans="1:7" ht="13.5" customHeight="1">
      <c r="A43" s="779" t="s">
        <v>347</v>
      </c>
      <c r="B43" s="215" t="s">
        <v>426</v>
      </c>
      <c r="C43" s="238">
        <f ca="1">ROUND(IF('数据-取费表'!B22&lt;=1,C39*F22*'数据-取费表'!B21/2,C39*(POWER((1+F22),'数据-取费表'!B21/2)-1)),0)</f>
        <v>0</v>
      </c>
      <c r="D43" s="238"/>
      <c r="E43" s="238"/>
      <c r="F43" s="239"/>
      <c r="G43" s="3657"/>
    </row>
    <row r="44" spans="1:7" ht="13.5" customHeight="1">
      <c r="A44" s="779" t="s">
        <v>348</v>
      </c>
      <c r="B44" s="215" t="s">
        <v>428</v>
      </c>
      <c r="C44" s="238">
        <f ca="1">ROUND(IF('数据-取费表'!B22&lt;=1,C40*F22*'数据-取费表'!B21/2,C40*(POWER((1+F22),'数据-取费表'!B21/2)-1)),4)</f>
        <v>6.9999999999999999E-4</v>
      </c>
      <c r="D44" s="238"/>
      <c r="E44" s="238"/>
      <c r="F44" s="239"/>
      <c r="G44" s="3658"/>
    </row>
    <row r="45" spans="1:7" s="214" customFormat="1" ht="13.5" customHeight="1">
      <c r="A45" s="776" t="s">
        <v>341</v>
      </c>
      <c r="B45" s="244" t="s">
        <v>85</v>
      </c>
      <c r="C45" s="245">
        <f>C46</f>
        <v>25</v>
      </c>
      <c r="D45" s="235">
        <f>C47</f>
        <v>4.0000000000000001E-3</v>
      </c>
      <c r="E45" s="236" t="s">
        <v>102</v>
      </c>
      <c r="F45" s="246"/>
      <c r="G45" s="247" t="s">
        <v>434</v>
      </c>
    </row>
    <row r="46" spans="1:7" s="214" customFormat="1" ht="13.5" customHeight="1">
      <c r="A46" s="779" t="s">
        <v>349</v>
      </c>
      <c r="B46" s="248" t="s">
        <v>427</v>
      </c>
      <c r="C46" s="249">
        <f>ROUND((C33+C39)*F27,0)</f>
        <v>25</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165</v>
      </c>
      <c r="D49" s="232"/>
      <c r="E49" s="232"/>
      <c r="F49" s="264"/>
      <c r="G49" s="234" t="s">
        <v>435</v>
      </c>
    </row>
    <row r="50" spans="1:7" s="258" customFormat="1" ht="24">
      <c r="A50" s="776" t="s">
        <v>344</v>
      </c>
      <c r="B50" s="210" t="s">
        <v>97</v>
      </c>
      <c r="C50" s="232"/>
      <c r="D50" s="232"/>
      <c r="E50" s="232"/>
      <c r="F50" s="264">
        <f>IF('数据-取费表'!B24=0,'数据-取费表'!N16,1)</f>
        <v>0.74</v>
      </c>
      <c r="G50" s="247" t="s">
        <v>98</v>
      </c>
    </row>
    <row r="51" spans="1:7" ht="16.5" customHeight="1">
      <c r="A51" s="776" t="s">
        <v>345</v>
      </c>
      <c r="B51" s="210" t="s">
        <v>105</v>
      </c>
      <c r="C51" s="232">
        <f ca="1">ROUND(C49*F50,0)</f>
        <v>122</v>
      </c>
      <c r="D51" s="232"/>
      <c r="E51" s="232"/>
      <c r="F51" s="264"/>
      <c r="G51" s="234" t="s">
        <v>37</v>
      </c>
    </row>
    <row r="52" spans="1:7" s="208" customFormat="1" ht="16.5" thickBot="1">
      <c r="A52" s="265" t="s">
        <v>38</v>
      </c>
      <c r="B52" s="266"/>
      <c r="C52" s="267">
        <f ca="1">C31+C51</f>
        <v>29076</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D8:J15"/>
  <sheetViews>
    <sheetView workbookViewId="0">
      <selection activeCell="I9" sqref="I9"/>
    </sheetView>
  </sheetViews>
  <sheetFormatPr defaultRowHeight="13.5"/>
  <cols>
    <col min="3" max="3" width="14.375" customWidth="1"/>
    <col min="4" max="4" width="12.5" customWidth="1"/>
    <col min="5" max="5" width="11.375" customWidth="1"/>
    <col min="6" max="6" width="14.75" customWidth="1"/>
    <col min="9" max="9" width="19.25" customWidth="1"/>
  </cols>
  <sheetData>
    <row r="8" spans="4:10">
      <c r="G8" s="3457" t="s">
        <v>3473</v>
      </c>
      <c r="H8">
        <f>'数据-汇总表'!F19</f>
        <v>217.64</v>
      </c>
      <c r="I8">
        <v>8</v>
      </c>
    </row>
    <row r="9" spans="4:10">
      <c r="G9" s="3457" t="s">
        <v>3474</v>
      </c>
      <c r="H9">
        <f>'数据-汇总表'!G19</f>
        <v>96.61</v>
      </c>
      <c r="I9">
        <v>4.5</v>
      </c>
    </row>
    <row r="10" spans="4:10">
      <c r="H10">
        <f>SUM(H8:H9)</f>
        <v>314.25</v>
      </c>
      <c r="I10">
        <f>ROUND((I8*H8+I9*H9)/H10,2)</f>
        <v>6.92</v>
      </c>
    </row>
    <row r="11" spans="4:10">
      <c r="I11" s="3456"/>
    </row>
    <row r="12" spans="4:10">
      <c r="G12" s="3457" t="s">
        <v>3475</v>
      </c>
      <c r="H12">
        <v>139</v>
      </c>
      <c r="I12" s="3456">
        <v>500000</v>
      </c>
      <c r="J12">
        <f>I12/H12/365</f>
        <v>9.8551295949541728</v>
      </c>
    </row>
    <row r="13" spans="4:10">
      <c r="D13" s="3457"/>
      <c r="E13" s="3457"/>
      <c r="F13" s="3457"/>
      <c r="G13" s="3457" t="s">
        <v>3476</v>
      </c>
      <c r="H13">
        <v>70</v>
      </c>
      <c r="I13" s="3456">
        <v>340000</v>
      </c>
      <c r="J13">
        <f>I13/H13/365</f>
        <v>13.307240704500979</v>
      </c>
    </row>
    <row r="14" spans="4:10">
      <c r="H14">
        <f>SUM(H12:H13)</f>
        <v>209</v>
      </c>
      <c r="I14">
        <f>ROUND((I12+I13)/H14/365,2)</f>
        <v>11.01</v>
      </c>
    </row>
    <row r="15" spans="4:10">
      <c r="I15" s="3458"/>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96" t="s">
        <v>2843</v>
      </c>
      <c r="B1" s="3796"/>
      <c r="C1" s="3796"/>
      <c r="D1" s="3796"/>
      <c r="E1" s="3796"/>
      <c r="F1" s="3796"/>
      <c r="G1" s="3797"/>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94" t="s">
        <v>2870</v>
      </c>
      <c r="B3" s="3228"/>
      <c r="C3" s="3229" t="s">
        <v>2815</v>
      </c>
      <c r="D3" s="3229" t="s">
        <v>2871</v>
      </c>
      <c r="E3" s="3229" t="s">
        <v>2817</v>
      </c>
      <c r="F3" s="3229" t="s">
        <v>2872</v>
      </c>
      <c r="G3" s="3229" t="s">
        <v>2635</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95"/>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8" t="s">
        <v>3185</v>
      </c>
      <c r="B1" s="3798"/>
    </row>
    <row r="2" spans="1:7" ht="14.25" thickBot="1">
      <c r="A2" s="3253"/>
      <c r="B2" s="3253"/>
    </row>
    <row r="3" spans="1:7" ht="14.25" thickBot="1">
      <c r="A3" s="3253"/>
      <c r="B3" s="3253"/>
      <c r="C3" s="3254" t="s">
        <v>2815</v>
      </c>
      <c r="D3" s="3254" t="s">
        <v>2871</v>
      </c>
      <c r="E3" s="3254" t="s">
        <v>2817</v>
      </c>
      <c r="F3" s="3254" t="s">
        <v>2872</v>
      </c>
      <c r="G3" s="3254" t="s">
        <v>2635</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99" t="s">
        <v>3236</v>
      </c>
      <c r="B1" s="3799"/>
      <c r="C1" s="3799"/>
      <c r="D1" s="3799"/>
      <c r="E1" s="3799"/>
      <c r="F1" s="3800"/>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9">
        <f>基准地价修正!G23</f>
        <v>45435</v>
      </c>
      <c r="B1" s="3208" t="s">
        <v>3374</v>
      </c>
      <c r="C1" s="3209"/>
      <c r="D1" s="3209"/>
      <c r="E1" s="3209"/>
      <c r="F1" s="3209"/>
      <c r="G1" s="3209"/>
      <c r="H1" s="3209"/>
      <c r="I1" s="3209"/>
      <c r="J1" s="3163"/>
      <c r="K1" s="3209" t="s">
        <v>454</v>
      </c>
      <c r="L1" s="3209"/>
      <c r="M1" s="3209"/>
      <c r="N1" s="3209"/>
      <c r="O1" s="3209"/>
      <c r="P1" s="3209"/>
      <c r="Q1" s="3163"/>
      <c r="R1" s="3801" t="s">
        <v>456</v>
      </c>
      <c r="S1" s="3802"/>
      <c r="T1" s="3802"/>
      <c r="U1" s="3802"/>
      <c r="V1" s="3802"/>
      <c r="W1" s="3802"/>
      <c r="X1" s="3163"/>
      <c r="Y1" s="3801" t="s">
        <v>457</v>
      </c>
      <c r="Z1" s="3802"/>
      <c r="AA1" s="3802"/>
      <c r="AB1" s="3802"/>
      <c r="AC1" s="3802"/>
      <c r="AD1" s="3802"/>
    </row>
    <row r="2" spans="1:30" s="3141" customFormat="1" ht="14.25" thickBot="1">
      <c r="B2" s="3142"/>
      <c r="C2" s="3143"/>
      <c r="D2" s="3144" t="s">
        <v>2814</v>
      </c>
      <c r="E2" s="3145" t="s">
        <v>2815</v>
      </c>
      <c r="F2" s="3145" t="s">
        <v>2816</v>
      </c>
      <c r="G2" s="3145" t="s">
        <v>2817</v>
      </c>
      <c r="H2" s="3145" t="s">
        <v>2818</v>
      </c>
      <c r="I2" s="3145" t="s">
        <v>2635</v>
      </c>
      <c r="J2" s="3146"/>
      <c r="K2" s="3144" t="s">
        <v>2814</v>
      </c>
      <c r="L2" s="3145" t="s">
        <v>2815</v>
      </c>
      <c r="M2" s="3145" t="s">
        <v>2816</v>
      </c>
      <c r="N2" s="3145" t="s">
        <v>2817</v>
      </c>
      <c r="O2" s="3145" t="s">
        <v>2819</v>
      </c>
      <c r="P2" s="3145" t="s">
        <v>2635</v>
      </c>
      <c r="Q2" s="3146"/>
      <c r="R2" s="3144" t="s">
        <v>2814</v>
      </c>
      <c r="S2" s="3145" t="s">
        <v>2815</v>
      </c>
      <c r="T2" s="3145" t="s">
        <v>2816</v>
      </c>
      <c r="U2" s="3145" t="s">
        <v>2820</v>
      </c>
      <c r="V2" s="3145" t="s">
        <v>2821</v>
      </c>
      <c r="W2" s="3145" t="s">
        <v>2635</v>
      </c>
      <c r="X2" s="3146"/>
      <c r="Y2" s="3144" t="s">
        <v>2814</v>
      </c>
      <c r="Z2" s="3145" t="s">
        <v>2815</v>
      </c>
      <c r="AA2" s="3145" t="s">
        <v>2816</v>
      </c>
      <c r="AB2" s="3145" t="s">
        <v>2822</v>
      </c>
      <c r="AC2" s="3145" t="s">
        <v>2821</v>
      </c>
      <c r="AD2" s="3145" t="s">
        <v>2635</v>
      </c>
    </row>
    <row r="3" spans="1:30" s="3159" customFormat="1" ht="12.75">
      <c r="A3" s="3147" t="s">
        <v>2823</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4" t="s">
        <v>3377</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4" t="s">
        <v>3378</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2.75">
      <c r="A7" s="3184" t="s">
        <v>3380</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2.75">
      <c r="A8" s="3174" t="s">
        <v>3381</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2.75">
      <c r="A9" s="3174" t="s">
        <v>3373</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3372</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3371</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3367</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3358</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2824</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2825</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2826</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2827</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2828</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5" t="s">
        <v>3369</v>
      </c>
    </row>
    <row r="21" spans="1:30" s="3007" customFormat="1">
      <c r="I21" s="3206" t="s">
        <v>2829</v>
      </c>
    </row>
    <row r="22" spans="1:30" s="3007" customFormat="1"/>
    <row r="23" spans="1:30" s="3207" customFormat="1" ht="12.75">
      <c r="B23" s="3208" t="s">
        <v>3375</v>
      </c>
      <c r="C23" s="3209"/>
      <c r="D23" s="3209"/>
      <c r="E23" s="3209"/>
      <c r="F23" s="3209"/>
      <c r="G23" s="3209"/>
      <c r="H23" s="3209"/>
      <c r="I23" s="3209"/>
      <c r="J23" s="3163"/>
      <c r="K23" s="3209" t="s">
        <v>2830</v>
      </c>
      <c r="L23" s="3209"/>
      <c r="M23" s="3209"/>
      <c r="N23" s="3209"/>
      <c r="O23" s="3209"/>
      <c r="P23" s="3209"/>
      <c r="Q23" s="3163"/>
      <c r="R23" s="3801" t="s">
        <v>2831</v>
      </c>
      <c r="S23" s="3802"/>
      <c r="T23" s="3802"/>
      <c r="U23" s="3802"/>
      <c r="V23" s="3802"/>
      <c r="W23" s="3802"/>
      <c r="X23" s="3163"/>
      <c r="Y23" s="3801" t="s">
        <v>2832</v>
      </c>
      <c r="Z23" s="3802"/>
      <c r="AA23" s="3802"/>
      <c r="AB23" s="3802"/>
      <c r="AC23" s="3802"/>
      <c r="AD23" s="3802"/>
    </row>
    <row r="24" spans="1:30" s="3141" customFormat="1" ht="14.25" thickBot="1">
      <c r="B24" s="3142"/>
      <c r="C24" s="3143"/>
      <c r="D24" s="3144" t="s">
        <v>2833</v>
      </c>
      <c r="E24" s="3145" t="s">
        <v>2834</v>
      </c>
      <c r="F24" s="3145" t="s">
        <v>2835</v>
      </c>
      <c r="G24" s="3145" t="s">
        <v>2836</v>
      </c>
      <c r="H24" s="3145"/>
      <c r="I24" s="3145" t="s">
        <v>2837</v>
      </c>
      <c r="J24" s="3146"/>
      <c r="K24" s="3144" t="s">
        <v>2833</v>
      </c>
      <c r="L24" s="3145" t="s">
        <v>2834</v>
      </c>
      <c r="M24" s="3145" t="s">
        <v>2835</v>
      </c>
      <c r="N24" s="3145" t="s">
        <v>2836</v>
      </c>
      <c r="O24" s="3145"/>
      <c r="P24" s="3145" t="s">
        <v>2837</v>
      </c>
      <c r="Q24" s="3146"/>
      <c r="R24" s="3144" t="s">
        <v>2833</v>
      </c>
      <c r="S24" s="3145" t="s">
        <v>2834</v>
      </c>
      <c r="T24" s="3145" t="s">
        <v>2835</v>
      </c>
      <c r="U24" s="3145" t="s">
        <v>2836</v>
      </c>
      <c r="V24" s="3145"/>
      <c r="W24" s="3145" t="s">
        <v>2837</v>
      </c>
      <c r="X24" s="3146"/>
      <c r="Y24" s="3144" t="s">
        <v>2833</v>
      </c>
      <c r="Z24" s="3145" t="s">
        <v>2834</v>
      </c>
      <c r="AA24" s="3145" t="s">
        <v>2835</v>
      </c>
      <c r="AB24" s="3145" t="s">
        <v>2836</v>
      </c>
      <c r="AC24" s="3145"/>
      <c r="AD24" s="3145" t="s">
        <v>2837</v>
      </c>
    </row>
    <row r="25" spans="1:30" s="3159" customFormat="1" ht="12.75">
      <c r="A25" s="3147" t="s">
        <v>2838</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4" t="s">
        <v>3377</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4" t="s">
        <v>3378</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2.75">
      <c r="A29" s="3184" t="s">
        <v>3382</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2.75">
      <c r="A30" s="3174" t="s">
        <v>3381</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2.75">
      <c r="A31" s="3174" t="s">
        <v>3376</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3372</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3371</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3368</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3358</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2839</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2840</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2841</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2842</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2828</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5"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8" t="s">
        <v>452</v>
      </c>
      <c r="C1" s="3808"/>
      <c r="D1" s="3808"/>
      <c r="E1" s="3808"/>
      <c r="F1" s="3808"/>
      <c r="G1" s="3807" t="s">
        <v>453</v>
      </c>
      <c r="H1" s="3807"/>
      <c r="I1" s="3807"/>
      <c r="J1" s="3807"/>
      <c r="K1" s="3807"/>
      <c r="L1" s="3807"/>
      <c r="N1" s="3807" t="s">
        <v>454</v>
      </c>
      <c r="O1" s="3807"/>
      <c r="P1" s="3807"/>
      <c r="Q1" s="3807"/>
      <c r="S1" s="3807" t="s">
        <v>455</v>
      </c>
      <c r="T1" s="3807"/>
      <c r="U1" s="3807"/>
      <c r="V1" s="3807"/>
      <c r="X1" s="3806" t="s">
        <v>456</v>
      </c>
      <c r="Y1" s="3807"/>
      <c r="Z1" s="3807"/>
      <c r="AA1" s="3807"/>
      <c r="AB1" s="3807"/>
      <c r="AD1" s="3806" t="s">
        <v>457</v>
      </c>
      <c r="AE1" s="3807"/>
      <c r="AF1" s="3807"/>
      <c r="AG1" s="3807"/>
      <c r="AH1" s="380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3366</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3">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3363</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3">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3364</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3">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3365</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3">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3">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8">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7">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1">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0">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7">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4">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4"/>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4"/>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1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0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4"/>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4"/>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1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4"/>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4"/>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5"/>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03">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4"/>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4"/>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5"/>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03">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4"/>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4"/>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5"/>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1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1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1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1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03">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4"/>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4"/>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5"/>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03">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4">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4">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5">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03">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4">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4">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5">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03">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4">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4">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5">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03">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4">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4">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5">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03">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4">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4">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5">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03">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4">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4">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5">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03">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4">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4">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5">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03">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4">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4">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5">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03">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4">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4">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5">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03">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4">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4">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5">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45435</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9">
        <v>45159</v>
      </c>
      <c r="D13" s="2820">
        <v>3.45</v>
      </c>
      <c r="E13" s="2820">
        <f>D13</f>
        <v>3.45</v>
      </c>
      <c r="F13" s="2820">
        <f>D13</f>
        <v>3.45</v>
      </c>
      <c r="G13" s="2820">
        <f>D13</f>
        <v>3.45</v>
      </c>
      <c r="H13" s="2820">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4"/>
      <c r="C14" s="2816">
        <v>45097</v>
      </c>
      <c r="D14" s="2815">
        <v>3.55</v>
      </c>
      <c r="E14" s="2815">
        <f>D14</f>
        <v>3.55</v>
      </c>
      <c r="F14" s="2815">
        <f>D14</f>
        <v>3.55</v>
      </c>
      <c r="G14" s="2815">
        <f>D14</f>
        <v>3.55</v>
      </c>
      <c r="H14" s="2815">
        <v>4.2</v>
      </c>
      <c r="I14" s="2820"/>
      <c r="J14" s="2820"/>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4"/>
      <c r="C15" s="2816">
        <v>44795</v>
      </c>
      <c r="D15" s="2815">
        <v>3.65</v>
      </c>
      <c r="E15" s="2815">
        <v>3.65</v>
      </c>
      <c r="F15" s="2815">
        <v>3.65</v>
      </c>
      <c r="G15" s="2815">
        <v>3.65</v>
      </c>
      <c r="H15" s="2815">
        <v>4.3</v>
      </c>
      <c r="I15" s="2820"/>
      <c r="J15" s="2820"/>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4"/>
      <c r="C16" s="2816">
        <v>44701</v>
      </c>
      <c r="D16" s="2815">
        <v>3.7</v>
      </c>
      <c r="E16" s="2815">
        <f>D16</f>
        <v>3.7</v>
      </c>
      <c r="F16" s="2815">
        <f>D16</f>
        <v>3.7</v>
      </c>
      <c r="G16" s="2815">
        <f>D16</f>
        <v>3.7</v>
      </c>
      <c r="H16" s="2815">
        <v>4.45</v>
      </c>
      <c r="I16" s="2820"/>
      <c r="J16" s="2820"/>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4"/>
      <c r="C17" s="2816">
        <v>44581</v>
      </c>
      <c r="D17" s="2815">
        <v>3.7</v>
      </c>
      <c r="E17" s="2815">
        <f>D17</f>
        <v>3.7</v>
      </c>
      <c r="F17" s="2815">
        <f>D17</f>
        <v>3.7</v>
      </c>
      <c r="G17" s="2815">
        <f>D17</f>
        <v>3.7</v>
      </c>
      <c r="H17" s="2815">
        <v>4.5999999999999996</v>
      </c>
      <c r="I17" s="2820"/>
      <c r="J17" s="2820"/>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3"/>
      <c r="B19" s="2815"/>
      <c r="C19" s="2816">
        <v>43941</v>
      </c>
      <c r="D19" s="2815">
        <v>3.85</v>
      </c>
      <c r="E19" s="2815">
        <v>3.85</v>
      </c>
      <c r="F19" s="2815">
        <v>3.85</v>
      </c>
      <c r="G19" s="2815">
        <v>3.85</v>
      </c>
      <c r="H19" s="2815">
        <v>4.6500000000000004</v>
      </c>
      <c r="I19" s="2815"/>
      <c r="J19" s="2815"/>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5"/>
      <c r="C20" s="2816">
        <v>43881</v>
      </c>
      <c r="D20" s="2815">
        <v>4.05</v>
      </c>
      <c r="E20" s="2815">
        <v>4.05</v>
      </c>
      <c r="F20" s="2815">
        <v>4.05</v>
      </c>
      <c r="G20" s="2815">
        <v>4.05</v>
      </c>
      <c r="H20" s="2815">
        <v>4.75</v>
      </c>
      <c r="I20" s="2815"/>
      <c r="J20" s="2815"/>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5"/>
      <c r="C21" s="2816">
        <v>43789</v>
      </c>
      <c r="D21" s="2815">
        <v>4.1500000000000004</v>
      </c>
      <c r="E21" s="2815">
        <v>4.1500000000000004</v>
      </c>
      <c r="F21" s="2815">
        <v>4.1500000000000004</v>
      </c>
      <c r="G21" s="2815">
        <v>4.1500000000000004</v>
      </c>
      <c r="H21" s="2815">
        <v>4.8</v>
      </c>
      <c r="I21" s="2815"/>
      <c r="J21" s="2815"/>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5"/>
      <c r="C22" s="2816">
        <v>43728</v>
      </c>
      <c r="D22" s="2815">
        <v>4.2</v>
      </c>
      <c r="E22" s="2815">
        <v>4.2</v>
      </c>
      <c r="F22" s="2815">
        <v>4.2</v>
      </c>
      <c r="G22" s="2815">
        <v>4.2</v>
      </c>
      <c r="H22" s="2815">
        <v>4.8499999999999996</v>
      </c>
      <c r="I22" s="2815"/>
      <c r="J22" s="2815"/>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1"/>
      <c r="B23" s="2814" t="s">
        <v>2313</v>
      </c>
      <c r="C23" s="2817">
        <v>43697</v>
      </c>
      <c r="D23" s="2818">
        <v>4.25</v>
      </c>
      <c r="E23" s="2818">
        <v>4.25</v>
      </c>
      <c r="F23" s="2818">
        <v>4.25</v>
      </c>
      <c r="G23" s="2818">
        <v>4.25</v>
      </c>
      <c r="H23" s="2818">
        <v>4.8499999999999996</v>
      </c>
      <c r="I23" s="2818"/>
      <c r="J23" s="2818"/>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2"/>
      <c r="C24" s="2823">
        <v>42301</v>
      </c>
      <c r="D24" s="2824">
        <v>4.3499999999999996</v>
      </c>
      <c r="E24" s="2824">
        <v>4.3499999999999996</v>
      </c>
      <c r="F24" s="2824">
        <v>4.75</v>
      </c>
      <c r="G24" s="2824">
        <v>4.75</v>
      </c>
      <c r="H24" s="2824">
        <v>4.9000000000000004</v>
      </c>
      <c r="I24" s="2824"/>
      <c r="J24" s="2824"/>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成本法 (元)</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案例信息</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2024-05-27T06:43:11Z</dcterms:modified>
</cp:coreProperties>
</file>