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4.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130" yWindow="-165"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汇总" sheetId="79" state="hidden" r:id="rId17"/>
    <sheet name=" 结果表汇总" sheetId="84" r:id="rId18"/>
    <sheet name="结果表-住宅" sheetId="9" r:id="rId19"/>
    <sheet name="基准地价-住宅" sheetId="71" r:id="rId20"/>
    <sheet name="剩余法-住宅" sheetId="68" r:id="rId21"/>
    <sheet name="不动产比较法-住宅" sheetId="21" r:id="rId22"/>
    <sheet name="住宅案例" sheetId="77" r:id="rId23"/>
    <sheet name="结果表-商业" sheetId="82" r:id="rId24"/>
    <sheet name="基准地价-商业" sheetId="72" r:id="rId25"/>
    <sheet name="剩余法-商业" sheetId="69" r:id="rId26"/>
    <sheet name="不动产收益法商业" sheetId="89" r:id="rId27"/>
    <sheet name="租金商业" sheetId="33" r:id="rId28"/>
    <sheet name="商业案例" sheetId="85" r:id="rId29"/>
    <sheet name="结果表-办公" sheetId="83" r:id="rId30"/>
    <sheet name="基准地价-办公" sheetId="73" r:id="rId31"/>
    <sheet name="剩余法-办公" sheetId="70" r:id="rId32"/>
    <sheet name="收益还原法-住宅" sheetId="74" state="hidden" r:id="rId33"/>
    <sheet name="收益还原法-商业" sheetId="75" state="hidden" r:id="rId34"/>
    <sheet name="剩余法-待开发" sheetId="12" state="hidden" r:id="rId35"/>
    <sheet name="剩余法-现房" sheetId="43" state="hidden" r:id="rId36"/>
    <sheet name="比较法-住宅、综合" sheetId="39" state="hidden" r:id="rId37"/>
    <sheet name="比较法-工业" sheetId="40" state="hidden" r:id="rId38"/>
    <sheet name="基准地价" sheetId="46" state="hidden" r:id="rId39"/>
    <sheet name="修正" sheetId="49" state="hidden" r:id="rId40"/>
    <sheet name="区片价" sheetId="48" state="hidden" r:id="rId41"/>
    <sheet name="容积率修正" sheetId="45" state="hidden" r:id="rId42"/>
    <sheet name="因素修正幅度" sheetId="56" state="hidden" r:id="rId43"/>
    <sheet name="基准地价（汇总）" sheetId="67" state="hidden" r:id="rId44"/>
    <sheet name="收益还原法-办公" sheetId="76" state="hidden" r:id="rId45"/>
    <sheet name="收益还原法" sheetId="44" state="hidden" r:id="rId46"/>
    <sheet name="不动产收益法办公" sheetId="15" r:id="rId47"/>
    <sheet name="租金办公" sheetId="34" r:id="rId48"/>
    <sheet name="办公案例" sheetId="88" r:id="rId49"/>
    <sheet name="地价" sheetId="59" r:id="rId50"/>
    <sheet name="酒店收入计算" sheetId="57" state="hidden" r:id="rId51"/>
    <sheet name="成本逼近法" sheetId="11" state="hidden"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 name="Sheet1" sheetId="78" r:id="rId58"/>
  </sheets>
  <externalReferences>
    <externalReference r:id="rId59"/>
    <externalReference r:id="rId60"/>
  </externalReferences>
  <definedNames>
    <definedName name="_xlnm._FilterDatabase" localSheetId="37" hidden="1">'比较法-工业'!$A$1:$L$45</definedName>
    <definedName name="_xlnm._FilterDatabase" localSheetId="36" hidden="1">'比较法-住宅、综合'!$A$1:$L$50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21" hidden="1">'不动产比较法-住宅'!$A$1:$L$49</definedName>
    <definedName name="_xlnm._FilterDatabase" localSheetId="10" hidden="1">'数据-基础表'!$A$12:$AT$572</definedName>
    <definedName name="_xlnm._FilterDatabase" localSheetId="9" hidden="1">项目基本情况!$A$48:$N$48</definedName>
    <definedName name="_xlnm._FilterDatabase" localSheetId="47" hidden="1">租金办公!$A$1:$L$50</definedName>
    <definedName name="_xlnm._FilterDatabase" localSheetId="27" hidden="1">租金商业!$A$1:$L$49</definedName>
    <definedName name="八级">区片价!$P$1:$P$40</definedName>
    <definedName name="办公层高">租金办公!$B$119:$M$119</definedName>
    <definedName name="办公朝向">租金办公!$B$91:$M$91</definedName>
    <definedName name="办公道路级别">租金办公!$B$87:$M$87</definedName>
    <definedName name="办公公共部分装修">租金办公!$B$108:$M$108</definedName>
    <definedName name="办公基础设施水平">租金办公!$B$117:$M$117</definedName>
    <definedName name="办公集聚程度">定义!$M$1:$M$6</definedName>
    <definedName name="办公建筑结构">租金办公!$B$106:$M$106</definedName>
    <definedName name="办公建筑类型">租金办公!$B$101:$M$101</definedName>
    <definedName name="办公交易情况">租金办公!$A$62:$M$62</definedName>
    <definedName name="办公楼层">租金办公!$B$89:$M$89</definedName>
    <definedName name="办公内部装修">租金办公!$B$123:$M$123</definedName>
    <definedName name="办公物业管理">租金办公!$B$115:$M$115</definedName>
    <definedName name="办公用途">租金办公!$B$64:$M$64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'基准地价-办公'!$N$19:$AG$19</definedName>
    <definedName name="季度" localSheetId="24">'基准地价-商业'!$N$19:$AG$19</definedName>
    <definedName name="季度" localSheetId="19">'基准地价-住宅'!$N$19:$AG$19</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租金商业!$B$116:$M$116</definedName>
    <definedName name="商业成新度">租金商业!$B$109:$M$109</definedName>
    <definedName name="商业繁华度">定义!$L$1:$L$6</definedName>
    <definedName name="商业公共部分装修">租金商业!$B$107:$M$107</definedName>
    <definedName name="商业基础设施水平">租金商业!$B$112:$M$112</definedName>
    <definedName name="商业建筑结构">租金商业!$B$105:$M$105</definedName>
    <definedName name="商业交易情况">租金商业!$A$61:$M$61</definedName>
    <definedName name="商业街名称">修正!$C$59:$C$119</definedName>
    <definedName name="商业进深比">租金商业!$B$120:$M$120</definedName>
    <definedName name="商业类型">租金商业!$B$100:$M$100</definedName>
    <definedName name="商业临街状况">租金商业!$B$86:$M$86</definedName>
    <definedName name="商业楼层">租金商业!$B$92:$M$92</definedName>
    <definedName name="商业内部装修">租金商业!$B$122:$M$122</definedName>
    <definedName name="商业人流量">租金商业!$B$90:$M$90</definedName>
    <definedName name="商业业态">租金商业!$B$114:$M$114</definedName>
    <definedName name="商业用途">租金商业!$B$63:$M$63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租金办公!$B$113:$M$113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36" i="84" l="1"/>
  <c r="N37" i="84"/>
  <c r="N38" i="84"/>
  <c r="N39" i="84"/>
  <c r="N35" i="84"/>
  <c r="D5" i="84"/>
  <c r="D6" i="84"/>
  <c r="D8" i="84"/>
  <c r="D10" i="84"/>
  <c r="D3" i="84"/>
  <c r="D7" i="84"/>
  <c r="D9" i="84"/>
  <c r="D11" i="84"/>
  <c r="Q9" i="1"/>
  <c r="Q10" i="1"/>
  <c r="Q8" i="1"/>
  <c r="Q7" i="1"/>
  <c r="Q73" i="89"/>
  <c r="Q60" i="89"/>
  <c r="D60" i="89"/>
  <c r="Q59" i="89"/>
  <c r="K59" i="89"/>
  <c r="P75" i="89"/>
  <c r="Q52" i="89"/>
  <c r="J50" i="89"/>
  <c r="M47" i="89"/>
  <c r="F34" i="89"/>
  <c r="F61" i="89"/>
  <c r="F33" i="89"/>
  <c r="F60" i="89"/>
  <c r="F32" i="89"/>
  <c r="F59" i="89"/>
  <c r="F28" i="89"/>
  <c r="C28" i="89"/>
  <c r="F23" i="89"/>
  <c r="D24" i="89"/>
  <c r="D23" i="89"/>
  <c r="D22" i="89"/>
  <c r="F21" i="89"/>
  <c r="M20" i="89"/>
  <c r="F20" i="89"/>
  <c r="M19" i="89"/>
  <c r="M18" i="89"/>
  <c r="F18" i="89"/>
  <c r="F17" i="89"/>
  <c r="F15" i="89"/>
  <c r="G1" i="89"/>
  <c r="J51" i="89"/>
  <c r="P62" i="89"/>
  <c r="C5" i="83"/>
  <c r="C5" i="82"/>
  <c r="C25" i="84"/>
  <c r="C39" i="84"/>
  <c r="J39" i="84"/>
  <c r="C24" i="84"/>
  <c r="C38" i="84"/>
  <c r="J38" i="84"/>
  <c r="C23" i="84"/>
  <c r="C37" i="84"/>
  <c r="J37" i="84"/>
  <c r="C22" i="84"/>
  <c r="C36" i="84"/>
  <c r="J36" i="84"/>
  <c r="C21" i="84"/>
  <c r="F129" i="34"/>
  <c r="E129" i="34"/>
  <c r="D129" i="34"/>
  <c r="C129" i="34"/>
  <c r="C46" i="34"/>
  <c r="E128" i="21"/>
  <c r="D128" i="21"/>
  <c r="C128" i="21"/>
  <c r="F128" i="33"/>
  <c r="E128" i="33"/>
  <c r="D128" i="33"/>
  <c r="C128" i="33"/>
  <c r="C45" i="33"/>
  <c r="C45" i="21"/>
  <c r="I7" i="34"/>
  <c r="G7" i="34"/>
  <c r="E7" i="34"/>
  <c r="C26" i="84"/>
  <c r="C35" i="84"/>
  <c r="J35" i="84"/>
  <c r="I7" i="33"/>
  <c r="G7" i="33"/>
  <c r="E7" i="33"/>
  <c r="C112" i="83"/>
  <c r="D111" i="83"/>
  <c r="C109" i="83"/>
  <c r="E108" i="83"/>
  <c r="D107" i="83"/>
  <c r="C107" i="83"/>
  <c r="C105" i="83"/>
  <c r="D96" i="83"/>
  <c r="H95" i="83"/>
  <c r="D95" i="83"/>
  <c r="C95" i="83"/>
  <c r="C94" i="83"/>
  <c r="C92" i="83"/>
  <c r="D86" i="83"/>
  <c r="F77" i="83"/>
  <c r="E77" i="83"/>
  <c r="O76" i="83"/>
  <c r="N76" i="83"/>
  <c r="L76" i="83"/>
  <c r="K76" i="83"/>
  <c r="P75" i="83"/>
  <c r="O75" i="83"/>
  <c r="L75" i="83"/>
  <c r="K75" i="83"/>
  <c r="K77" i="83"/>
  <c r="K79" i="83"/>
  <c r="K81" i="83"/>
  <c r="O74" i="83"/>
  <c r="F74" i="83"/>
  <c r="P74" i="83"/>
  <c r="O73" i="83"/>
  <c r="N73" i="83"/>
  <c r="I73" i="83"/>
  <c r="F73" i="83"/>
  <c r="P73" i="83"/>
  <c r="D73" i="83"/>
  <c r="F72" i="83"/>
  <c r="F71" i="83"/>
  <c r="F70" i="83"/>
  <c r="N67" i="83"/>
  <c r="F66" i="83"/>
  <c r="P72" i="83"/>
  <c r="E66" i="83"/>
  <c r="O72" i="83"/>
  <c r="C46" i="83"/>
  <c r="E46" i="83"/>
  <c r="A46" i="83"/>
  <c r="A45" i="83"/>
  <c r="C45" i="83"/>
  <c r="K44" i="83"/>
  <c r="A44" i="83"/>
  <c r="C44" i="83"/>
  <c r="K43" i="83"/>
  <c r="C43" i="83"/>
  <c r="K47" i="83"/>
  <c r="K41" i="83"/>
  <c r="K40" i="83"/>
  <c r="K39" i="83"/>
  <c r="L38" i="83"/>
  <c r="K38" i="83"/>
  <c r="K30" i="83"/>
  <c r="K29" i="83"/>
  <c r="C25" i="83"/>
  <c r="C24" i="83"/>
  <c r="C17" i="83"/>
  <c r="C18" i="83"/>
  <c r="D5" i="83"/>
  <c r="D17" i="83"/>
  <c r="M4" i="83"/>
  <c r="L4" i="83"/>
  <c r="A2" i="83"/>
  <c r="C112" i="82"/>
  <c r="D111" i="82"/>
  <c r="C109" i="82"/>
  <c r="E108" i="82"/>
  <c r="D107" i="82"/>
  <c r="C107" i="82"/>
  <c r="C105" i="82"/>
  <c r="D96" i="82"/>
  <c r="H95" i="82"/>
  <c r="D95" i="82"/>
  <c r="C95" i="82"/>
  <c r="C94" i="82"/>
  <c r="D86" i="82"/>
  <c r="F77" i="82"/>
  <c r="E77" i="82"/>
  <c r="O76" i="82"/>
  <c r="N76" i="82"/>
  <c r="L76" i="82"/>
  <c r="K76" i="82"/>
  <c r="P75" i="82"/>
  <c r="O75" i="82"/>
  <c r="L75" i="82"/>
  <c r="K75" i="82"/>
  <c r="K77" i="82"/>
  <c r="K79" i="82"/>
  <c r="K81" i="82"/>
  <c r="O74" i="82"/>
  <c r="F74" i="82"/>
  <c r="P74" i="82"/>
  <c r="O73" i="82"/>
  <c r="N73" i="82"/>
  <c r="I73" i="82"/>
  <c r="F73" i="82"/>
  <c r="P73" i="82"/>
  <c r="D73" i="82"/>
  <c r="F72" i="82"/>
  <c r="F71" i="82"/>
  <c r="F70" i="82"/>
  <c r="N67" i="82"/>
  <c r="F66" i="82"/>
  <c r="P72" i="82"/>
  <c r="E66" i="82"/>
  <c r="O72" i="82"/>
  <c r="E46" i="82"/>
  <c r="C46" i="82"/>
  <c r="A46" i="82"/>
  <c r="D45" i="82"/>
  <c r="A45" i="82"/>
  <c r="C45" i="82"/>
  <c r="K44" i="82"/>
  <c r="A44" i="82"/>
  <c r="C44" i="82"/>
  <c r="D44" i="82"/>
  <c r="K43" i="82"/>
  <c r="C43" i="82"/>
  <c r="K47" i="82"/>
  <c r="K41" i="82"/>
  <c r="K40" i="82"/>
  <c r="L38" i="82"/>
  <c r="K38" i="82"/>
  <c r="K30" i="82"/>
  <c r="K29" i="82"/>
  <c r="C25" i="82"/>
  <c r="C24" i="82"/>
  <c r="C17" i="82"/>
  <c r="D5" i="82"/>
  <c r="D17" i="82"/>
  <c r="M4" i="82"/>
  <c r="L4" i="82"/>
  <c r="A2" i="82"/>
  <c r="G59" i="73"/>
  <c r="G60" i="73"/>
  <c r="G61" i="73"/>
  <c r="G62" i="73"/>
  <c r="G63" i="73"/>
  <c r="G64" i="73"/>
  <c r="G65" i="73"/>
  <c r="G66" i="73"/>
  <c r="G58" i="73"/>
  <c r="F1" i="73"/>
  <c r="D29" i="73"/>
  <c r="G48" i="72"/>
  <c r="G49" i="72"/>
  <c r="G50" i="72"/>
  <c r="G51" i="72"/>
  <c r="G52" i="72"/>
  <c r="G53" i="72"/>
  <c r="G54" i="72"/>
  <c r="G55" i="72"/>
  <c r="G47" i="72"/>
  <c r="F1" i="72"/>
  <c r="D29" i="72"/>
  <c r="F1" i="71"/>
  <c r="D29" i="71"/>
  <c r="F21" i="6"/>
  <c r="F20" i="6"/>
  <c r="F19" i="6"/>
  <c r="G24" i="6"/>
  <c r="G23" i="6"/>
  <c r="G22" i="6"/>
  <c r="S18" i="3"/>
  <c r="M43" i="83"/>
  <c r="D18" i="83"/>
  <c r="F44" i="83"/>
  <c r="D44" i="83"/>
  <c r="N69" i="83"/>
  <c r="E44" i="83"/>
  <c r="O39" i="83"/>
  <c r="F45" i="83"/>
  <c r="D45" i="83"/>
  <c r="E45" i="83"/>
  <c r="O40" i="83"/>
  <c r="K31" i="83"/>
  <c r="K32" i="83"/>
  <c r="C110" i="83"/>
  <c r="K33" i="83"/>
  <c r="O41" i="83"/>
  <c r="D46" i="83"/>
  <c r="F46" i="83"/>
  <c r="C18" i="82"/>
  <c r="K39" i="82"/>
  <c r="E45" i="82"/>
  <c r="O40" i="82"/>
  <c r="K31" i="82"/>
  <c r="K32" i="82"/>
  <c r="F45" i="82"/>
  <c r="F46" i="82"/>
  <c r="D46" i="82"/>
  <c r="O41" i="82"/>
  <c r="K33" i="82"/>
  <c r="C92" i="82"/>
  <c r="C110" i="82"/>
  <c r="N69" i="82"/>
  <c r="E44" i="82"/>
  <c r="O39" i="82"/>
  <c r="F44" i="82"/>
  <c r="K7" i="79"/>
  <c r="K6" i="79"/>
  <c r="M44" i="83"/>
  <c r="M43" i="82"/>
  <c r="D18" i="82"/>
  <c r="K34" i="83"/>
  <c r="M84" i="83"/>
  <c r="N84" i="83"/>
  <c r="M83" i="83"/>
  <c r="N83" i="83"/>
  <c r="N89" i="83"/>
  <c r="O89" i="83"/>
  <c r="M88" i="83"/>
  <c r="N88" i="83"/>
  <c r="M87" i="83"/>
  <c r="N87" i="83"/>
  <c r="M86" i="83"/>
  <c r="N86" i="83"/>
  <c r="M85" i="83"/>
  <c r="N85" i="83"/>
  <c r="M88" i="82"/>
  <c r="N88" i="82"/>
  <c r="M87" i="82"/>
  <c r="N87" i="82"/>
  <c r="M86" i="82"/>
  <c r="N86" i="82"/>
  <c r="M85" i="82"/>
  <c r="N85" i="82"/>
  <c r="M84" i="82"/>
  <c r="N84" i="82"/>
  <c r="M83" i="82"/>
  <c r="N83" i="82"/>
  <c r="N89" i="82"/>
  <c r="O89" i="82"/>
  <c r="K34" i="82"/>
  <c r="K5" i="79"/>
  <c r="M44" i="82"/>
  <c r="K12" i="79"/>
  <c r="K11" i="79"/>
  <c r="K10" i="79"/>
  <c r="AB5" i="59"/>
  <c r="AA5" i="59"/>
  <c r="Y5" i="59"/>
  <c r="X5" i="59"/>
  <c r="D5" i="9"/>
  <c r="J53" i="74"/>
  <c r="Q74" i="76"/>
  <c r="Q61" i="76"/>
  <c r="Q60" i="76"/>
  <c r="Q53" i="76"/>
  <c r="J51" i="76"/>
  <c r="M48" i="76"/>
  <c r="F35" i="76"/>
  <c r="F25" i="76"/>
  <c r="D26" i="76"/>
  <c r="D24" i="76"/>
  <c r="F23" i="76"/>
  <c r="F22" i="76"/>
  <c r="M21" i="76"/>
  <c r="F20" i="76"/>
  <c r="F19" i="76"/>
  <c r="F17" i="76"/>
  <c r="Q74" i="75"/>
  <c r="Q61" i="75"/>
  <c r="Q60" i="75"/>
  <c r="Q53" i="75"/>
  <c r="J51" i="75"/>
  <c r="M48" i="75"/>
  <c r="F35" i="75"/>
  <c r="F25" i="75"/>
  <c r="D26" i="75"/>
  <c r="F23" i="75"/>
  <c r="F22" i="75"/>
  <c r="M21" i="75"/>
  <c r="F20" i="75"/>
  <c r="F19" i="75"/>
  <c r="F17" i="75"/>
  <c r="Q74" i="74"/>
  <c r="Q61" i="74"/>
  <c r="Q60" i="74"/>
  <c r="Q53" i="74"/>
  <c r="J51" i="74"/>
  <c r="M48" i="74"/>
  <c r="F35" i="74"/>
  <c r="F25" i="74"/>
  <c r="D26" i="74"/>
  <c r="F23" i="74"/>
  <c r="F22" i="74"/>
  <c r="M21" i="74"/>
  <c r="F20" i="74"/>
  <c r="F19" i="74"/>
  <c r="F17" i="74"/>
  <c r="F113" i="73"/>
  <c r="L108" i="73"/>
  <c r="H108" i="73"/>
  <c r="D108" i="73"/>
  <c r="L100" i="73"/>
  <c r="H100" i="73"/>
  <c r="D100" i="73"/>
  <c r="N99" i="73"/>
  <c r="N108" i="73"/>
  <c r="M99" i="73"/>
  <c r="L99" i="73"/>
  <c r="K99" i="73"/>
  <c r="J99" i="73"/>
  <c r="J108" i="73"/>
  <c r="I99" i="73"/>
  <c r="H99" i="73"/>
  <c r="G99" i="73"/>
  <c r="F99" i="73"/>
  <c r="F108" i="73"/>
  <c r="E99" i="73"/>
  <c r="D99" i="73"/>
  <c r="C99" i="73"/>
  <c r="M87" i="73"/>
  <c r="N87" i="73"/>
  <c r="K87" i="73"/>
  <c r="J87" i="73"/>
  <c r="D87" i="73"/>
  <c r="B87" i="73"/>
  <c r="N86" i="73"/>
  <c r="M86" i="73"/>
  <c r="K86" i="73"/>
  <c r="J86" i="73"/>
  <c r="D86" i="73"/>
  <c r="N85" i="73"/>
  <c r="M85" i="73"/>
  <c r="K85" i="73"/>
  <c r="J85" i="73"/>
  <c r="D85" i="73"/>
  <c r="B85" i="73"/>
  <c r="N84" i="73"/>
  <c r="M84" i="73"/>
  <c r="K84" i="73"/>
  <c r="J84" i="73"/>
  <c r="D84" i="73"/>
  <c r="B84" i="73"/>
  <c r="M83" i="73"/>
  <c r="N83" i="73"/>
  <c r="K83" i="73"/>
  <c r="J83" i="73"/>
  <c r="D83" i="73"/>
  <c r="B83" i="73"/>
  <c r="N82" i="73"/>
  <c r="M82" i="73"/>
  <c r="K82" i="73"/>
  <c r="J82" i="73"/>
  <c r="D82" i="73"/>
  <c r="B82" i="73"/>
  <c r="M81" i="73"/>
  <c r="N81" i="73"/>
  <c r="K81" i="73"/>
  <c r="J81" i="73"/>
  <c r="D81" i="73"/>
  <c r="B81" i="73"/>
  <c r="N80" i="73"/>
  <c r="M80" i="73"/>
  <c r="K80" i="73"/>
  <c r="J80" i="73"/>
  <c r="F80" i="73"/>
  <c r="H86" i="73"/>
  <c r="D80" i="73"/>
  <c r="E80" i="73"/>
  <c r="B78" i="73"/>
  <c r="B80" i="73"/>
  <c r="M77" i="73"/>
  <c r="N77" i="73"/>
  <c r="K77" i="73"/>
  <c r="J77" i="73"/>
  <c r="D77" i="73"/>
  <c r="M76" i="73"/>
  <c r="N76" i="73"/>
  <c r="K76" i="73"/>
  <c r="J76" i="73"/>
  <c r="D76" i="73"/>
  <c r="B76" i="73"/>
  <c r="N75" i="73"/>
  <c r="M75" i="73"/>
  <c r="K75" i="73"/>
  <c r="J75" i="73"/>
  <c r="D75" i="73"/>
  <c r="M74" i="73"/>
  <c r="N74" i="73"/>
  <c r="K74" i="73"/>
  <c r="J74" i="73"/>
  <c r="D74" i="73"/>
  <c r="B74" i="73"/>
  <c r="M73" i="73"/>
  <c r="N73" i="73"/>
  <c r="K73" i="73"/>
  <c r="J73" i="73"/>
  <c r="D73" i="73"/>
  <c r="B73" i="73"/>
  <c r="M72" i="73"/>
  <c r="N72" i="73"/>
  <c r="K72" i="73"/>
  <c r="J72" i="73"/>
  <c r="D72" i="73"/>
  <c r="B72" i="73"/>
  <c r="M71" i="73"/>
  <c r="N71" i="73"/>
  <c r="K71" i="73"/>
  <c r="J71" i="73"/>
  <c r="D71" i="73"/>
  <c r="B71" i="73"/>
  <c r="M70" i="73"/>
  <c r="N70" i="73"/>
  <c r="K70" i="73"/>
  <c r="J70" i="73"/>
  <c r="D70" i="73"/>
  <c r="B70" i="73"/>
  <c r="M69" i="73"/>
  <c r="N69" i="73"/>
  <c r="K69" i="73"/>
  <c r="J69" i="73"/>
  <c r="F69" i="73"/>
  <c r="H75" i="73"/>
  <c r="D69" i="73"/>
  <c r="E69" i="73"/>
  <c r="B67" i="73"/>
  <c r="B69" i="73"/>
  <c r="M66" i="73"/>
  <c r="N66" i="73"/>
  <c r="K66" i="73"/>
  <c r="J66" i="73"/>
  <c r="D66" i="73"/>
  <c r="B66" i="73"/>
  <c r="N65" i="73"/>
  <c r="M65" i="73"/>
  <c r="K65" i="73"/>
  <c r="J65" i="73"/>
  <c r="D65" i="73"/>
  <c r="B65" i="73"/>
  <c r="M64" i="73"/>
  <c r="N64" i="73"/>
  <c r="K64" i="73"/>
  <c r="J64" i="73"/>
  <c r="D64" i="73"/>
  <c r="B64" i="73"/>
  <c r="N63" i="73"/>
  <c r="M63" i="73"/>
  <c r="K63" i="73"/>
  <c r="J63" i="73"/>
  <c r="D63" i="73"/>
  <c r="N62" i="73"/>
  <c r="M62" i="73"/>
  <c r="K62" i="73"/>
  <c r="J62" i="73"/>
  <c r="D62" i="73"/>
  <c r="B62" i="73"/>
  <c r="M61" i="73"/>
  <c r="N61" i="73"/>
  <c r="K61" i="73"/>
  <c r="J61" i="73"/>
  <c r="D61" i="73"/>
  <c r="M60" i="73"/>
  <c r="N60" i="73"/>
  <c r="K60" i="73"/>
  <c r="J60" i="73"/>
  <c r="D60" i="73"/>
  <c r="B60" i="73"/>
  <c r="N59" i="73"/>
  <c r="M59" i="73"/>
  <c r="K59" i="73"/>
  <c r="J59" i="73"/>
  <c r="D59" i="73"/>
  <c r="B59" i="73"/>
  <c r="M58" i="73"/>
  <c r="N58" i="73"/>
  <c r="K58" i="73"/>
  <c r="J58" i="73"/>
  <c r="D58" i="73"/>
  <c r="B58" i="73"/>
  <c r="M55" i="73"/>
  <c r="N55" i="73"/>
  <c r="K55" i="73"/>
  <c r="J55" i="73"/>
  <c r="D55" i="73"/>
  <c r="B55" i="73"/>
  <c r="N54" i="73"/>
  <c r="M54" i="73"/>
  <c r="K54" i="73"/>
  <c r="J54" i="73"/>
  <c r="D54" i="73"/>
  <c r="B54" i="73"/>
  <c r="M53" i="73"/>
  <c r="N53" i="73"/>
  <c r="K53" i="73"/>
  <c r="J53" i="73"/>
  <c r="D53" i="73"/>
  <c r="B53" i="73"/>
  <c r="N52" i="73"/>
  <c r="M52" i="73"/>
  <c r="K52" i="73"/>
  <c r="J52" i="73"/>
  <c r="D52" i="73"/>
  <c r="N51" i="73"/>
  <c r="M51" i="73"/>
  <c r="K51" i="73"/>
  <c r="J51" i="73"/>
  <c r="D51" i="73"/>
  <c r="B51" i="73"/>
  <c r="M50" i="73"/>
  <c r="N50" i="73"/>
  <c r="K50" i="73"/>
  <c r="J50" i="73"/>
  <c r="D50" i="73"/>
  <c r="M49" i="73"/>
  <c r="N49" i="73"/>
  <c r="K49" i="73"/>
  <c r="J49" i="73"/>
  <c r="D49" i="73"/>
  <c r="B49" i="73"/>
  <c r="N48" i="73"/>
  <c r="M48" i="73"/>
  <c r="K48" i="73"/>
  <c r="J48" i="73"/>
  <c r="D48" i="73"/>
  <c r="B48" i="73"/>
  <c r="M47" i="73"/>
  <c r="N47" i="73"/>
  <c r="K47" i="73"/>
  <c r="J47" i="73"/>
  <c r="F47" i="73"/>
  <c r="H54" i="73"/>
  <c r="D47" i="73"/>
  <c r="E47" i="73"/>
  <c r="B45" i="73"/>
  <c r="B47" i="73"/>
  <c r="H39" i="73"/>
  <c r="H38" i="73"/>
  <c r="H37" i="73"/>
  <c r="H36" i="73"/>
  <c r="H35" i="73"/>
  <c r="H34" i="73"/>
  <c r="H33" i="73"/>
  <c r="J20" i="73"/>
  <c r="I20" i="73"/>
  <c r="M19" i="73"/>
  <c r="I19" i="73"/>
  <c r="C18" i="73"/>
  <c r="F15" i="73"/>
  <c r="E15" i="73"/>
  <c r="D15" i="73"/>
  <c r="C15" i="73"/>
  <c r="AJ12" i="73"/>
  <c r="AH12" i="73"/>
  <c r="AF12" i="73"/>
  <c r="AD12" i="73"/>
  <c r="AB12" i="73"/>
  <c r="Z12" i="73"/>
  <c r="Y12"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A7" i="73"/>
  <c r="D5" i="73"/>
  <c r="I2" i="73"/>
  <c r="N12" i="73"/>
  <c r="G2" i="73"/>
  <c r="X7" i="73"/>
  <c r="M1" i="73"/>
  <c r="D1" i="73"/>
  <c r="F113" i="72"/>
  <c r="L108" i="72"/>
  <c r="H108" i="72"/>
  <c r="D108" i="72"/>
  <c r="L100" i="72"/>
  <c r="H100" i="72"/>
  <c r="D100" i="72"/>
  <c r="N99" i="72"/>
  <c r="N108" i="72"/>
  <c r="M99" i="72"/>
  <c r="L99" i="72"/>
  <c r="K99" i="72"/>
  <c r="J99" i="72"/>
  <c r="J108" i="72"/>
  <c r="I99" i="72"/>
  <c r="H99" i="72"/>
  <c r="G99" i="72"/>
  <c r="F99" i="72"/>
  <c r="F108" i="72"/>
  <c r="E99" i="72"/>
  <c r="D99" i="72"/>
  <c r="C99" i="72"/>
  <c r="M87" i="72"/>
  <c r="N87" i="72"/>
  <c r="K87" i="72"/>
  <c r="J87" i="72"/>
  <c r="D87" i="72"/>
  <c r="B87" i="72"/>
  <c r="N86" i="72"/>
  <c r="M86" i="72"/>
  <c r="K86" i="72"/>
  <c r="J86" i="72"/>
  <c r="D86" i="72"/>
  <c r="N85" i="72"/>
  <c r="M85" i="72"/>
  <c r="K85" i="72"/>
  <c r="J85" i="72"/>
  <c r="D85" i="72"/>
  <c r="B85" i="72"/>
  <c r="N84" i="72"/>
  <c r="M84" i="72"/>
  <c r="K84" i="72"/>
  <c r="J84" i="72"/>
  <c r="D84" i="72"/>
  <c r="B84" i="72"/>
  <c r="N83" i="72"/>
  <c r="M83" i="72"/>
  <c r="K83" i="72"/>
  <c r="J83" i="72"/>
  <c r="D83" i="72"/>
  <c r="B83" i="72"/>
  <c r="N82" i="72"/>
  <c r="M82" i="72"/>
  <c r="K82" i="72"/>
  <c r="J82" i="72"/>
  <c r="D82" i="72"/>
  <c r="B82" i="72"/>
  <c r="N81" i="72"/>
  <c r="M81" i="72"/>
  <c r="K81" i="72"/>
  <c r="J81" i="72"/>
  <c r="D81" i="72"/>
  <c r="B81" i="72"/>
  <c r="M80" i="72"/>
  <c r="N80" i="72"/>
  <c r="K80" i="72"/>
  <c r="J80" i="72"/>
  <c r="F80" i="72"/>
  <c r="H86" i="72"/>
  <c r="D80" i="72"/>
  <c r="E80" i="72"/>
  <c r="B78" i="72"/>
  <c r="B80" i="72"/>
  <c r="M77" i="72"/>
  <c r="N77" i="72"/>
  <c r="K77" i="72"/>
  <c r="J77" i="72"/>
  <c r="D77" i="72"/>
  <c r="M76" i="72"/>
  <c r="N76" i="72"/>
  <c r="K76" i="72"/>
  <c r="J76" i="72"/>
  <c r="D76" i="72"/>
  <c r="B76" i="72"/>
  <c r="N75" i="72"/>
  <c r="M75" i="72"/>
  <c r="K75" i="72"/>
  <c r="J75" i="72"/>
  <c r="D75" i="72"/>
  <c r="N74" i="72"/>
  <c r="M74" i="72"/>
  <c r="K74" i="72"/>
  <c r="J74" i="72"/>
  <c r="D74" i="72"/>
  <c r="B74" i="72"/>
  <c r="M73" i="72"/>
  <c r="N73" i="72"/>
  <c r="K73" i="72"/>
  <c r="J73" i="72"/>
  <c r="D73" i="72"/>
  <c r="B73" i="72"/>
  <c r="N72" i="72"/>
  <c r="M72" i="72"/>
  <c r="K72" i="72"/>
  <c r="J72" i="72"/>
  <c r="D72" i="72"/>
  <c r="B72" i="72"/>
  <c r="M71" i="72"/>
  <c r="N71" i="72"/>
  <c r="K71" i="72"/>
  <c r="J71" i="72"/>
  <c r="D71" i="72"/>
  <c r="B71" i="72"/>
  <c r="N70" i="72"/>
  <c r="M70" i="72"/>
  <c r="K70" i="72"/>
  <c r="J70" i="72"/>
  <c r="D70" i="72"/>
  <c r="B70" i="72"/>
  <c r="M69" i="72"/>
  <c r="N69" i="72"/>
  <c r="K69" i="72"/>
  <c r="J69" i="72"/>
  <c r="F69" i="72"/>
  <c r="H75" i="72"/>
  <c r="D69" i="72"/>
  <c r="E69" i="72"/>
  <c r="B67" i="72"/>
  <c r="B69" i="72"/>
  <c r="M66" i="72"/>
  <c r="N66" i="72"/>
  <c r="K66" i="72"/>
  <c r="J66" i="72"/>
  <c r="D66" i="72"/>
  <c r="B66" i="72"/>
  <c r="N65" i="72"/>
  <c r="M65" i="72"/>
  <c r="K65" i="72"/>
  <c r="J65" i="72"/>
  <c r="D65" i="72"/>
  <c r="B65" i="72"/>
  <c r="M64" i="72"/>
  <c r="N64" i="72"/>
  <c r="K64" i="72"/>
  <c r="J64" i="72"/>
  <c r="D64" i="72"/>
  <c r="B64" i="72"/>
  <c r="N63" i="72"/>
  <c r="M63" i="72"/>
  <c r="K63" i="72"/>
  <c r="J63" i="72"/>
  <c r="D63" i="72"/>
  <c r="N62" i="72"/>
  <c r="M62" i="72"/>
  <c r="K62" i="72"/>
  <c r="J62" i="72"/>
  <c r="D62" i="72"/>
  <c r="B62" i="72"/>
  <c r="M61" i="72"/>
  <c r="N61" i="72"/>
  <c r="K61" i="72"/>
  <c r="J61" i="72"/>
  <c r="D61" i="72"/>
  <c r="M60" i="72"/>
  <c r="N60" i="72"/>
  <c r="K60" i="72"/>
  <c r="J60" i="72"/>
  <c r="D60" i="72"/>
  <c r="B60" i="72"/>
  <c r="N59" i="72"/>
  <c r="M59" i="72"/>
  <c r="K59" i="72"/>
  <c r="J59" i="72"/>
  <c r="D59" i="72"/>
  <c r="B59" i="72"/>
  <c r="M58" i="72"/>
  <c r="N58" i="72"/>
  <c r="K58" i="72"/>
  <c r="J58" i="72"/>
  <c r="F58" i="72"/>
  <c r="H65" i="72"/>
  <c r="D58" i="72"/>
  <c r="E58" i="72"/>
  <c r="B56" i="72"/>
  <c r="B58" i="72"/>
  <c r="M55" i="72"/>
  <c r="N55" i="72"/>
  <c r="K55" i="72"/>
  <c r="J55" i="72"/>
  <c r="D55" i="72"/>
  <c r="B55" i="72"/>
  <c r="N54" i="72"/>
  <c r="M54" i="72"/>
  <c r="K54" i="72"/>
  <c r="J54" i="72"/>
  <c r="D54" i="72"/>
  <c r="B54" i="72"/>
  <c r="M53" i="72"/>
  <c r="N53" i="72"/>
  <c r="K53" i="72"/>
  <c r="J53" i="72"/>
  <c r="D53" i="72"/>
  <c r="B53" i="72"/>
  <c r="N52" i="72"/>
  <c r="M52" i="72"/>
  <c r="K52" i="72"/>
  <c r="J52" i="72"/>
  <c r="D52" i="72"/>
  <c r="N51" i="72"/>
  <c r="M51" i="72"/>
  <c r="K51" i="72"/>
  <c r="J51" i="72"/>
  <c r="D51" i="72"/>
  <c r="B51" i="72"/>
  <c r="M50" i="72"/>
  <c r="N50" i="72"/>
  <c r="K50" i="72"/>
  <c r="J50" i="72"/>
  <c r="D50" i="72"/>
  <c r="M49" i="72"/>
  <c r="N49" i="72"/>
  <c r="K49" i="72"/>
  <c r="J49" i="72"/>
  <c r="D49" i="72"/>
  <c r="B49" i="72"/>
  <c r="N48" i="72"/>
  <c r="M48" i="72"/>
  <c r="K48" i="72"/>
  <c r="J48" i="72"/>
  <c r="D48" i="72"/>
  <c r="B48" i="72"/>
  <c r="M47" i="72"/>
  <c r="N47" i="72"/>
  <c r="K47" i="72"/>
  <c r="J47" i="72"/>
  <c r="D47" i="72"/>
  <c r="B47" i="72"/>
  <c r="H39" i="72"/>
  <c r="H38" i="72"/>
  <c r="H37" i="72"/>
  <c r="H36" i="72"/>
  <c r="H35" i="72"/>
  <c r="H34" i="72"/>
  <c r="H33" i="72"/>
  <c r="J20" i="72"/>
  <c r="I20" i="72"/>
  <c r="M19" i="72"/>
  <c r="I19" i="72"/>
  <c r="C18" i="72"/>
  <c r="F15" i="72"/>
  <c r="E15" i="72"/>
  <c r="D15" i="72"/>
  <c r="C15" i="72"/>
  <c r="AJ12" i="72"/>
  <c r="AH12" i="72"/>
  <c r="AF12" i="72"/>
  <c r="AD12" i="72"/>
  <c r="AB12" i="72"/>
  <c r="Z12" i="72"/>
  <c r="Y12" i="72"/>
  <c r="Y10" i="72"/>
  <c r="C10" i="72"/>
  <c r="C11" i="72"/>
  <c r="AJ9" i="72"/>
  <c r="AJ10" i="72"/>
  <c r="AI9" i="72"/>
  <c r="AI10" i="72"/>
  <c r="AH9" i="72"/>
  <c r="AH10" i="72"/>
  <c r="AG9" i="72"/>
  <c r="AG10" i="72"/>
  <c r="AF9" i="72"/>
  <c r="AF10" i="72"/>
  <c r="AE9" i="72"/>
  <c r="AE10" i="72"/>
  <c r="AD9" i="72"/>
  <c r="AD10" i="72"/>
  <c r="AC9" i="72"/>
  <c r="AC10" i="72"/>
  <c r="AB9" i="72"/>
  <c r="AB10" i="72"/>
  <c r="AA9" i="72"/>
  <c r="AA10" i="72"/>
  <c r="Z9" i="72"/>
  <c r="Z10" i="72"/>
  <c r="C9" i="72"/>
  <c r="A7" i="72"/>
  <c r="I2" i="72"/>
  <c r="N12" i="72"/>
  <c r="G2" i="72"/>
  <c r="X7" i="72"/>
  <c r="M1" i="72"/>
  <c r="D1" i="72"/>
  <c r="F113" i="71"/>
  <c r="H108" i="71"/>
  <c r="L100" i="71"/>
  <c r="D100" i="71"/>
  <c r="N99" i="71"/>
  <c r="N108" i="71"/>
  <c r="M99" i="71"/>
  <c r="L99" i="71"/>
  <c r="L108" i="71"/>
  <c r="K99" i="71"/>
  <c r="J99" i="71"/>
  <c r="J108" i="71"/>
  <c r="I99" i="71"/>
  <c r="H99" i="71"/>
  <c r="H100" i="71"/>
  <c r="G99" i="71"/>
  <c r="F99" i="71"/>
  <c r="F108" i="71"/>
  <c r="E99" i="71"/>
  <c r="D99" i="71"/>
  <c r="D108" i="71"/>
  <c r="C99" i="71"/>
  <c r="M87" i="71"/>
  <c r="N87" i="71"/>
  <c r="K87" i="71"/>
  <c r="J87" i="71"/>
  <c r="D87" i="71"/>
  <c r="B87" i="71"/>
  <c r="N86" i="71"/>
  <c r="M86" i="71"/>
  <c r="K86" i="71"/>
  <c r="J86" i="71"/>
  <c r="D86" i="71"/>
  <c r="N85" i="71"/>
  <c r="M85" i="71"/>
  <c r="K85" i="71"/>
  <c r="J85" i="71"/>
  <c r="D85" i="71"/>
  <c r="B85" i="71"/>
  <c r="N84" i="71"/>
  <c r="M84" i="71"/>
  <c r="K84" i="71"/>
  <c r="J84" i="71"/>
  <c r="D84" i="71"/>
  <c r="B84" i="71"/>
  <c r="N83" i="71"/>
  <c r="M83" i="71"/>
  <c r="K83" i="71"/>
  <c r="J83" i="71"/>
  <c r="D83" i="71"/>
  <c r="B83" i="71"/>
  <c r="N82" i="71"/>
  <c r="M82" i="71"/>
  <c r="K82" i="71"/>
  <c r="J82" i="71"/>
  <c r="D82" i="71"/>
  <c r="B82" i="71"/>
  <c r="N81" i="71"/>
  <c r="M81" i="71"/>
  <c r="K81" i="71"/>
  <c r="J81" i="71"/>
  <c r="D81" i="71"/>
  <c r="B81" i="71"/>
  <c r="N80" i="71"/>
  <c r="M80" i="71"/>
  <c r="K80" i="71"/>
  <c r="J80" i="71"/>
  <c r="F80" i="71"/>
  <c r="H86" i="71"/>
  <c r="D80" i="71"/>
  <c r="E80" i="71"/>
  <c r="B78" i="71"/>
  <c r="B80" i="71"/>
  <c r="D77" i="71"/>
  <c r="D76" i="71"/>
  <c r="B76" i="71"/>
  <c r="D74" i="71"/>
  <c r="B74" i="71"/>
  <c r="D73" i="71"/>
  <c r="B73" i="71"/>
  <c r="B72" i="71"/>
  <c r="B71" i="71"/>
  <c r="B70" i="71"/>
  <c r="D69" i="71"/>
  <c r="B69" i="71"/>
  <c r="M66" i="71"/>
  <c r="N66" i="71"/>
  <c r="K66" i="71"/>
  <c r="J66" i="71"/>
  <c r="D66" i="71"/>
  <c r="B66" i="71"/>
  <c r="N65" i="71"/>
  <c r="M65" i="71"/>
  <c r="K65" i="71"/>
  <c r="J65" i="71"/>
  <c r="D65" i="71"/>
  <c r="B65" i="71"/>
  <c r="M64" i="71"/>
  <c r="N64" i="71"/>
  <c r="K64" i="71"/>
  <c r="J64" i="71"/>
  <c r="D64" i="71"/>
  <c r="B64" i="71"/>
  <c r="N63" i="71"/>
  <c r="M63" i="71"/>
  <c r="K63" i="71"/>
  <c r="J63" i="71"/>
  <c r="D63" i="71"/>
  <c r="M62" i="71"/>
  <c r="N62" i="71"/>
  <c r="K62" i="71"/>
  <c r="J62" i="71"/>
  <c r="D62" i="71"/>
  <c r="B62" i="71"/>
  <c r="M61" i="71"/>
  <c r="N61" i="71"/>
  <c r="K61" i="71"/>
  <c r="J61" i="71"/>
  <c r="D61" i="71"/>
  <c r="M60" i="71"/>
  <c r="N60" i="71"/>
  <c r="K60" i="71"/>
  <c r="J60" i="71"/>
  <c r="D60" i="71"/>
  <c r="B60" i="71"/>
  <c r="N59" i="71"/>
  <c r="M59" i="71"/>
  <c r="K59" i="71"/>
  <c r="J59" i="71"/>
  <c r="D59" i="71"/>
  <c r="B59" i="71"/>
  <c r="M58" i="71"/>
  <c r="N58" i="71"/>
  <c r="K58" i="71"/>
  <c r="J58" i="71"/>
  <c r="F58" i="71"/>
  <c r="H65" i="71"/>
  <c r="D58" i="71"/>
  <c r="E58" i="71"/>
  <c r="B56" i="71"/>
  <c r="B58" i="71"/>
  <c r="M55" i="71"/>
  <c r="N55" i="71"/>
  <c r="K55" i="71"/>
  <c r="J55" i="71"/>
  <c r="D55" i="71"/>
  <c r="B55" i="71"/>
  <c r="N54" i="71"/>
  <c r="M54" i="71"/>
  <c r="K54" i="71"/>
  <c r="J54" i="71"/>
  <c r="D54" i="71"/>
  <c r="B54" i="71"/>
  <c r="M53" i="71"/>
  <c r="N53" i="71"/>
  <c r="K53" i="71"/>
  <c r="J53" i="71"/>
  <c r="D53" i="71"/>
  <c r="B53" i="71"/>
  <c r="N52" i="71"/>
  <c r="M52" i="71"/>
  <c r="K52" i="71"/>
  <c r="J52" i="71"/>
  <c r="D52" i="71"/>
  <c r="M51" i="71"/>
  <c r="N51" i="71"/>
  <c r="K51" i="71"/>
  <c r="J51" i="71"/>
  <c r="D51" i="71"/>
  <c r="B51" i="71"/>
  <c r="M50" i="71"/>
  <c r="N50" i="71"/>
  <c r="K50" i="71"/>
  <c r="J50" i="71"/>
  <c r="D50" i="71"/>
  <c r="M49" i="71"/>
  <c r="N49" i="71"/>
  <c r="K49" i="71"/>
  <c r="J49" i="71"/>
  <c r="D49" i="71"/>
  <c r="B49" i="71"/>
  <c r="N48" i="71"/>
  <c r="M48" i="71"/>
  <c r="K48" i="71"/>
  <c r="J48" i="71"/>
  <c r="D48" i="71"/>
  <c r="B48" i="71"/>
  <c r="M47" i="71"/>
  <c r="N47" i="71"/>
  <c r="K47" i="71"/>
  <c r="J47" i="71"/>
  <c r="F47" i="71"/>
  <c r="H54" i="71"/>
  <c r="D47" i="71"/>
  <c r="E47" i="71"/>
  <c r="B45" i="71"/>
  <c r="B47" i="71"/>
  <c r="H39" i="71"/>
  <c r="H38" i="71"/>
  <c r="H37" i="71"/>
  <c r="H36" i="71"/>
  <c r="H35" i="71"/>
  <c r="H34" i="71"/>
  <c r="H33" i="71"/>
  <c r="J20" i="71"/>
  <c r="M19" i="71"/>
  <c r="I19" i="71"/>
  <c r="C18" i="71"/>
  <c r="F15" i="71"/>
  <c r="C12" i="71" s="1"/>
  <c r="C5" i="71" s="1"/>
  <c r="E15" i="71"/>
  <c r="D15" i="71"/>
  <c r="C15" i="71"/>
  <c r="AJ12" i="71"/>
  <c r="AH12" i="71"/>
  <c r="AF12" i="71"/>
  <c r="AD12" i="71"/>
  <c r="AB12" i="71"/>
  <c r="Z12" i="71"/>
  <c r="Y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A7" i="71"/>
  <c r="D5" i="71"/>
  <c r="I2" i="71"/>
  <c r="N12" i="71"/>
  <c r="G2" i="71"/>
  <c r="X7" i="71"/>
  <c r="F25" i="70"/>
  <c r="F24" i="70"/>
  <c r="F23" i="70"/>
  <c r="E22" i="70"/>
  <c r="E21" i="70"/>
  <c r="E19" i="70"/>
  <c r="F17" i="70"/>
  <c r="E16" i="70"/>
  <c r="F15" i="70"/>
  <c r="F14" i="70"/>
  <c r="F25" i="69"/>
  <c r="F24" i="69"/>
  <c r="F23" i="69"/>
  <c r="E22" i="69"/>
  <c r="E21" i="69"/>
  <c r="E19" i="69"/>
  <c r="F17" i="69"/>
  <c r="E16" i="69"/>
  <c r="F15" i="69"/>
  <c r="F14" i="69"/>
  <c r="F25" i="68"/>
  <c r="F24" i="68"/>
  <c r="F23" i="68"/>
  <c r="E22" i="68"/>
  <c r="E21" i="68"/>
  <c r="E19" i="68"/>
  <c r="F17" i="68"/>
  <c r="E16" i="68"/>
  <c r="F15" i="68"/>
  <c r="F14" i="68"/>
  <c r="D24" i="74"/>
  <c r="D24" i="75"/>
  <c r="E58" i="73"/>
  <c r="B56" i="73"/>
  <c r="C24" i="73"/>
  <c r="C12" i="73"/>
  <c r="E47" i="72"/>
  <c r="B45" i="72"/>
  <c r="C24" i="72"/>
  <c r="C12" i="72"/>
  <c r="M1" i="71"/>
  <c r="D25" i="74"/>
  <c r="D25" i="75"/>
  <c r="D25" i="76"/>
  <c r="H80" i="73"/>
  <c r="H80" i="71"/>
  <c r="J52" i="76"/>
  <c r="J52" i="75"/>
  <c r="J52" i="74"/>
  <c r="E11" i="73"/>
  <c r="E10" i="73"/>
  <c r="E9" i="73"/>
  <c r="E8" i="73"/>
  <c r="C7" i="73"/>
  <c r="N2" i="73"/>
  <c r="M3" i="73"/>
  <c r="N4" i="73"/>
  <c r="M5" i="73"/>
  <c r="M6" i="73"/>
  <c r="N7" i="73"/>
  <c r="N8" i="73"/>
  <c r="N9" i="73"/>
  <c r="F58" i="73"/>
  <c r="N1" i="73"/>
  <c r="H113" i="73"/>
  <c r="F39" i="73"/>
  <c r="F38" i="73"/>
  <c r="F37" i="73"/>
  <c r="F36" i="73"/>
  <c r="F35" i="73"/>
  <c r="F34" i="73"/>
  <c r="F33" i="73"/>
  <c r="M2" i="73"/>
  <c r="N3" i="73"/>
  <c r="M4" i="73"/>
  <c r="N5" i="73"/>
  <c r="N6" i="73"/>
  <c r="M7" i="73"/>
  <c r="M8" i="73"/>
  <c r="M9" i="73"/>
  <c r="C6" i="73"/>
  <c r="N10" i="73"/>
  <c r="N11" i="73"/>
  <c r="M12" i="73"/>
  <c r="AA12" i="73"/>
  <c r="AC12" i="73"/>
  <c r="AE12" i="73"/>
  <c r="AG12" i="73"/>
  <c r="AI12" i="73"/>
  <c r="E17" i="73"/>
  <c r="H17" i="73"/>
  <c r="J17" i="73"/>
  <c r="M10" i="73"/>
  <c r="M11" i="73"/>
  <c r="C17" i="73"/>
  <c r="G17" i="73"/>
  <c r="I17" i="73"/>
  <c r="H47" i="73"/>
  <c r="H49" i="73"/>
  <c r="H50" i="73"/>
  <c r="H53" i="73"/>
  <c r="H55" i="73"/>
  <c r="H69" i="73"/>
  <c r="H71" i="73"/>
  <c r="H73" i="73"/>
  <c r="H76" i="73"/>
  <c r="H77" i="73"/>
  <c r="H82" i="73"/>
  <c r="H84" i="73"/>
  <c r="H87" i="73"/>
  <c r="F100" i="73"/>
  <c r="J100" i="73"/>
  <c r="N100" i="73"/>
  <c r="H48" i="73"/>
  <c r="H51" i="73"/>
  <c r="H52"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F47" i="72"/>
  <c r="N1" i="72"/>
  <c r="H113" i="72"/>
  <c r="F39" i="72"/>
  <c r="F38" i="72"/>
  <c r="F37" i="72"/>
  <c r="F36" i="72"/>
  <c r="F35" i="72"/>
  <c r="F34" i="72"/>
  <c r="F33" i="72"/>
  <c r="M2" i="72"/>
  <c r="N3" i="72"/>
  <c r="M4" i="72"/>
  <c r="N5" i="72"/>
  <c r="N6" i="72"/>
  <c r="M7" i="72"/>
  <c r="M8" i="72"/>
  <c r="M9" i="72"/>
  <c r="C6" i="72"/>
  <c r="N10" i="72"/>
  <c r="N11" i="72"/>
  <c r="M12" i="72"/>
  <c r="AA12" i="72"/>
  <c r="AC12" i="72"/>
  <c r="AE12" i="72"/>
  <c r="AG12" i="72"/>
  <c r="AI12" i="72"/>
  <c r="E17" i="72"/>
  <c r="H17" i="72"/>
  <c r="J17" i="72"/>
  <c r="M10" i="72"/>
  <c r="M11" i="72"/>
  <c r="C17" i="72"/>
  <c r="G17" i="72"/>
  <c r="I17" i="72"/>
  <c r="H58" i="72"/>
  <c r="H60" i="72"/>
  <c r="H61" i="72"/>
  <c r="H64" i="72"/>
  <c r="H66" i="72"/>
  <c r="H69" i="72"/>
  <c r="H71" i="72"/>
  <c r="H73" i="72"/>
  <c r="H76" i="72"/>
  <c r="H77" i="72"/>
  <c r="H80" i="72"/>
  <c r="H82" i="72"/>
  <c r="H84" i="72"/>
  <c r="H87" i="72"/>
  <c r="F100" i="72"/>
  <c r="J100" i="72"/>
  <c r="N100"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N8" i="7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C17" i="71"/>
  <c r="G17" i="71"/>
  <c r="C16" i="71"/>
  <c r="I17" i="71"/>
  <c r="H47" i="71"/>
  <c r="H49" i="71"/>
  <c r="H50" i="71"/>
  <c r="H53" i="71"/>
  <c r="H55" i="71"/>
  <c r="H58" i="71"/>
  <c r="H60" i="71"/>
  <c r="H61" i="71"/>
  <c r="H64" i="71"/>
  <c r="H66" i="71"/>
  <c r="H82" i="71"/>
  <c r="H84" i="71"/>
  <c r="H87" i="71"/>
  <c r="F100" i="71"/>
  <c r="J100" i="71"/>
  <c r="N100" i="71"/>
  <c r="H48" i="71"/>
  <c r="H51" i="71"/>
  <c r="H52" i="71"/>
  <c r="H59" i="71"/>
  <c r="H62" i="71"/>
  <c r="H63" i="71"/>
  <c r="H81" i="71"/>
  <c r="H83" i="71"/>
  <c r="H85" i="71"/>
  <c r="C108" i="71"/>
  <c r="C100" i="71"/>
  <c r="E108" i="71"/>
  <c r="E100" i="71"/>
  <c r="G108" i="71"/>
  <c r="G100" i="71"/>
  <c r="I108" i="71"/>
  <c r="I100" i="71"/>
  <c r="K108" i="71"/>
  <c r="K100" i="71"/>
  <c r="M108" i="71"/>
  <c r="M100" i="71"/>
  <c r="L3" i="59"/>
  <c r="K3" i="59"/>
  <c r="J3" i="59"/>
  <c r="I3" i="59"/>
  <c r="AH5" i="59"/>
  <c r="AG5" i="59"/>
  <c r="AE5" i="59"/>
  <c r="AF5" i="59"/>
  <c r="AD5" i="59"/>
  <c r="Q5" i="59"/>
  <c r="Q6" i="59"/>
  <c r="P5" i="59"/>
  <c r="P6" i="59"/>
  <c r="O5" i="59"/>
  <c r="O6" i="59"/>
  <c r="N5" i="59"/>
  <c r="N6" i="59"/>
  <c r="AH6" i="59"/>
  <c r="AG6" i="59"/>
  <c r="AE6" i="59"/>
  <c r="AF6" i="59"/>
  <c r="AD6" i="59"/>
  <c r="Q7" i="59"/>
  <c r="P7" i="59"/>
  <c r="O7" i="59"/>
  <c r="N7" i="59"/>
  <c r="M19" i="46"/>
  <c r="J50" i="15"/>
  <c r="J51" i="15"/>
  <c r="D9" i="59"/>
  <c r="AH7" i="59"/>
  <c r="AG7" i="59"/>
  <c r="AE7" i="59"/>
  <c r="AF7" i="59"/>
  <c r="AD7" i="59"/>
  <c r="AE8" i="59"/>
  <c r="AF8" i="59"/>
  <c r="AG8" i="59"/>
  <c r="AH8" i="59"/>
  <c r="AD8" i="59"/>
  <c r="Q8" i="59"/>
  <c r="P8" i="59"/>
  <c r="O8" i="59"/>
  <c r="N8" i="59"/>
  <c r="N9" i="59"/>
  <c r="Q9" i="59"/>
  <c r="P9" i="59"/>
  <c r="O9" i="59"/>
  <c r="K59" i="15"/>
  <c r="P62" i="15"/>
  <c r="Q74" i="44"/>
  <c r="Q61" i="44"/>
  <c r="Q60" i="44"/>
  <c r="Q53" i="44"/>
  <c r="J51" i="44"/>
  <c r="J52" i="44"/>
  <c r="M48" i="44"/>
  <c r="A16" i="55"/>
  <c r="B67" i="63"/>
  <c r="A15" i="55"/>
  <c r="A14" i="55"/>
  <c r="A11" i="55"/>
  <c r="A10" i="55"/>
  <c r="A9" i="55"/>
  <c r="A8" i="55"/>
  <c r="A6" i="54"/>
  <c r="A8" i="54"/>
  <c r="A7" i="54"/>
  <c r="A27" i="51"/>
  <c r="D5" i="46"/>
  <c r="Q10" i="59"/>
  <c r="O10" i="59"/>
  <c r="N11" i="59"/>
  <c r="O11" i="59"/>
  <c r="P11" i="59"/>
  <c r="Q11" i="59"/>
  <c r="N10" i="59"/>
  <c r="P10" i="59"/>
  <c r="K75" i="9"/>
  <c r="K6" i="4"/>
  <c r="O76" i="9"/>
  <c r="L76" i="9"/>
  <c r="B22" i="31"/>
  <c r="E15" i="66"/>
  <c r="F15" i="66"/>
  <c r="E16" i="66"/>
  <c r="F16" i="66"/>
  <c r="E17" i="66"/>
  <c r="F17" i="66"/>
  <c r="E18" i="66"/>
  <c r="F18" i="66"/>
  <c r="E19" i="66"/>
  <c r="F19" i="66"/>
  <c r="E20" i="66"/>
  <c r="F20" i="66"/>
  <c r="E21" i="66"/>
  <c r="F21" i="66"/>
  <c r="E22" i="66"/>
  <c r="F22" i="66"/>
  <c r="E23" i="66"/>
  <c r="F23" i="66"/>
  <c r="B3" i="66"/>
  <c r="B8" i="59"/>
  <c r="B7" i="59"/>
  <c r="B6" i="59"/>
  <c r="B5" i="59"/>
  <c r="E8" i="59"/>
  <c r="E7" i="59"/>
  <c r="E6" i="59"/>
  <c r="E5" i="59"/>
  <c r="F8" i="59"/>
  <c r="F7" i="59"/>
  <c r="F6" i="59"/>
  <c r="F5"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c r="C3" i="65"/>
  <c r="C1" i="65"/>
  <c r="N1" i="65"/>
  <c r="D8" i="59"/>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B21" i="63"/>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I19" i="46"/>
  <c r="Q12" i="59"/>
  <c r="F12" i="59"/>
  <c r="P12" i="59"/>
  <c r="O12" i="59"/>
  <c r="C12" i="59"/>
  <c r="N12" i="59"/>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AB22" i="59"/>
  <c r="P22" i="59"/>
  <c r="AA22" i="59"/>
  <c r="O22" i="59"/>
  <c r="Y22" i="59"/>
  <c r="Z22" i="59"/>
  <c r="N22" i="59"/>
  <c r="X22" i="59"/>
  <c r="Q21" i="59"/>
  <c r="AB21" i="59"/>
  <c r="P21" i="59"/>
  <c r="AA21" i="59"/>
  <c r="O21" i="59"/>
  <c r="Y21" i="59"/>
  <c r="Z21" i="59"/>
  <c r="C22" i="59"/>
  <c r="N21" i="59"/>
  <c r="X21" i="59"/>
  <c r="B22" i="59"/>
  <c r="B23" i="59"/>
  <c r="B24" i="59"/>
  <c r="S24" i="59"/>
  <c r="D21" i="59"/>
  <c r="Q20" i="59"/>
  <c r="AB20" i="59"/>
  <c r="P20" i="59"/>
  <c r="AA20" i="59"/>
  <c r="O20" i="59"/>
  <c r="Y20" i="59"/>
  <c r="Z20" i="59"/>
  <c r="N20" i="59"/>
  <c r="X20" i="59"/>
  <c r="Q19" i="59"/>
  <c r="AB19" i="59"/>
  <c r="P19" i="59"/>
  <c r="AA19" i="59"/>
  <c r="O19" i="59"/>
  <c r="Y19" i="59"/>
  <c r="Z19" i="59"/>
  <c r="N19" i="59"/>
  <c r="X19" i="59"/>
  <c r="Q18" i="59"/>
  <c r="AB18" i="59"/>
  <c r="P18" i="59"/>
  <c r="AA18" i="59"/>
  <c r="O18" i="59"/>
  <c r="Y18" i="59"/>
  <c r="Z18" i="59"/>
  <c r="N18" i="59"/>
  <c r="X18" i="59"/>
  <c r="Q17" i="59"/>
  <c r="AB17" i="59"/>
  <c r="F18" i="59"/>
  <c r="P17" i="59"/>
  <c r="AA17" i="59"/>
  <c r="E18" i="59"/>
  <c r="E19" i="59"/>
  <c r="E20" i="59"/>
  <c r="U20" i="59"/>
  <c r="O17" i="59"/>
  <c r="Y17" i="59"/>
  <c r="Z17" i="59"/>
  <c r="N17" i="59"/>
  <c r="X17" i="59"/>
  <c r="D17" i="59"/>
  <c r="Q16" i="59"/>
  <c r="AB16" i="59"/>
  <c r="P16" i="59"/>
  <c r="O16" i="59"/>
  <c r="Y16" i="59"/>
  <c r="Z16" i="59"/>
  <c r="N16" i="59"/>
  <c r="X16" i="59"/>
  <c r="Q15" i="59"/>
  <c r="AB15" i="59"/>
  <c r="P15" i="59"/>
  <c r="AA15" i="59"/>
  <c r="O15" i="59"/>
  <c r="Y15" i="59"/>
  <c r="Z15" i="59"/>
  <c r="N15" i="59"/>
  <c r="Q14" i="59"/>
  <c r="AB14" i="59"/>
  <c r="P14" i="59"/>
  <c r="O14" i="59"/>
  <c r="Y14" i="59"/>
  <c r="Z14" i="59"/>
  <c r="N14" i="59"/>
  <c r="X14" i="59"/>
  <c r="Q13" i="59"/>
  <c r="AB13" i="59"/>
  <c r="P13" i="59"/>
  <c r="AA13" i="59"/>
  <c r="O13" i="59"/>
  <c r="Y13" i="59"/>
  <c r="Z13" i="59"/>
  <c r="C14" i="59"/>
  <c r="N13" i="59"/>
  <c r="B14" i="59"/>
  <c r="D13" i="59"/>
  <c r="X3" i="59"/>
  <c r="X9" i="59"/>
  <c r="X10" i="59"/>
  <c r="X11" i="59"/>
  <c r="X12" i="59"/>
  <c r="AA9" i="59"/>
  <c r="AA11"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AA23" i="59"/>
  <c r="F19" i="59"/>
  <c r="F20" i="59"/>
  <c r="V20" i="59"/>
  <c r="F27" i="59"/>
  <c r="F28" i="59"/>
  <c r="V28" i="59"/>
  <c r="F39" i="59"/>
  <c r="F40" i="59"/>
  <c r="V40" i="59"/>
  <c r="F47" i="59"/>
  <c r="F48" i="59"/>
  <c r="V48" i="59"/>
  <c r="C15" i="59"/>
  <c r="D14" i="59"/>
  <c r="C23" i="59"/>
  <c r="D22" i="59"/>
  <c r="C31" i="59"/>
  <c r="D31" i="59"/>
  <c r="D30" i="59"/>
  <c r="C35" i="59"/>
  <c r="C36" i="59"/>
  <c r="T36" i="59"/>
  <c r="D34" i="59"/>
  <c r="C43" i="59"/>
  <c r="D43" i="59"/>
  <c r="D42" i="59"/>
  <c r="E50" i="59"/>
  <c r="P49" i="59"/>
  <c r="N51" i="59"/>
  <c r="B50" i="59"/>
  <c r="N49" i="59"/>
  <c r="Q51" i="59"/>
  <c r="T52" i="59"/>
  <c r="O52" i="59"/>
  <c r="D52" i="59"/>
  <c r="C51" i="59"/>
  <c r="P52" i="59"/>
  <c r="U52" i="59"/>
  <c r="Q52" i="59"/>
  <c r="C55" i="59"/>
  <c r="E55" i="59"/>
  <c r="E54" i="59"/>
  <c r="D56" i="59"/>
  <c r="C59" i="59"/>
  <c r="E59" i="59"/>
  <c r="E58" i="59"/>
  <c r="D60" i="59"/>
  <c r="C63" i="59"/>
  <c r="E63" i="59"/>
  <c r="E62" i="59"/>
  <c r="D64" i="59"/>
  <c r="C67" i="59"/>
  <c r="C71" i="59"/>
  <c r="D71" i="59"/>
  <c r="U16" i="4"/>
  <c r="S16" i="4"/>
  <c r="Q16" i="4"/>
  <c r="O16" i="4"/>
  <c r="M16" i="4"/>
  <c r="K16" i="4"/>
  <c r="P50" i="59"/>
  <c r="C70" i="59"/>
  <c r="D70" i="59"/>
  <c r="D63" i="59"/>
  <c r="C62" i="59"/>
  <c r="D62" i="59"/>
  <c r="D55" i="59"/>
  <c r="C54" i="59"/>
  <c r="D54" i="59"/>
  <c r="C50" i="59"/>
  <c r="O51" i="59"/>
  <c r="D51" i="59"/>
  <c r="D67" i="59"/>
  <c r="C66" i="59"/>
  <c r="D66" i="59"/>
  <c r="D59" i="59"/>
  <c r="C58" i="59"/>
  <c r="D58" i="59"/>
  <c r="N50" i="59"/>
  <c r="C44" i="59"/>
  <c r="T44" i="59"/>
  <c r="D35" i="59"/>
  <c r="C24" i="59"/>
  <c r="D23" i="59"/>
  <c r="C16" i="59"/>
  <c r="D15" i="59"/>
  <c r="D44" i="59"/>
  <c r="T16" i="59"/>
  <c r="D16" i="59"/>
  <c r="T24" i="59"/>
  <c r="D24" i="59"/>
  <c r="D36" i="59"/>
  <c r="D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Q21" i="34"/>
  <c r="Z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F31" i="39"/>
  <c r="AA31" i="39"/>
  <c r="G20" i="20"/>
  <c r="B85" i="46"/>
  <c r="C22" i="20"/>
  <c r="B65" i="46"/>
  <c r="S18" i="36"/>
  <c r="S21" i="37"/>
  <c r="S31" i="39"/>
  <c r="C31" i="39"/>
  <c r="B74" i="46"/>
  <c r="E66" i="36"/>
  <c r="H18" i="35"/>
  <c r="J18" i="35"/>
  <c r="H21" i="37"/>
  <c r="J21" i="37"/>
  <c r="E84" i="34"/>
  <c r="F84" i="34"/>
  <c r="G84" i="34"/>
  <c r="J21" i="34"/>
  <c r="H21" i="34"/>
  <c r="F21" i="33"/>
  <c r="H21" i="33"/>
  <c r="J21" i="33"/>
  <c r="H21" i="21"/>
  <c r="AB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G9" i="1" s="1"/>
  <c r="AE10" i="1"/>
  <c r="AG10" i="1" s="1"/>
  <c r="AE11" i="1"/>
  <c r="AE12" i="1"/>
  <c r="AE13" i="1"/>
  <c r="M47" i="15"/>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I60" i="40"/>
  <c r="C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BC13" i="3"/>
  <c r="BB13" i="3"/>
  <c r="E19" i="6"/>
  <c r="E32" i="6"/>
  <c r="BR13" i="3"/>
  <c r="C6" i="12"/>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E20" i="6"/>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G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W38" i="34"/>
  <c r="D114" i="34"/>
  <c r="E114" i="34"/>
  <c r="F114" i="34"/>
  <c r="G114" i="34"/>
  <c r="H114" i="34"/>
  <c r="I114" i="34"/>
  <c r="J114" i="34"/>
  <c r="K114" i="34"/>
  <c r="L114" i="34"/>
  <c r="M114" i="34"/>
  <c r="F38" i="34"/>
  <c r="S38" i="34"/>
  <c r="D112" i="34"/>
  <c r="E112" i="34"/>
  <c r="F112" i="34"/>
  <c r="G112" i="34"/>
  <c r="F40" i="33"/>
  <c r="J41" i="33"/>
  <c r="AC41" i="33"/>
  <c r="D113" i="33"/>
  <c r="E113" i="33"/>
  <c r="F113" i="33"/>
  <c r="F37" i="33"/>
  <c r="AA37" i="33"/>
  <c r="D111" i="33"/>
  <c r="E111" i="33"/>
  <c r="F111" i="33"/>
  <c r="G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F98" i="40"/>
  <c r="B97" i="40"/>
  <c r="D94" i="40"/>
  <c r="D92" i="40"/>
  <c r="D90" i="40"/>
  <c r="H21" i="40"/>
  <c r="AB21" i="40"/>
  <c r="D88" i="40"/>
  <c r="E88" i="40"/>
  <c r="F88" i="40"/>
  <c r="G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AA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AC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H32" i="34"/>
  <c r="B97" i="34"/>
  <c r="B95" i="34"/>
  <c r="F30" i="34"/>
  <c r="B93" i="34"/>
  <c r="B75" i="34"/>
  <c r="B73" i="34"/>
  <c r="B71" i="34"/>
  <c r="B130" i="33"/>
  <c r="B128" i="33"/>
  <c r="H45" i="33"/>
  <c r="U45" i="33"/>
  <c r="B126" i="33"/>
  <c r="B98" i="33"/>
  <c r="B96" i="33"/>
  <c r="B94"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H8" i="34"/>
  <c r="U8" i="34"/>
  <c r="F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B92" i="33"/>
  <c r="H28" i="33"/>
  <c r="AB28" i="33"/>
  <c r="B90" i="33"/>
  <c r="H27" i="33"/>
  <c r="D87" i="33"/>
  <c r="E87" i="33"/>
  <c r="D85" i="33"/>
  <c r="E85" i="33"/>
  <c r="F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S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U8" i="33"/>
  <c r="F8" i="33"/>
  <c r="S8" i="33"/>
  <c r="C7" i="33"/>
  <c r="C58" i="33"/>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D77" i="21"/>
  <c r="E77" i="21"/>
  <c r="B130" i="21"/>
  <c r="B128" i="21"/>
  <c r="B126" i="21"/>
  <c r="B98" i="21"/>
  <c r="B96" i="21"/>
  <c r="B94" i="21"/>
  <c r="B92" i="21"/>
  <c r="B90" i="21"/>
  <c r="B74" i="21"/>
  <c r="B72" i="21"/>
  <c r="B70" i="21"/>
  <c r="F12" i="21"/>
  <c r="F10" i="21"/>
  <c r="AA10" i="21"/>
  <c r="C7" i="21"/>
  <c r="C58" i="21"/>
  <c r="D58" i="21"/>
  <c r="E58" i="21"/>
  <c r="F58" i="21"/>
  <c r="G58" i="21"/>
  <c r="H58" i="21"/>
  <c r="I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J5" i="3"/>
  <c r="BK13" i="3"/>
  <c r="BM13" i="3"/>
  <c r="BN13" i="3"/>
  <c r="BO13" i="3"/>
  <c r="BP13" i="3"/>
  <c r="BS13" i="3"/>
  <c r="BT13" i="3"/>
  <c r="BB570" i="3"/>
  <c r="BC570" i="3"/>
  <c r="BD570" i="3"/>
  <c r="BE570" i="3"/>
  <c r="BA570" i="3"/>
  <c r="AZ570" i="3"/>
  <c r="BF570" i="3"/>
  <c r="BG570" i="3"/>
  <c r="BG5" i="3"/>
  <c r="BH570" i="3"/>
  <c r="BI570" i="3"/>
  <c r="BJ570" i="3"/>
  <c r="BK570" i="3"/>
  <c r="BM570" i="3"/>
  <c r="BN570" i="3"/>
  <c r="BN5" i="3"/>
  <c r="BO570" i="3"/>
  <c r="BP570" i="3"/>
  <c r="BQ570" i="3"/>
  <c r="BR570" i="3"/>
  <c r="BR5" i="3"/>
  <c r="BS570" i="3"/>
  <c r="BT570" i="3"/>
  <c r="BT5" i="3"/>
  <c r="BB571" i="3"/>
  <c r="BC571" i="3"/>
  <c r="BA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AA32" i="21"/>
  <c r="F38" i="21"/>
  <c r="S38" i="21"/>
  <c r="F36" i="21"/>
  <c r="F39" i="21"/>
  <c r="J40" i="21"/>
  <c r="H35" i="21"/>
  <c r="AB35" i="21"/>
  <c r="J8" i="21"/>
  <c r="H8" i="21"/>
  <c r="U8" i="21"/>
  <c r="H10" i="21"/>
  <c r="U10" i="21"/>
  <c r="H39" i="21"/>
  <c r="AB39" i="21"/>
  <c r="J34" i="21"/>
  <c r="W34" i="21"/>
  <c r="H36" i="21"/>
  <c r="U36" i="21"/>
  <c r="F35" i="21"/>
  <c r="AA35" i="21"/>
  <c r="J33" i="21"/>
  <c r="W33" i="21"/>
  <c r="H33" i="21"/>
  <c r="U33" i="21"/>
  <c r="F33" i="21"/>
  <c r="J10" i="21"/>
  <c r="AC10" i="21"/>
  <c r="H26" i="21"/>
  <c r="AB26" i="21"/>
  <c r="J12" i="21"/>
  <c r="H12" i="21"/>
  <c r="U12" i="21"/>
  <c r="J26" i="21"/>
  <c r="W26" i="21"/>
  <c r="F26" i="21"/>
  <c r="AB41" i="21"/>
  <c r="AA41" i="21"/>
  <c r="W41" i="21"/>
  <c r="S10" i="39"/>
  <c r="U30" i="37"/>
  <c r="E103" i="37"/>
  <c r="F103" i="37"/>
  <c r="F39" i="37"/>
  <c r="W39" i="37"/>
  <c r="F29" i="36"/>
  <c r="AA29" i="36"/>
  <c r="F16" i="36"/>
  <c r="AA16" i="36"/>
  <c r="U22" i="36"/>
  <c r="W23" i="36"/>
  <c r="W22" i="36"/>
  <c r="U26" i="36"/>
  <c r="AC31" i="36"/>
  <c r="J33" i="36"/>
  <c r="W33" i="36"/>
  <c r="AC27" i="35"/>
  <c r="U31" i="35"/>
  <c r="S34" i="35"/>
  <c r="W36" i="35"/>
  <c r="S31" i="35"/>
  <c r="W31" i="35"/>
  <c r="U34" i="35"/>
  <c r="F36" i="34"/>
  <c r="W9" i="34"/>
  <c r="S34" i="34"/>
  <c r="H39" i="33"/>
  <c r="AB39" i="33"/>
  <c r="U33" i="33"/>
  <c r="W38" i="33"/>
  <c r="S40" i="33"/>
  <c r="S33" i="33"/>
  <c r="W33" i="33"/>
  <c r="U38" i="33"/>
  <c r="H39" i="37"/>
  <c r="AB27" i="35"/>
  <c r="S10" i="40"/>
  <c r="W10" i="40"/>
  <c r="S11" i="40"/>
  <c r="U11" i="40"/>
  <c r="S36" i="40"/>
  <c r="U36" i="40"/>
  <c r="S40" i="39"/>
  <c r="S36" i="39"/>
  <c r="F11" i="21"/>
  <c r="S11" i="21"/>
  <c r="AA38" i="21"/>
  <c r="AC35" i="21"/>
  <c r="C23" i="39"/>
  <c r="U36" i="39"/>
  <c r="S42" i="39"/>
  <c r="H11" i="21"/>
  <c r="U11" i="21"/>
  <c r="J11" i="21"/>
  <c r="W11" i="21"/>
  <c r="F100" i="40"/>
  <c r="F86" i="40"/>
  <c r="G86" i="40"/>
  <c r="AA12" i="33"/>
  <c r="J27" i="36"/>
  <c r="W27" i="36"/>
  <c r="J34" i="36"/>
  <c r="W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3" i="34"/>
  <c r="U42" i="34"/>
  <c r="H36" i="34"/>
  <c r="U36" i="34"/>
  <c r="F33" i="34"/>
  <c r="S33" i="34"/>
  <c r="AA28" i="34"/>
  <c r="F19" i="34"/>
  <c r="AA19" i="34"/>
  <c r="J10" i="34"/>
  <c r="J28" i="34"/>
  <c r="W28" i="34"/>
  <c r="F19" i="33"/>
  <c r="S19" i="33"/>
  <c r="J19" i="33"/>
  <c r="AC19" i="33"/>
  <c r="S10" i="21"/>
  <c r="F125" i="21"/>
  <c r="G125" i="21"/>
  <c r="AB30" i="36"/>
  <c r="AC34" i="36"/>
  <c r="S22" i="35"/>
  <c r="H29" i="35"/>
  <c r="U34" i="37"/>
  <c r="S34" i="37"/>
  <c r="AA34" i="37"/>
  <c r="AB42" i="34"/>
  <c r="J19" i="34"/>
  <c r="AC19" i="34"/>
  <c r="G113" i="33"/>
  <c r="H113" i="33"/>
  <c r="I113" i="33"/>
  <c r="J113" i="33"/>
  <c r="K113" i="33"/>
  <c r="L113" i="33"/>
  <c r="M113" i="33"/>
  <c r="H37" i="33"/>
  <c r="AB37" i="33"/>
  <c r="AC42" i="34"/>
  <c r="W42" i="34"/>
  <c r="AA42" i="34"/>
  <c r="S42" i="34"/>
  <c r="AC38" i="34"/>
  <c r="J37" i="33"/>
  <c r="W37" i="33"/>
  <c r="J42" i="21"/>
  <c r="AC42" i="21"/>
  <c r="J44" i="34"/>
  <c r="AC44" i="34"/>
  <c r="F44" i="34"/>
  <c r="S44" i="34"/>
  <c r="J10" i="35"/>
  <c r="W10" i="35"/>
  <c r="AL5" i="3"/>
  <c r="BQ13" i="3"/>
  <c r="J14" i="21"/>
  <c r="W14" i="21"/>
  <c r="F14" i="21"/>
  <c r="AA14" i="21"/>
  <c r="H14" i="21"/>
  <c r="U14" i="21"/>
  <c r="H28" i="21"/>
  <c r="AB28" i="21"/>
  <c r="F28" i="21"/>
  <c r="AA28" i="21"/>
  <c r="J28" i="21"/>
  <c r="AC28" i="21"/>
  <c r="H30" i="21"/>
  <c r="F30" i="21"/>
  <c r="J30" i="21"/>
  <c r="AC30" i="21"/>
  <c r="J44" i="21"/>
  <c r="AC44" i="21"/>
  <c r="H44" i="21"/>
  <c r="U44" i="21"/>
  <c r="F44" i="21"/>
  <c r="AA44" i="21"/>
  <c r="H46" i="21"/>
  <c r="AB46" i="21"/>
  <c r="J46" i="21"/>
  <c r="W46" i="21"/>
  <c r="F46" i="21"/>
  <c r="AA46" i="21"/>
  <c r="F28" i="33"/>
  <c r="AA28" i="33"/>
  <c r="J28" i="33"/>
  <c r="F33" i="35"/>
  <c r="S33" i="35"/>
  <c r="J33" i="35"/>
  <c r="F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J29" i="33"/>
  <c r="W29" i="33"/>
  <c r="J45" i="33"/>
  <c r="W45" i="33"/>
  <c r="F45" i="33"/>
  <c r="F11" i="35"/>
  <c r="H28" i="36"/>
  <c r="U28" i="36"/>
  <c r="H32" i="36"/>
  <c r="AB32" i="36"/>
  <c r="J32" i="36"/>
  <c r="AC32" i="36"/>
  <c r="J11" i="36"/>
  <c r="W11" i="36"/>
  <c r="E89" i="37"/>
  <c r="F89" i="37"/>
  <c r="G89" i="37"/>
  <c r="H89" i="37"/>
  <c r="I89" i="37"/>
  <c r="J89" i="37"/>
  <c r="K89" i="37"/>
  <c r="L89" i="37"/>
  <c r="M89" i="37"/>
  <c r="J29" i="37"/>
  <c r="F29" i="37"/>
  <c r="AA29" i="37"/>
  <c r="F105" i="37"/>
  <c r="G105" i="37"/>
  <c r="AB36" i="37"/>
  <c r="F107" i="37"/>
  <c r="J37" i="37"/>
  <c r="AC37" i="37"/>
  <c r="H37" i="37"/>
  <c r="U37" i="37"/>
  <c r="F40" i="37"/>
  <c r="H14" i="33"/>
  <c r="U14" i="33"/>
  <c r="F14" i="33"/>
  <c r="J14" i="33"/>
  <c r="H30" i="33"/>
  <c r="F30" i="33"/>
  <c r="J30" i="33"/>
  <c r="AC30" i="33"/>
  <c r="H44" i="33"/>
  <c r="U44" i="33"/>
  <c r="J44" i="33"/>
  <c r="W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13" i="21"/>
  <c r="W30" i="21"/>
  <c r="S28" i="21"/>
  <c r="AB14" i="21"/>
  <c r="U36" i="37"/>
  <c r="AB45" i="33"/>
  <c r="U28" i="21"/>
  <c r="AB44" i="21"/>
  <c r="G529" i="3"/>
  <c r="G521" i="3"/>
  <c r="G513" i="3"/>
  <c r="G499" i="3"/>
  <c r="G493" i="3"/>
  <c r="G485" i="3"/>
  <c r="G17" i="3"/>
  <c r="G565" i="3"/>
  <c r="G561" i="3"/>
  <c r="G557" i="3"/>
  <c r="G549" i="3"/>
  <c r="G545" i="3"/>
  <c r="G539" i="3"/>
  <c r="BL569" i="3"/>
  <c r="BL561" i="3"/>
  <c r="AZ561" i="3"/>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c r="BA565" i="3"/>
  <c r="BA561" i="3"/>
  <c r="BA559" i="3"/>
  <c r="BA557" i="3"/>
  <c r="AZ557" i="3"/>
  <c r="BA555" i="3"/>
  <c r="AZ555" i="3"/>
  <c r="BA551" i="3"/>
  <c r="AZ551" i="3"/>
  <c r="BA545" i="3"/>
  <c r="AZ545" i="3"/>
  <c r="BA543" i="3"/>
  <c r="BA541" i="3"/>
  <c r="BA531" i="3"/>
  <c r="BA521" i="3"/>
  <c r="BA509" i="3"/>
  <c r="BA501" i="3"/>
  <c r="AZ501" i="3"/>
  <c r="BA493" i="3"/>
  <c r="AZ493" i="3"/>
  <c r="BA19" i="3"/>
  <c r="BA566" i="3"/>
  <c r="BA562" i="3"/>
  <c r="BA560" i="3"/>
  <c r="AZ560" i="3"/>
  <c r="BA558" i="3"/>
  <c r="BA556" i="3"/>
  <c r="AZ556" i="3"/>
  <c r="BA550" i="3"/>
  <c r="BA546" i="3"/>
  <c r="BA544" i="3"/>
  <c r="BA540" i="3"/>
  <c r="BA536" i="3"/>
  <c r="BA532" i="3"/>
  <c r="BA528" i="3"/>
  <c r="BA524" i="3"/>
  <c r="AZ524" i="3"/>
  <c r="BA520" i="3"/>
  <c r="BA512" i="3"/>
  <c r="BA502" i="3"/>
  <c r="AZ502" i="3"/>
  <c r="BA498" i="3"/>
  <c r="BA492" i="3"/>
  <c r="BA484" i="3"/>
  <c r="BA20" i="3"/>
  <c r="G566" i="3"/>
  <c r="G562" i="3"/>
  <c r="G560" i="3"/>
  <c r="G558" i="3"/>
  <c r="G556"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0" i="3"/>
  <c r="G522" i="3"/>
  <c r="BQ540" i="3"/>
  <c r="BL540" i="3"/>
  <c r="BQ538" i="3"/>
  <c r="BL538" i="3"/>
  <c r="BQ536" i="3"/>
  <c r="BQ534" i="3"/>
  <c r="BQ532" i="3"/>
  <c r="BQ530" i="3"/>
  <c r="BL530" i="3"/>
  <c r="AZ530" i="3"/>
  <c r="BQ528" i="3"/>
  <c r="BQ526" i="3"/>
  <c r="BQ524" i="3"/>
  <c r="BL524" i="3"/>
  <c r="BQ522" i="3"/>
  <c r="BL522" i="3"/>
  <c r="BQ520" i="3"/>
  <c r="BL520" i="3"/>
  <c r="AZ520" i="3"/>
  <c r="BQ518" i="3"/>
  <c r="BQ516" i="3"/>
  <c r="BQ514" i="3"/>
  <c r="BL514" i="3"/>
  <c r="BQ512" i="3"/>
  <c r="BL512" i="3"/>
  <c r="BQ510" i="3"/>
  <c r="BL510" i="3"/>
  <c r="BQ508" i="3"/>
  <c r="BL508" i="3"/>
  <c r="AC506" i="3"/>
  <c r="G506" i="3"/>
  <c r="BQ506" i="3"/>
  <c r="G502" i="3"/>
  <c r="BQ504" i="3"/>
  <c r="BQ502" i="3"/>
  <c r="BL502" i="3"/>
  <c r="BQ500" i="3"/>
  <c r="BL500" i="3"/>
  <c r="BQ498" i="3"/>
  <c r="BQ496" i="3"/>
  <c r="AC494" i="3"/>
  <c r="BQ494" i="3"/>
  <c r="BL494" i="3"/>
  <c r="BL493" i="3"/>
  <c r="G492" i="3"/>
  <c r="G484" i="3"/>
  <c r="BQ492" i="3"/>
  <c r="BL492" i="3"/>
  <c r="AZ492" i="3"/>
  <c r="BQ490" i="3"/>
  <c r="BL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F23" i="37"/>
  <c r="F79" i="37"/>
  <c r="G79"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J23" i="37"/>
  <c r="F17" i="37"/>
  <c r="AA17" i="37"/>
  <c r="AB43" i="33"/>
  <c r="D3" i="21"/>
  <c r="AC33" i="36"/>
  <c r="AC12" i="35"/>
  <c r="W23" i="35"/>
  <c r="S27" i="37"/>
  <c r="AC8" i="37"/>
  <c r="S25" i="37"/>
  <c r="AC33" i="21"/>
  <c r="F43" i="33"/>
  <c r="AA43" i="33"/>
  <c r="S10" i="35"/>
  <c r="G107" i="37"/>
  <c r="H107" i="37"/>
  <c r="I107" i="37"/>
  <c r="J107" i="37"/>
  <c r="K107" i="37"/>
  <c r="L107" i="37"/>
  <c r="M107" i="37"/>
  <c r="H19" i="34"/>
  <c r="AB19" i="34"/>
  <c r="J10" i="37"/>
  <c r="F36" i="35"/>
  <c r="J9" i="37"/>
  <c r="H9" i="37"/>
  <c r="F9" i="37"/>
  <c r="F11" i="37"/>
  <c r="S11" i="37"/>
  <c r="J12" i="37"/>
  <c r="AC12" i="37"/>
  <c r="H12" i="37"/>
  <c r="F12" i="37"/>
  <c r="AA12" i="37"/>
  <c r="H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G90" i="40"/>
  <c r="S27" i="31"/>
  <c r="AZ558" i="3"/>
  <c r="G483" i="3"/>
  <c r="G515" i="3"/>
  <c r="G501" i="3"/>
  <c r="BA15" i="3"/>
  <c r="BL17" i="3"/>
  <c r="BL15" i="3"/>
  <c r="BA14" i="3"/>
  <c r="AZ14" i="3"/>
  <c r="J57" i="39"/>
  <c r="H13" i="40"/>
  <c r="H12" i="48"/>
  <c r="I4" i="4"/>
  <c r="K141" i="21"/>
  <c r="K143" i="21"/>
  <c r="K144" i="21"/>
  <c r="I59" i="40"/>
  <c r="C59"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5" i="46"/>
  <c r="H16" i="48"/>
  <c r="H9" i="48"/>
  <c r="H8" i="48"/>
  <c r="C12" i="46"/>
  <c r="AB16" i="35"/>
  <c r="AA43" i="21"/>
  <c r="AA13" i="40"/>
  <c r="E78" i="40"/>
  <c r="F78" i="40"/>
  <c r="G78" i="40"/>
  <c r="H78" i="40"/>
  <c r="I78" i="40"/>
  <c r="J78" i="40"/>
  <c r="K78" i="40"/>
  <c r="L78" i="40"/>
  <c r="M78" i="40"/>
  <c r="BH5" i="3"/>
  <c r="R16" i="4"/>
  <c r="P16" i="4"/>
  <c r="D3" i="35"/>
  <c r="G4" i="4"/>
  <c r="J16" i="35"/>
  <c r="AC26" i="36"/>
  <c r="H13" i="39"/>
  <c r="AB13" i="39"/>
  <c r="F13" i="39"/>
  <c r="S13" i="39"/>
  <c r="J13" i="39"/>
  <c r="AC13" i="39"/>
  <c r="H11" i="37"/>
  <c r="W37" i="37"/>
  <c r="AA36" i="37"/>
  <c r="AC29" i="33"/>
  <c r="AC11" i="36"/>
  <c r="AB45" i="34"/>
  <c r="AC14" i="37"/>
  <c r="W30" i="33"/>
  <c r="U28" i="33"/>
  <c r="J33" i="34"/>
  <c r="J40" i="34"/>
  <c r="W40" i="34"/>
  <c r="F16" i="35"/>
  <c r="AA16" i="35"/>
  <c r="S24" i="36"/>
  <c r="J35" i="34"/>
  <c r="W35" i="34"/>
  <c r="F107" i="34"/>
  <c r="G107" i="34"/>
  <c r="H107" i="34"/>
  <c r="I107" i="34"/>
  <c r="J107" i="34"/>
  <c r="K107" i="34"/>
  <c r="L107" i="34"/>
  <c r="M107" i="34"/>
  <c r="S30" i="36"/>
  <c r="H16" i="36"/>
  <c r="G103" i="37"/>
  <c r="H103" i="37"/>
  <c r="I103" i="37"/>
  <c r="J103" i="37"/>
  <c r="K103" i="37"/>
  <c r="L103" i="37"/>
  <c r="M103" i="37"/>
  <c r="H35" i="37"/>
  <c r="AB35" i="37"/>
  <c r="AB12" i="21"/>
  <c r="H32" i="21"/>
  <c r="U32" i="21"/>
  <c r="AA33" i="21"/>
  <c r="S33" i="21"/>
  <c r="J32" i="21"/>
  <c r="AC32" i="21"/>
  <c r="AC5" i="3"/>
  <c r="F17" i="21"/>
  <c r="S17" i="21"/>
  <c r="H17" i="21"/>
  <c r="AB17" i="21"/>
  <c r="J17" i="21"/>
  <c r="AC17" i="21"/>
  <c r="F40" i="21"/>
  <c r="S40" i="21"/>
  <c r="H40" i="21"/>
  <c r="AB40" i="21"/>
  <c r="F119" i="21"/>
  <c r="G119" i="21"/>
  <c r="H119" i="21"/>
  <c r="I119" i="21"/>
  <c r="J119" i="21"/>
  <c r="K119" i="21"/>
  <c r="L119" i="21"/>
  <c r="M119" i="21"/>
  <c r="AA8" i="33"/>
  <c r="H66" i="33"/>
  <c r="F10" i="33"/>
  <c r="AA10" i="33"/>
  <c r="F11" i="33"/>
  <c r="S11" i="33"/>
  <c r="J15" i="33"/>
  <c r="W15" i="33"/>
  <c r="H19" i="33"/>
  <c r="AB19" i="33"/>
  <c r="F35" i="33"/>
  <c r="AA35" i="33"/>
  <c r="F11" i="34"/>
  <c r="S11" i="34"/>
  <c r="E80" i="34"/>
  <c r="F80" i="34"/>
  <c r="G80" i="34"/>
  <c r="H17" i="34"/>
  <c r="AB17" i="34"/>
  <c r="S12" i="35"/>
  <c r="AB28" i="35"/>
  <c r="J13" i="33"/>
  <c r="W13" i="33"/>
  <c r="H29" i="33"/>
  <c r="F29" i="33"/>
  <c r="J12" i="34"/>
  <c r="AC12" i="34"/>
  <c r="H12" i="34"/>
  <c r="AB12" i="34"/>
  <c r="F12" i="34"/>
  <c r="J14" i="34"/>
  <c r="F14" i="34"/>
  <c r="H14" i="34"/>
  <c r="AB14" i="34"/>
  <c r="H30" i="34"/>
  <c r="AB30" i="34"/>
  <c r="J30" i="34"/>
  <c r="W30" i="34"/>
  <c r="F32" i="34"/>
  <c r="H46" i="34"/>
  <c r="F46" i="34"/>
  <c r="AA46" i="34"/>
  <c r="J46" i="34"/>
  <c r="AC46" i="34"/>
  <c r="H11" i="35"/>
  <c r="AB11" i="35"/>
  <c r="J11" i="35"/>
  <c r="AC11" i="35"/>
  <c r="H32" i="37"/>
  <c r="AB32" i="37"/>
  <c r="F19" i="39"/>
  <c r="S19" i="39"/>
  <c r="H19" i="39"/>
  <c r="AB19" i="39"/>
  <c r="J19" i="39"/>
  <c r="W19" i="39"/>
  <c r="F43" i="39"/>
  <c r="H43" i="39"/>
  <c r="U43" i="39"/>
  <c r="J43" i="39"/>
  <c r="W43" i="39"/>
  <c r="F99" i="37"/>
  <c r="AC27" i="37"/>
  <c r="U31" i="34"/>
  <c r="S28" i="33"/>
  <c r="S14" i="21"/>
  <c r="AB29" i="35"/>
  <c r="U29" i="35"/>
  <c r="AC34" i="37"/>
  <c r="S35" i="37"/>
  <c r="AA35" i="37"/>
  <c r="AB10" i="35"/>
  <c r="AB34" i="21"/>
  <c r="BL570" i="3"/>
  <c r="F42" i="21"/>
  <c r="AA42" i="21"/>
  <c r="AB40" i="33"/>
  <c r="U40" i="33"/>
  <c r="S35" i="34"/>
  <c r="H27" i="34"/>
  <c r="AB8" i="35"/>
  <c r="U8" i="35"/>
  <c r="S9" i="35"/>
  <c r="J14" i="35"/>
  <c r="AC14" i="35"/>
  <c r="F14" i="35"/>
  <c r="H14" i="35"/>
  <c r="E80" i="35"/>
  <c r="F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27" i="36"/>
  <c r="AB27" i="36"/>
  <c r="AA31" i="36"/>
  <c r="AC25" i="37"/>
  <c r="AC26" i="37"/>
  <c r="W26" i="37"/>
  <c r="AB29" i="37"/>
  <c r="AA30" i="37"/>
  <c r="AC31" i="37"/>
  <c r="W31" i="37"/>
  <c r="AB14" i="37"/>
  <c r="F17" i="39"/>
  <c r="H17" i="39"/>
  <c r="U17" i="39"/>
  <c r="J17" i="39"/>
  <c r="F21" i="39"/>
  <c r="H21" i="39"/>
  <c r="U21" i="39"/>
  <c r="J21" i="39"/>
  <c r="W21" i="39"/>
  <c r="H33" i="39"/>
  <c r="F44" i="39"/>
  <c r="S44" i="39"/>
  <c r="H44" i="39"/>
  <c r="U44" i="39"/>
  <c r="J44" i="39"/>
  <c r="W44" i="39"/>
  <c r="E128" i="39"/>
  <c r="F128" i="39"/>
  <c r="G128" i="39"/>
  <c r="H128" i="39"/>
  <c r="I128" i="39"/>
  <c r="J128" i="39"/>
  <c r="K128" i="39"/>
  <c r="L128" i="39"/>
  <c r="M128" i="39"/>
  <c r="F46" i="39"/>
  <c r="H46" i="39"/>
  <c r="J46" i="39"/>
  <c r="W46" i="39"/>
  <c r="F29" i="39"/>
  <c r="E103" i="39"/>
  <c r="F103" i="39"/>
  <c r="G103" i="39"/>
  <c r="H29" i="39"/>
  <c r="U29" i="39"/>
  <c r="F34" i="39"/>
  <c r="AA34" i="39"/>
  <c r="H34" i="39"/>
  <c r="AB34" i="39"/>
  <c r="J34" i="39"/>
  <c r="AC34" i="39"/>
  <c r="F39" i="39"/>
  <c r="H39" i="39"/>
  <c r="J39" i="39"/>
  <c r="AC39" i="39"/>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c r="BL547" i="3"/>
  <c r="BA547" i="3"/>
  <c r="AZ547" i="3"/>
  <c r="BL539" i="3"/>
  <c r="BA539" i="3"/>
  <c r="AZ539" i="3"/>
  <c r="BA538" i="3"/>
  <c r="BL537" i="3"/>
  <c r="AZ537" i="3"/>
  <c r="BA537" i="3"/>
  <c r="BL536" i="3"/>
  <c r="AZ536" i="3"/>
  <c r="BA535" i="3"/>
  <c r="BA534" i="3"/>
  <c r="BA533" i="3"/>
  <c r="BL531" i="3"/>
  <c r="BA530" i="3"/>
  <c r="BL529" i="3"/>
  <c r="AZ529" i="3"/>
  <c r="BA529" i="3"/>
  <c r="BL528" i="3"/>
  <c r="AZ528" i="3"/>
  <c r="BA527" i="3"/>
  <c r="BA526" i="3"/>
  <c r="BA525" i="3"/>
  <c r="BL523" i="3"/>
  <c r="BA523" i="3"/>
  <c r="AZ523" i="3"/>
  <c r="BA522" i="3"/>
  <c r="AZ522" i="3"/>
  <c r="BL521" i="3"/>
  <c r="AZ521" i="3"/>
  <c r="BA519" i="3"/>
  <c r="AZ519" i="3"/>
  <c r="BL518" i="3"/>
  <c r="BA517" i="3"/>
  <c r="BL515" i="3"/>
  <c r="AZ515" i="3"/>
  <c r="BA515" i="3"/>
  <c r="BA514" i="3"/>
  <c r="AZ514" i="3"/>
  <c r="BL513" i="3"/>
  <c r="BA513" i="3"/>
  <c r="AZ513" i="3"/>
  <c r="AZ512" i="3"/>
  <c r="BA511" i="3"/>
  <c r="AZ511" i="3"/>
  <c r="BA507" i="3"/>
  <c r="BL506" i="3"/>
  <c r="BA504" i="3"/>
  <c r="BA503" i="3"/>
  <c r="AZ503" i="3"/>
  <c r="BA500" i="3"/>
  <c r="AZ500" i="3"/>
  <c r="BA499" i="3"/>
  <c r="BL498" i="3"/>
  <c r="BL497" i="3"/>
  <c r="BL496" i="3"/>
  <c r="BA495" i="3"/>
  <c r="AZ495" i="3"/>
  <c r="BA494" i="3"/>
  <c r="AZ494" i="3"/>
  <c r="G494" i="3"/>
  <c r="BA491" i="3"/>
  <c r="AZ491" i="3"/>
  <c r="BA490" i="3"/>
  <c r="BL489" i="3"/>
  <c r="BL486" i="3"/>
  <c r="BA486" i="3"/>
  <c r="AZ486" i="3"/>
  <c r="BA485" i="3"/>
  <c r="AZ485" i="3"/>
  <c r="BA483" i="3"/>
  <c r="AZ483" i="3"/>
  <c r="BA482" i="3"/>
  <c r="AZ482" i="3"/>
  <c r="BL19" i="3"/>
  <c r="BA18" i="3"/>
  <c r="H38" i="34"/>
  <c r="U38" i="34"/>
  <c r="H30" i="40"/>
  <c r="AB30" i="40"/>
  <c r="G100" i="40"/>
  <c r="J30" i="40"/>
  <c r="AC30" i="40"/>
  <c r="F38" i="40"/>
  <c r="AA38" i="40"/>
  <c r="AC12" i="21"/>
  <c r="W12" i="21"/>
  <c r="AB33" i="21"/>
  <c r="S35" i="21"/>
  <c r="AB10" i="21"/>
  <c r="AB8" i="33"/>
  <c r="E106" i="33"/>
  <c r="H34" i="33"/>
  <c r="F34" i="33"/>
  <c r="E121" i="33"/>
  <c r="F41" i="33"/>
  <c r="S41" i="33"/>
  <c r="W34" i="34"/>
  <c r="AA39" i="34"/>
  <c r="E78" i="34"/>
  <c r="F78" i="34"/>
  <c r="F15" i="34"/>
  <c r="S15" i="34"/>
  <c r="AC28" i="35"/>
  <c r="W28" i="35"/>
  <c r="J20" i="35"/>
  <c r="AC20" i="35"/>
  <c r="E72" i="35"/>
  <c r="F72" i="35"/>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H32" i="40"/>
  <c r="U32" i="40"/>
  <c r="H33" i="40"/>
  <c r="AB33" i="40"/>
  <c r="F33" i="40"/>
  <c r="J33" i="40"/>
  <c r="H35" i="40"/>
  <c r="F35" i="40"/>
  <c r="J35" i="40"/>
  <c r="AC35" i="40"/>
  <c r="J38" i="39"/>
  <c r="H38" i="39"/>
  <c r="J16" i="40"/>
  <c r="W16" i="40"/>
  <c r="J14" i="40"/>
  <c r="H42" i="40"/>
  <c r="U42" i="40"/>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27" i="43"/>
  <c r="F72" i="9"/>
  <c r="W35" i="40"/>
  <c r="AB32" i="40"/>
  <c r="AC47" i="39"/>
  <c r="S47" i="39"/>
  <c r="AB25" i="39"/>
  <c r="AC41" i="40"/>
  <c r="W41" i="40"/>
  <c r="U41" i="40"/>
  <c r="J23" i="40"/>
  <c r="AC23" i="40"/>
  <c r="F23" i="40"/>
  <c r="AC15" i="40"/>
  <c r="S23" i="39"/>
  <c r="AB16" i="39"/>
  <c r="W14" i="39"/>
  <c r="U23" i="35"/>
  <c r="AB23" i="35"/>
  <c r="H20" i="35"/>
  <c r="U20" i="35"/>
  <c r="F20" i="35"/>
  <c r="S20" i="35"/>
  <c r="H15" i="34"/>
  <c r="AB15" i="34"/>
  <c r="G78" i="34"/>
  <c r="J15" i="34"/>
  <c r="W15" i="34"/>
  <c r="H41" i="33"/>
  <c r="U41" i="33"/>
  <c r="F121" i="33"/>
  <c r="G121" i="33"/>
  <c r="H121" i="33"/>
  <c r="I121" i="33"/>
  <c r="J121" i="33"/>
  <c r="K121" i="33"/>
  <c r="L121" i="33"/>
  <c r="M121" i="33"/>
  <c r="F30" i="40"/>
  <c r="H100" i="40"/>
  <c r="I100" i="40"/>
  <c r="J100" i="40"/>
  <c r="K100" i="40"/>
  <c r="L100" i="40"/>
  <c r="M100" i="40"/>
  <c r="AZ549" i="3"/>
  <c r="AB37" i="39"/>
  <c r="AA29" i="35"/>
  <c r="J29" i="39"/>
  <c r="AC29" i="39"/>
  <c r="AB21" i="39"/>
  <c r="AA11" i="36"/>
  <c r="AA14" i="35"/>
  <c r="S14" i="35"/>
  <c r="G99" i="37"/>
  <c r="F33" i="37"/>
  <c r="AA33" i="37"/>
  <c r="U19" i="39"/>
  <c r="W12" i="34"/>
  <c r="AC13" i="33"/>
  <c r="AA11" i="34"/>
  <c r="H15" i="33"/>
  <c r="U15" i="33"/>
  <c r="AA11" i="33"/>
  <c r="AA13" i="39"/>
  <c r="U16" i="40"/>
  <c r="W34" i="40"/>
  <c r="AB34" i="40"/>
  <c r="AC16" i="40"/>
  <c r="H25" i="40"/>
  <c r="F94" i="40"/>
  <c r="G94" i="40"/>
  <c r="U47" i="39"/>
  <c r="W15" i="39"/>
  <c r="S41" i="40"/>
  <c r="AB23" i="40"/>
  <c r="U27" i="39"/>
  <c r="H23" i="39"/>
  <c r="AB23" i="39"/>
  <c r="J23" i="39"/>
  <c r="AC23" i="39"/>
  <c r="F97" i="39"/>
  <c r="G97" i="39"/>
  <c r="S16" i="39"/>
  <c r="F106" i="33"/>
  <c r="G106" i="33"/>
  <c r="H106" i="33"/>
  <c r="I106" i="33"/>
  <c r="J106" i="33"/>
  <c r="K106" i="33"/>
  <c r="L106" i="33"/>
  <c r="M106" i="33"/>
  <c r="J34" i="33"/>
  <c r="AA37" i="39"/>
  <c r="W29" i="35"/>
  <c r="W39" i="39"/>
  <c r="AA39" i="39"/>
  <c r="S39" i="39"/>
  <c r="U34" i="39"/>
  <c r="AB29" i="39"/>
  <c r="AB44" i="39"/>
  <c r="U11" i="36"/>
  <c r="G80" i="35"/>
  <c r="H80" i="35"/>
  <c r="I80" i="35"/>
  <c r="J80" i="35"/>
  <c r="K80" i="35"/>
  <c r="L80" i="35"/>
  <c r="M80" i="35"/>
  <c r="W14" i="35"/>
  <c r="F90" i="34"/>
  <c r="G90" i="34"/>
  <c r="H90" i="34"/>
  <c r="I90" i="34"/>
  <c r="J90" i="34"/>
  <c r="K90" i="34"/>
  <c r="L90" i="34"/>
  <c r="M90" i="34"/>
  <c r="F27" i="34"/>
  <c r="AA43" i="39"/>
  <c r="S43" i="39"/>
  <c r="AA19" i="39"/>
  <c r="H96" i="37"/>
  <c r="I96" i="37"/>
  <c r="J96" i="37"/>
  <c r="K96" i="37"/>
  <c r="L96" i="37"/>
  <c r="M96" i="37"/>
  <c r="F32" i="37"/>
  <c r="F17" i="34"/>
  <c r="AA17" i="34"/>
  <c r="J17" i="34"/>
  <c r="AC17" i="34"/>
  <c r="H11" i="34"/>
  <c r="AB11" i="34"/>
  <c r="J35" i="33"/>
  <c r="W35" i="33"/>
  <c r="H11" i="33"/>
  <c r="U11" i="33"/>
  <c r="H10" i="33"/>
  <c r="U10" i="33"/>
  <c r="I66" i="33"/>
  <c r="J10" i="33"/>
  <c r="AC10" i="33"/>
  <c r="U13" i="39"/>
  <c r="AC13" i="40"/>
  <c r="J11" i="34"/>
  <c r="W11" i="34"/>
  <c r="F25" i="40"/>
  <c r="AA25" i="40"/>
  <c r="J11" i="33"/>
  <c r="W11" i="33"/>
  <c r="H33" i="37"/>
  <c r="AB33" i="37"/>
  <c r="AB20" i="35"/>
  <c r="W23" i="40"/>
  <c r="D73" i="9"/>
  <c r="N73" i="9"/>
  <c r="AP11" i="1"/>
  <c r="B11" i="1"/>
  <c r="E11" i="1"/>
  <c r="K11" i="1"/>
  <c r="M11" i="1"/>
  <c r="O11" i="1"/>
  <c r="B9" i="1"/>
  <c r="E9" i="1"/>
  <c r="K9" i="1"/>
  <c r="M9" i="1"/>
  <c r="O9" i="1"/>
  <c r="B7" i="1"/>
  <c r="E7" i="1"/>
  <c r="C20" i="43"/>
  <c r="F6" i="1"/>
  <c r="G11" i="1"/>
  <c r="F70" i="9"/>
  <c r="M20" i="44"/>
  <c r="F30" i="44"/>
  <c r="AC25" i="36"/>
  <c r="S23" i="36"/>
  <c r="S8" i="36"/>
  <c r="AA26" i="36"/>
  <c r="AA28" i="36"/>
  <c r="U25" i="36"/>
  <c r="H20" i="36"/>
  <c r="F68" i="36"/>
  <c r="G68" i="36"/>
  <c r="J20" i="36"/>
  <c r="AC20" i="36"/>
  <c r="F20" i="36"/>
  <c r="S20" i="36"/>
  <c r="F62" i="36"/>
  <c r="G62" i="36"/>
  <c r="J14" i="36"/>
  <c r="AC14" i="36"/>
  <c r="H14" i="36"/>
  <c r="F14" i="36"/>
  <c r="AA14" i="36"/>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c r="H99" i="37"/>
  <c r="I99" i="37"/>
  <c r="J99" i="37"/>
  <c r="K99" i="37"/>
  <c r="L99" i="37"/>
  <c r="M99" i="37"/>
  <c r="S29" i="37"/>
  <c r="J19" i="37"/>
  <c r="AC19" i="37"/>
  <c r="G75" i="37"/>
  <c r="F19" i="37"/>
  <c r="H19" i="37"/>
  <c r="AB19" i="37"/>
  <c r="J17" i="37"/>
  <c r="S15" i="37"/>
  <c r="AC21" i="37"/>
  <c r="W21" i="37"/>
  <c r="AC11" i="37"/>
  <c r="W32" i="37"/>
  <c r="U35" i="37"/>
  <c r="AB21" i="37"/>
  <c r="U21" i="37"/>
  <c r="S37" i="37"/>
  <c r="S10" i="37"/>
  <c r="U30" i="34"/>
  <c r="AB33" i="34"/>
  <c r="AA33" i="34"/>
  <c r="U34" i="34"/>
  <c r="U28" i="34"/>
  <c r="J25" i="34"/>
  <c r="W25" i="34"/>
  <c r="H25" i="34"/>
  <c r="AB25" i="34"/>
  <c r="F25" i="34"/>
  <c r="AA25" i="34"/>
  <c r="J23" i="34"/>
  <c r="AC23" i="34"/>
  <c r="F23" i="34"/>
  <c r="AA23" i="34"/>
  <c r="H23" i="34"/>
  <c r="U23" i="34"/>
  <c r="U10" i="34"/>
  <c r="W44" i="34"/>
  <c r="W29" i="34"/>
  <c r="AC21" i="34"/>
  <c r="W21" i="34"/>
  <c r="AB21" i="34"/>
  <c r="U21" i="34"/>
  <c r="S13" i="34"/>
  <c r="AA41" i="34"/>
  <c r="S9" i="34"/>
  <c r="S10" i="34"/>
  <c r="U39" i="33"/>
  <c r="AC12" i="33"/>
  <c r="W43" i="33"/>
  <c r="U46" i="33"/>
  <c r="W39" i="33"/>
  <c r="H25" i="33"/>
  <c r="J25" i="33"/>
  <c r="F87" i="33"/>
  <c r="G87" i="33"/>
  <c r="H87" i="33"/>
  <c r="I87" i="33"/>
  <c r="J87" i="33"/>
  <c r="K87" i="33"/>
  <c r="L87" i="33"/>
  <c r="M87" i="33"/>
  <c r="F25" i="33"/>
  <c r="AA25" i="33"/>
  <c r="G85" i="33"/>
  <c r="J23" i="33"/>
  <c r="AC23" i="33"/>
  <c r="F23" i="33"/>
  <c r="S23" i="33"/>
  <c r="H23" i="33"/>
  <c r="AB23" i="33"/>
  <c r="F79" i="33"/>
  <c r="G79" i="33"/>
  <c r="F17" i="33"/>
  <c r="AA17" i="33"/>
  <c r="H17" i="33"/>
  <c r="U17" i="33"/>
  <c r="J17" i="33"/>
  <c r="W17" i="33"/>
  <c r="AC21" i="33"/>
  <c r="W21" i="33"/>
  <c r="AB21" i="33"/>
  <c r="U21" i="33"/>
  <c r="AA21" i="33"/>
  <c r="S21" i="33"/>
  <c r="U35" i="21"/>
  <c r="J23" i="21"/>
  <c r="W23" i="21"/>
  <c r="F23" i="21"/>
  <c r="AA23" i="21"/>
  <c r="H23" i="21"/>
  <c r="U23" i="21"/>
  <c r="AC11" i="21"/>
  <c r="AB11" i="21"/>
  <c r="W13" i="21"/>
  <c r="AC21" i="21"/>
  <c r="W21" i="21"/>
  <c r="W10" i="21"/>
  <c r="AC38" i="21"/>
  <c r="U21" i="21"/>
  <c r="AB29" i="21"/>
  <c r="AA31" i="21"/>
  <c r="U33" i="40"/>
  <c r="U15" i="40"/>
  <c r="S14" i="40"/>
  <c r="S15" i="40"/>
  <c r="S16" i="40"/>
  <c r="W11" i="40"/>
  <c r="AA21" i="40"/>
  <c r="U21" i="40"/>
  <c r="W25" i="40"/>
  <c r="W42" i="40"/>
  <c r="F37" i="40"/>
  <c r="S37" i="40"/>
  <c r="J37" i="40"/>
  <c r="AC37" i="40"/>
  <c r="H37" i="40"/>
  <c r="G113" i="40"/>
  <c r="H113" i="40"/>
  <c r="I113" i="40"/>
  <c r="J113" i="40"/>
  <c r="K113" i="40"/>
  <c r="L113" i="40"/>
  <c r="M113" i="40"/>
  <c r="F39" i="40"/>
  <c r="S38" i="40"/>
  <c r="H39" i="40"/>
  <c r="J39" i="40"/>
  <c r="W39" i="40"/>
  <c r="W38" i="40"/>
  <c r="F29" i="40"/>
  <c r="S29" i="40"/>
  <c r="H29" i="40"/>
  <c r="J29" i="40"/>
  <c r="W29" i="40"/>
  <c r="G98" i="40"/>
  <c r="H98" i="40"/>
  <c r="I98" i="40"/>
  <c r="J98" i="40"/>
  <c r="K98" i="40"/>
  <c r="L98" i="40"/>
  <c r="M98" i="40"/>
  <c r="S25" i="40"/>
  <c r="F19" i="40"/>
  <c r="S19" i="40"/>
  <c r="H19" i="40"/>
  <c r="J19" i="40"/>
  <c r="AC19" i="40"/>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c r="C53" i="10"/>
  <c r="A25" i="64"/>
  <c r="A18" i="51"/>
  <c r="B14" i="63"/>
  <c r="BA16" i="3"/>
  <c r="BA17" i="3"/>
  <c r="C24" i="12"/>
  <c r="F3" i="35"/>
  <c r="K1" i="43"/>
  <c r="K1" i="12"/>
  <c r="G1" i="44"/>
  <c r="AZ15" i="3"/>
  <c r="BO5" i="3"/>
  <c r="BL18" i="3"/>
  <c r="BS5" i="3"/>
  <c r="BL16" i="3"/>
  <c r="BM5" i="3"/>
  <c r="F29" i="6"/>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c r="B78" i="46"/>
  <c r="D69" i="46"/>
  <c r="E69" i="46"/>
  <c r="B67" i="46"/>
  <c r="E47" i="46"/>
  <c r="E58" i="46"/>
  <c r="A4" i="64"/>
  <c r="A4" i="51"/>
  <c r="C51" i="10"/>
  <c r="H71" i="46"/>
  <c r="H75" i="46"/>
  <c r="H76" i="46"/>
  <c r="I100" i="46"/>
  <c r="B56" i="46"/>
  <c r="C24" i="46"/>
  <c r="N100" i="46"/>
  <c r="H100" i="46"/>
  <c r="F108" i="46"/>
  <c r="H80" i="46"/>
  <c r="B45" i="46"/>
  <c r="E100" i="46"/>
  <c r="G100" i="46"/>
  <c r="H84" i="46"/>
  <c r="C100" i="46"/>
  <c r="J100" i="46"/>
  <c r="M100" i="46"/>
  <c r="AA12" i="36"/>
  <c r="U12" i="35"/>
  <c r="AB12" i="35"/>
  <c r="W11" i="35"/>
  <c r="S14" i="37"/>
  <c r="U13" i="37"/>
  <c r="S13" i="21"/>
  <c r="C24" i="9"/>
  <c r="C25" i="9"/>
  <c r="AP7" i="1"/>
  <c r="G7" i="1"/>
  <c r="AP9" i="1"/>
  <c r="G9" i="1"/>
  <c r="AP8" i="1"/>
  <c r="G8" i="1"/>
  <c r="I20" i="46"/>
  <c r="C20" i="46"/>
  <c r="B6" i="63"/>
  <c r="L5" i="54"/>
  <c r="B39" i="63"/>
  <c r="K5" i="54"/>
  <c r="B38" i="63"/>
  <c r="T41" i="4"/>
  <c r="C46" i="36"/>
  <c r="C59" i="34"/>
  <c r="C48" i="35"/>
  <c r="D48" i="35"/>
  <c r="C52" i="37"/>
  <c r="D52" i="37"/>
  <c r="P24" i="46"/>
  <c r="B68" i="40"/>
  <c r="P25" i="46"/>
  <c r="B73" i="39"/>
  <c r="P23" i="46"/>
  <c r="P21" i="46"/>
  <c r="P22" i="46"/>
  <c r="D70" i="39"/>
  <c r="D72" i="39"/>
  <c r="O19" i="46"/>
  <c r="H77" i="46"/>
  <c r="H73" i="46"/>
  <c r="H69" i="46"/>
  <c r="H74" i="46"/>
  <c r="H86" i="46"/>
  <c r="H10" i="48"/>
  <c r="H87" i="46"/>
  <c r="H83" i="46"/>
  <c r="K10" i="1"/>
  <c r="M10" i="1"/>
  <c r="O10" i="1"/>
  <c r="B6" i="1"/>
  <c r="E6" i="1"/>
  <c r="B10" i="1"/>
  <c r="E10" i="1"/>
  <c r="B8" i="1"/>
  <c r="E8" i="1"/>
  <c r="B12" i="1"/>
  <c r="E12" i="1"/>
  <c r="G1" i="15"/>
  <c r="F66" i="36"/>
  <c r="H18" i="36"/>
  <c r="U18" i="36"/>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W47" i="34"/>
  <c r="AB29" i="34"/>
  <c r="AB47" i="34"/>
  <c r="AB13" i="34"/>
  <c r="AC13" i="34"/>
  <c r="S47" i="34"/>
  <c r="AB12" i="33"/>
  <c r="S15" i="33"/>
  <c r="AB25" i="21"/>
  <c r="AA25" i="21"/>
  <c r="AA29" i="21"/>
  <c r="W31"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AB39" i="40"/>
  <c r="U39" i="40"/>
  <c r="AC39" i="40"/>
  <c r="AA39" i="40"/>
  <c r="S39" i="40"/>
  <c r="U37" i="40"/>
  <c r="AB37" i="40"/>
  <c r="AA37" i="40"/>
  <c r="U29" i="40"/>
  <c r="AB29" i="40"/>
  <c r="AC29" i="40"/>
  <c r="AA29" i="40"/>
  <c r="AA19" i="40"/>
  <c r="AB19" i="40"/>
  <c r="U19" i="40"/>
  <c r="AC27" i="40"/>
  <c r="W27" i="40"/>
  <c r="W31" i="39"/>
  <c r="AC31" i="39"/>
  <c r="H70" i="46"/>
  <c r="H72" i="46"/>
  <c r="A9" i="64"/>
  <c r="A9" i="51"/>
  <c r="B9" i="63"/>
  <c r="A25" i="51"/>
  <c r="B18" i="63"/>
  <c r="E52" i="37"/>
  <c r="F52" i="37"/>
  <c r="G52" i="37"/>
  <c r="H52" i="37"/>
  <c r="I52" i="37"/>
  <c r="J52" i="37"/>
  <c r="K52" i="37"/>
  <c r="L52" i="37"/>
  <c r="M52" i="37"/>
  <c r="N52" i="37"/>
  <c r="O52" i="37"/>
  <c r="E4" i="4"/>
  <c r="B21" i="55"/>
  <c r="B72" i="63"/>
  <c r="G66" i="36"/>
  <c r="J18" i="36"/>
  <c r="AC18" i="36"/>
  <c r="W18" i="36"/>
  <c r="L20" i="6"/>
  <c r="C45" i="9"/>
  <c r="O40" i="9"/>
  <c r="C44" i="9"/>
  <c r="G14" i="66"/>
  <c r="B6" i="66"/>
  <c r="N69" i="9"/>
  <c r="M86" i="9"/>
  <c r="N86" i="9"/>
  <c r="O39" i="9"/>
  <c r="R6" i="54"/>
  <c r="K29" i="9"/>
  <c r="K30" i="9"/>
  <c r="B50" i="63"/>
  <c r="N76" i="9"/>
  <c r="C46" i="9"/>
  <c r="K33" i="9"/>
  <c r="K34" i="9"/>
  <c r="O41" i="9"/>
  <c r="R8" i="54"/>
  <c r="B54" i="63"/>
  <c r="P75" i="15"/>
  <c r="AC46" i="21"/>
  <c r="S46" i="21"/>
  <c r="U46" i="21"/>
  <c r="U39" i="21"/>
  <c r="AA44" i="34"/>
  <c r="AC27" i="34"/>
  <c r="W27" i="34"/>
  <c r="J36" i="34"/>
  <c r="AC36" i="34"/>
  <c r="U12" i="34"/>
  <c r="J43" i="34"/>
  <c r="AC43" i="34"/>
  <c r="AB35" i="34"/>
  <c r="AC35" i="34"/>
  <c r="AB36" i="34"/>
  <c r="W36" i="34"/>
  <c r="AA38" i="34"/>
  <c r="AB41" i="34"/>
  <c r="AA40" i="34"/>
  <c r="AC41" i="34"/>
  <c r="W39" i="34"/>
  <c r="AA41" i="33"/>
  <c r="AC37" i="33"/>
  <c r="U35" i="33"/>
  <c r="W40" i="33"/>
  <c r="S43" i="34"/>
  <c r="AB43" i="34"/>
  <c r="W43" i="34"/>
  <c r="AB39" i="34"/>
  <c r="AB38" i="34"/>
  <c r="AC40" i="34"/>
  <c r="AB40" i="34"/>
  <c r="U44" i="34"/>
  <c r="H112" i="34"/>
  <c r="I112" i="34"/>
  <c r="J112" i="34"/>
  <c r="K112" i="34"/>
  <c r="L112" i="34"/>
  <c r="M112" i="34"/>
  <c r="F37" i="34"/>
  <c r="H37" i="34"/>
  <c r="J37" i="34"/>
  <c r="AA29" i="34"/>
  <c r="AA31" i="34"/>
  <c r="AC30" i="34"/>
  <c r="J32" i="34"/>
  <c r="W32" i="34"/>
  <c r="W31" i="34"/>
  <c r="AC25" i="34"/>
  <c r="U25" i="34"/>
  <c r="W23" i="34"/>
  <c r="AB23" i="34"/>
  <c r="S19" i="34"/>
  <c r="U19" i="34"/>
  <c r="S17" i="34"/>
  <c r="U17" i="34"/>
  <c r="S23" i="34"/>
  <c r="W19" i="34"/>
  <c r="W17" i="34"/>
  <c r="U15" i="34"/>
  <c r="AA15" i="34"/>
  <c r="AC15" i="34"/>
  <c r="AC11" i="34"/>
  <c r="U11" i="34"/>
  <c r="AB8" i="34"/>
  <c r="S46" i="34"/>
  <c r="W46" i="34"/>
  <c r="AC45" i="34"/>
  <c r="AA45" i="34"/>
  <c r="AC45" i="33"/>
  <c r="S43" i="33"/>
  <c r="W42" i="33"/>
  <c r="S42" i="33"/>
  <c r="S35" i="33"/>
  <c r="AA38" i="33"/>
  <c r="AB42" i="33"/>
  <c r="U37" i="33"/>
  <c r="S37" i="33"/>
  <c r="AC35" i="33"/>
  <c r="G101" i="33"/>
  <c r="H101" i="33"/>
  <c r="I101" i="33"/>
  <c r="J101" i="33"/>
  <c r="K101" i="33"/>
  <c r="L101" i="33"/>
  <c r="M101" i="33"/>
  <c r="H32" i="33"/>
  <c r="AB32" i="33"/>
  <c r="F32" i="33"/>
  <c r="AA32" i="33"/>
  <c r="J32" i="33"/>
  <c r="W32" i="33"/>
  <c r="W27" i="33"/>
  <c r="AA27" i="33"/>
  <c r="W23" i="33"/>
  <c r="AA19" i="33"/>
  <c r="AB17" i="33"/>
  <c r="S17" i="33"/>
  <c r="S46" i="33"/>
  <c r="AB44" i="33"/>
  <c r="AA44" i="33"/>
  <c r="AC44" i="33"/>
  <c r="H111" i="33"/>
  <c r="I111" i="33"/>
  <c r="J111" i="33"/>
  <c r="K111" i="33"/>
  <c r="L111" i="33"/>
  <c r="M111" i="33"/>
  <c r="F36" i="33"/>
  <c r="J36" i="33"/>
  <c r="W36" i="33"/>
  <c r="H36" i="33"/>
  <c r="W41" i="33"/>
  <c r="S25" i="33"/>
  <c r="U23" i="33"/>
  <c r="U19" i="33"/>
  <c r="AC17" i="33"/>
  <c r="AC15" i="33"/>
  <c r="AB15" i="33"/>
  <c r="AA13" i="33"/>
  <c r="S13" i="33"/>
  <c r="H13" i="33"/>
  <c r="AB13" i="33"/>
  <c r="AC11" i="33"/>
  <c r="AB11" i="33"/>
  <c r="S10" i="33"/>
  <c r="AB10" i="33"/>
  <c r="AC8" i="33"/>
  <c r="S34" i="21"/>
  <c r="S32" i="21"/>
  <c r="AB36" i="21"/>
  <c r="U43" i="21"/>
  <c r="U40" i="21"/>
  <c r="AC26" i="21"/>
  <c r="AB45" i="21"/>
  <c r="W42" i="21"/>
  <c r="S42" i="21"/>
  <c r="U42" i="21"/>
  <c r="AA40" i="21"/>
  <c r="W39" i="21"/>
  <c r="U38" i="21"/>
  <c r="AC34" i="21"/>
  <c r="W32" i="21"/>
  <c r="AB32" i="21"/>
  <c r="S27" i="21"/>
  <c r="U27" i="21"/>
  <c r="S8" i="21"/>
  <c r="W44" i="21"/>
  <c r="AC45" i="21"/>
  <c r="S45" i="21"/>
  <c r="S44" i="21"/>
  <c r="AC23" i="21"/>
  <c r="AA17" i="21"/>
  <c r="F81" i="21"/>
  <c r="G81" i="21"/>
  <c r="H19" i="21"/>
  <c r="AB19" i="21"/>
  <c r="F19" i="21"/>
  <c r="AA19" i="21"/>
  <c r="J19" i="21"/>
  <c r="W19" i="21"/>
  <c r="H15" i="21"/>
  <c r="F15" i="21"/>
  <c r="F77" i="21"/>
  <c r="G77" i="21"/>
  <c r="J15" i="21"/>
  <c r="H113" i="21"/>
  <c r="J37" i="21"/>
  <c r="F37" i="21"/>
  <c r="S37" i="21"/>
  <c r="H37" i="21"/>
  <c r="AB31" i="21"/>
  <c r="W25" i="21"/>
  <c r="S23" i="21"/>
  <c r="S21" i="21"/>
  <c r="W17" i="21"/>
  <c r="U17" i="21"/>
  <c r="AA11" i="21"/>
  <c r="H65" i="73"/>
  <c r="H60" i="73"/>
  <c r="H64" i="73"/>
  <c r="H59" i="73"/>
  <c r="H63" i="73"/>
  <c r="H58" i="73"/>
  <c r="H61" i="73"/>
  <c r="H66" i="73"/>
  <c r="H62" i="73"/>
  <c r="H54" i="72"/>
  <c r="H49" i="72"/>
  <c r="H53" i="72"/>
  <c r="H51" i="72"/>
  <c r="H47" i="72"/>
  <c r="H50" i="72"/>
  <c r="H55" i="72"/>
  <c r="H48" i="72"/>
  <c r="H52" i="72"/>
  <c r="AZ18" i="3"/>
  <c r="AZ17" i="3"/>
  <c r="G15" i="3"/>
  <c r="H59" i="46"/>
  <c r="H65" i="46"/>
  <c r="H17" i="46"/>
  <c r="I4" i="6"/>
  <c r="J9" i="70"/>
  <c r="H9" i="70"/>
  <c r="F9" i="70"/>
  <c r="D9" i="70"/>
  <c r="J9" i="69"/>
  <c r="H9" i="69"/>
  <c r="F9" i="69"/>
  <c r="D9" i="69"/>
  <c r="J9" i="68"/>
  <c r="H9" i="68"/>
  <c r="F9" i="68"/>
  <c r="K9" i="70"/>
  <c r="I9" i="70"/>
  <c r="G9" i="70"/>
  <c r="E9" i="70"/>
  <c r="C9" i="70"/>
  <c r="K9" i="69"/>
  <c r="I9" i="69"/>
  <c r="G9" i="69"/>
  <c r="E9" i="69"/>
  <c r="C9" i="69"/>
  <c r="K9" i="68"/>
  <c r="I9" i="68"/>
  <c r="G9" i="68"/>
  <c r="E9" i="68"/>
  <c r="C9" i="43"/>
  <c r="E9" i="43"/>
  <c r="G9" i="43"/>
  <c r="I9" i="43"/>
  <c r="K9" i="43"/>
  <c r="K8" i="1"/>
  <c r="M8" i="1"/>
  <c r="K12" i="1"/>
  <c r="M12" i="1"/>
  <c r="O12" i="1"/>
  <c r="P12" i="1"/>
  <c r="D9" i="43"/>
  <c r="F9" i="43"/>
  <c r="H9" i="43"/>
  <c r="J9" i="43"/>
  <c r="K13" i="1"/>
  <c r="M13" i="1"/>
  <c r="O13" i="1"/>
  <c r="P13" i="1"/>
  <c r="E70" i="39"/>
  <c r="F70" i="39"/>
  <c r="D9" i="68"/>
  <c r="D10" i="68"/>
  <c r="K7" i="1"/>
  <c r="G3" i="46"/>
  <c r="C9" i="68"/>
  <c r="K6" i="1"/>
  <c r="F69" i="71"/>
  <c r="H75" i="71"/>
  <c r="G75" i="71"/>
  <c r="C6" i="71"/>
  <c r="D18" i="9"/>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E7" i="52"/>
  <c r="E4" i="52"/>
  <c r="B14" i="52"/>
  <c r="E8" i="52"/>
  <c r="E21" i="52"/>
  <c r="AP6" i="1"/>
  <c r="I20" i="71"/>
  <c r="K1" i="70"/>
  <c r="G1" i="76"/>
  <c r="G1" i="75"/>
  <c r="G1" i="74"/>
  <c r="K1" i="69"/>
  <c r="K1" i="68"/>
  <c r="P10" i="1"/>
  <c r="G3" i="73"/>
  <c r="L16" i="4"/>
  <c r="N16" i="4"/>
  <c r="E5" i="52"/>
  <c r="B16" i="52"/>
  <c r="E10" i="52"/>
  <c r="B8" i="52"/>
  <c r="B9" i="52"/>
  <c r="B7" i="52"/>
  <c r="C67" i="40"/>
  <c r="D65" i="40"/>
  <c r="C30" i="76"/>
  <c r="C30" i="74"/>
  <c r="C30" i="75"/>
  <c r="C25" i="69"/>
  <c r="C25" i="68"/>
  <c r="C27" i="43"/>
  <c r="C25" i="70"/>
  <c r="C25" i="12"/>
  <c r="C30" i="44"/>
  <c r="E72" i="39"/>
  <c r="G19" i="72"/>
  <c r="G19" i="71"/>
  <c r="G19" i="73"/>
  <c r="I14" i="66"/>
  <c r="B8" i="66"/>
  <c r="M83" i="9"/>
  <c r="N83" i="9"/>
  <c r="N89" i="9"/>
  <c r="O89" i="9"/>
  <c r="M85" i="9"/>
  <c r="N85" i="9"/>
  <c r="M87" i="9"/>
  <c r="N87" i="9"/>
  <c r="M88" i="9"/>
  <c r="N88" i="9"/>
  <c r="M84" i="9"/>
  <c r="N84" i="9"/>
  <c r="C16" i="73"/>
  <c r="C5" i="73"/>
  <c r="C16" i="72"/>
  <c r="D5" i="72"/>
  <c r="C7" i="72"/>
  <c r="C7" i="71"/>
  <c r="K31" i="9"/>
  <c r="K32" i="9"/>
  <c r="R7" i="54"/>
  <c r="B52" i="63"/>
  <c r="G70" i="39"/>
  <c r="F72" i="39"/>
  <c r="H14" i="66"/>
  <c r="B7" i="66"/>
  <c r="G28" i="6"/>
  <c r="J58" i="21"/>
  <c r="K58" i="21"/>
  <c r="L58" i="21"/>
  <c r="M58" i="21"/>
  <c r="N58" i="21"/>
  <c r="O58" i="21"/>
  <c r="R22" i="31"/>
  <c r="B21" i="31"/>
  <c r="B20" i="31"/>
  <c r="H7" i="37"/>
  <c r="F7" i="37"/>
  <c r="D46" i="36"/>
  <c r="E46" i="36"/>
  <c r="F46" i="36"/>
  <c r="G46" i="36"/>
  <c r="H46" i="36"/>
  <c r="I46" i="36"/>
  <c r="J46" i="36"/>
  <c r="K46" i="36"/>
  <c r="L46" i="36"/>
  <c r="M46" i="36"/>
  <c r="N46" i="36"/>
  <c r="O46" i="36"/>
  <c r="A17" i="64"/>
  <c r="A17" i="51"/>
  <c r="B13" i="63"/>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S32" i="33"/>
  <c r="U9" i="37"/>
  <c r="AB9" i="37"/>
  <c r="S36" i="35"/>
  <c r="AA36" i="35"/>
  <c r="W23" i="37"/>
  <c r="AC23" i="37"/>
  <c r="AZ542" i="3"/>
  <c r="AZ546" i="3"/>
  <c r="S45" i="33"/>
  <c r="AA45" i="33"/>
  <c r="W28" i="33"/>
  <c r="AC28" i="33"/>
  <c r="S30" i="21"/>
  <c r="AA30" i="21"/>
  <c r="BQ5" i="3"/>
  <c r="F28" i="6"/>
  <c r="AC10" i="34"/>
  <c r="W10" i="34"/>
  <c r="AA26" i="21"/>
  <c r="S26" i="21"/>
  <c r="W40" i="21"/>
  <c r="AC40" i="21"/>
  <c r="H5" i="3"/>
  <c r="G13" i="3"/>
  <c r="F9" i="21"/>
  <c r="H9" i="21"/>
  <c r="J26" i="33"/>
  <c r="F26" i="33"/>
  <c r="H26" i="33"/>
  <c r="AC8" i="34"/>
  <c r="W8" i="34"/>
  <c r="F31" i="33"/>
  <c r="J31" i="33"/>
  <c r="H31" i="33"/>
  <c r="J25" i="35"/>
  <c r="F25" i="35"/>
  <c r="H25" i="35"/>
  <c r="J35" i="35"/>
  <c r="F35" i="35"/>
  <c r="H35" i="35"/>
  <c r="F34" i="15"/>
  <c r="F36" i="44"/>
  <c r="M20" i="15"/>
  <c r="H7" i="21"/>
  <c r="F7" i="21"/>
  <c r="J7" i="37"/>
  <c r="A3" i="55"/>
  <c r="B56" i="63"/>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U14" i="34"/>
  <c r="U11" i="35"/>
  <c r="AC43" i="39"/>
  <c r="S33" i="39"/>
  <c r="U30" i="40"/>
  <c r="AC37" i="34"/>
  <c r="W37" i="34"/>
  <c r="AB25" i="40"/>
  <c r="U25" i="40"/>
  <c r="AB42" i="40"/>
  <c r="AB17" i="39"/>
  <c r="AA30" i="40"/>
  <c r="S30" i="40"/>
  <c r="W27" i="39"/>
  <c r="S23" i="40"/>
  <c r="AA23" i="40"/>
  <c r="F34" i="44"/>
  <c r="F66" i="9"/>
  <c r="P72" i="9"/>
  <c r="F71" i="9"/>
  <c r="F32" i="15"/>
  <c r="F59" i="15"/>
  <c r="F29" i="12"/>
  <c r="C29" i="12"/>
  <c r="D86" i="9"/>
  <c r="F31" i="43"/>
  <c r="C31" i="43"/>
  <c r="F28" i="15"/>
  <c r="C28" i="15"/>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BA13"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c r="BL568" i="3"/>
  <c r="AZ568" i="3"/>
  <c r="BA567" i="3"/>
  <c r="AZ567" i="3"/>
  <c r="BA563" i="3"/>
  <c r="AZ563" i="3"/>
  <c r="BL554" i="3"/>
  <c r="BA554" i="3"/>
  <c r="AZ554" i="3"/>
  <c r="BA553" i="3"/>
  <c r="AZ553" i="3"/>
  <c r="BA552" i="3"/>
  <c r="AZ552" i="3"/>
  <c r="BL541" i="3"/>
  <c r="AZ541" i="3"/>
  <c r="BL534" i="3"/>
  <c r="AZ534" i="3"/>
  <c r="BL532" i="3"/>
  <c r="AZ532" i="3"/>
  <c r="BL527" i="3"/>
  <c r="AZ527" i="3"/>
  <c r="BL526" i="3"/>
  <c r="AZ526" i="3"/>
  <c r="BL525" i="3"/>
  <c r="BA518" i="3"/>
  <c r="AZ518" i="3"/>
  <c r="BL517" i="3"/>
  <c r="AZ517" i="3"/>
  <c r="BL516" i="3"/>
  <c r="BA516" i="3"/>
  <c r="AZ516" i="3"/>
  <c r="BA510" i="3"/>
  <c r="AZ510" i="3"/>
  <c r="BL509" i="3"/>
  <c r="AZ509" i="3"/>
  <c r="BA508" i="3"/>
  <c r="AZ508" i="3"/>
  <c r="BL507" i="3"/>
  <c r="AZ507" i="3"/>
  <c r="BA506" i="3"/>
  <c r="AZ506" i="3"/>
  <c r="BL505" i="3"/>
  <c r="BA505" i="3"/>
  <c r="BL504" i="3"/>
  <c r="AZ504" i="3"/>
  <c r="BL499" i="3"/>
  <c r="BA497" i="3"/>
  <c r="AZ497" i="3"/>
  <c r="BP5" i="3"/>
  <c r="G29" i="6"/>
  <c r="E29" i="6"/>
  <c r="K15" i="1"/>
  <c r="BK5" i="3"/>
  <c r="BA496" i="3"/>
  <c r="AZ496" i="3"/>
  <c r="BC5" i="3"/>
  <c r="BA489" i="3"/>
  <c r="AZ489" i="3"/>
  <c r="BA488" i="3"/>
  <c r="AZ488" i="3"/>
  <c r="BL487" i="3"/>
  <c r="BA487" i="3"/>
  <c r="AZ487" i="3"/>
  <c r="BL481" i="3"/>
  <c r="BA481" i="3"/>
  <c r="AZ481" i="3"/>
  <c r="BL20" i="3"/>
  <c r="AZ20" i="3"/>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c r="BL571" i="3"/>
  <c r="AZ571" i="3"/>
  <c r="BL13"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O50" i="59"/>
  <c r="O49" i="59"/>
  <c r="D26" i="59"/>
  <c r="C27" i="59"/>
  <c r="C39" i="59"/>
  <c r="D38" i="59"/>
  <c r="C47" i="59"/>
  <c r="D46" i="59"/>
  <c r="B54" i="46"/>
  <c r="C27" i="40"/>
  <c r="S27" i="40"/>
  <c r="S21" i="34"/>
  <c r="S18" i="35"/>
  <c r="AA12" i="59"/>
  <c r="AA10" i="59"/>
  <c r="AA3" i="59"/>
  <c r="X13" i="59"/>
  <c r="F14" i="59"/>
  <c r="F15" i="59"/>
  <c r="F16" i="59"/>
  <c r="V16" i="59"/>
  <c r="AA14" i="59"/>
  <c r="X15" i="59"/>
  <c r="AA16" i="59"/>
  <c r="B18" i="59"/>
  <c r="B19" i="59"/>
  <c r="B20" i="59"/>
  <c r="S20" i="59"/>
  <c r="C18" i="59"/>
  <c r="E22" i="59"/>
  <c r="E23" i="59"/>
  <c r="E24" i="59"/>
  <c r="U24" i="59"/>
  <c r="F22" i="59"/>
  <c r="F23" i="59"/>
  <c r="F24" i="59"/>
  <c r="V24" i="59"/>
  <c r="Q49" i="59"/>
  <c r="D12" i="59"/>
  <c r="T12" i="59"/>
  <c r="C11" i="59"/>
  <c r="F11" i="59"/>
  <c r="F10" i="59"/>
  <c r="V12" i="59"/>
  <c r="C6" i="59"/>
  <c r="D7" i="59"/>
  <c r="Y6" i="59"/>
  <c r="Z6" i="59"/>
  <c r="AB6" i="59"/>
  <c r="X6" i="59"/>
  <c r="Z5" i="59"/>
  <c r="X7" i="59"/>
  <c r="X8" i="59"/>
  <c r="B12" i="59"/>
  <c r="AA8" i="59"/>
  <c r="E12" i="59"/>
  <c r="A28" i="64"/>
  <c r="AA12" i="46"/>
  <c r="AE12" i="46"/>
  <c r="AI12" i="46"/>
  <c r="H1" i="65"/>
  <c r="T8" i="59"/>
  <c r="AA6" i="59"/>
  <c r="V8" i="59"/>
  <c r="K76" i="9"/>
  <c r="K77" i="9"/>
  <c r="K79" i="9"/>
  <c r="K81" i="9"/>
  <c r="Y8" i="59"/>
  <c r="Z8" i="59"/>
  <c r="AB8" i="59"/>
  <c r="Y7" i="59"/>
  <c r="Z7" i="59"/>
  <c r="AA7" i="59"/>
  <c r="AB7" i="59"/>
  <c r="U32" i="33"/>
  <c r="AC32" i="33"/>
  <c r="M44" i="9"/>
  <c r="AB37" i="34"/>
  <c r="U37" i="34"/>
  <c r="AA37" i="34"/>
  <c r="S37" i="34"/>
  <c r="AC36" i="33"/>
  <c r="U19" i="21"/>
  <c r="S19" i="21"/>
  <c r="AC19" i="21"/>
  <c r="W15" i="21"/>
  <c r="AC15" i="21"/>
  <c r="S15" i="21"/>
  <c r="AA15" i="21"/>
  <c r="U15" i="21"/>
  <c r="AB15" i="21"/>
  <c r="U37" i="21"/>
  <c r="AB37" i="21"/>
  <c r="W37" i="21"/>
  <c r="AC37" i="21"/>
  <c r="C5" i="72"/>
  <c r="L19" i="6"/>
  <c r="L27" i="6"/>
  <c r="H77" i="71"/>
  <c r="G77" i="71"/>
  <c r="M77" i="71"/>
  <c r="N77" i="71"/>
  <c r="H70" i="71"/>
  <c r="G70" i="71"/>
  <c r="K70" i="71"/>
  <c r="J70" i="71"/>
  <c r="K77" i="71"/>
  <c r="J77" i="71"/>
  <c r="M75" i="71"/>
  <c r="N75" i="71"/>
  <c r="K75" i="71"/>
  <c r="J75" i="71"/>
  <c r="D75" i="71"/>
  <c r="AP16" i="1"/>
  <c r="F22" i="11"/>
  <c r="Q16" i="1"/>
  <c r="F7" i="36"/>
  <c r="J7" i="36"/>
  <c r="M7" i="1"/>
  <c r="O7" i="1"/>
  <c r="P7" i="1"/>
  <c r="H16" i="1"/>
  <c r="AB11" i="46"/>
  <c r="AB13" i="46"/>
  <c r="AC11" i="46"/>
  <c r="AC13" i="46"/>
  <c r="D101" i="46"/>
  <c r="AJ11" i="46"/>
  <c r="AJ13" i="46"/>
  <c r="H101" i="46"/>
  <c r="G22" i="46"/>
  <c r="G16" i="1"/>
  <c r="H12" i="40"/>
  <c r="G3" i="72"/>
  <c r="B113" i="72"/>
  <c r="M6" i="1"/>
  <c r="J12" i="40"/>
  <c r="H69" i="71"/>
  <c r="G69" i="71"/>
  <c r="H71" i="71"/>
  <c r="G71" i="71"/>
  <c r="H72" i="71"/>
  <c r="G72" i="71"/>
  <c r="H73" i="71"/>
  <c r="G73" i="71"/>
  <c r="H74" i="71"/>
  <c r="G74" i="71"/>
  <c r="H76" i="71"/>
  <c r="G76" i="71"/>
  <c r="I101" i="46"/>
  <c r="I102" i="46"/>
  <c r="M101" i="46"/>
  <c r="E22" i="46"/>
  <c r="Y11" i="46"/>
  <c r="Y13" i="46"/>
  <c r="E8" i="6"/>
  <c r="D16" i="79"/>
  <c r="D23" i="79"/>
  <c r="E5" i="6"/>
  <c r="AG11" i="46"/>
  <c r="AG13" i="46"/>
  <c r="AF11" i="46"/>
  <c r="AF13" i="46"/>
  <c r="J12" i="39"/>
  <c r="C16" i="46"/>
  <c r="C5" i="46"/>
  <c r="I55" i="74"/>
  <c r="F33" i="12"/>
  <c r="C34" i="12" s="1"/>
  <c r="D33" i="12" s="1"/>
  <c r="F18" i="11"/>
  <c r="C18" i="11"/>
  <c r="F24" i="43"/>
  <c r="C26" i="43"/>
  <c r="D24" i="43" s="1"/>
  <c r="E53" i="40"/>
  <c r="F27" i="6"/>
  <c r="K101" i="72"/>
  <c r="C101" i="72"/>
  <c r="H22" i="72"/>
  <c r="F101" i="72"/>
  <c r="AD11" i="72"/>
  <c r="AD13" i="72"/>
  <c r="C23" i="72"/>
  <c r="C21" i="72"/>
  <c r="AC11" i="72"/>
  <c r="AC13" i="72"/>
  <c r="J22" i="72"/>
  <c r="I101" i="72"/>
  <c r="L101" i="72"/>
  <c r="F22" i="72"/>
  <c r="Z7" i="72"/>
  <c r="AF11" i="72"/>
  <c r="AF13" i="72"/>
  <c r="G22" i="72"/>
  <c r="AE11" i="72"/>
  <c r="AE13" i="72"/>
  <c r="E22" i="72"/>
  <c r="AE11" i="46"/>
  <c r="AE13" i="46"/>
  <c r="AI11" i="46"/>
  <c r="AI13" i="46"/>
  <c r="C23" i="46"/>
  <c r="C21" i="46"/>
  <c r="AH11" i="46"/>
  <c r="AH13" i="46"/>
  <c r="Z11" i="46"/>
  <c r="Z13" i="46"/>
  <c r="F101" i="46"/>
  <c r="K101" i="46"/>
  <c r="E101" i="46"/>
  <c r="L101" i="46"/>
  <c r="B113" i="46"/>
  <c r="G101" i="46"/>
  <c r="H22" i="46"/>
  <c r="AA11" i="46"/>
  <c r="AA13" i="46"/>
  <c r="AD11" i="46"/>
  <c r="AD13" i="46"/>
  <c r="N101" i="46"/>
  <c r="F22" i="46"/>
  <c r="J101" i="46"/>
  <c r="J22" i="46"/>
  <c r="Z7" i="46"/>
  <c r="N104" i="45"/>
  <c r="C101" i="46"/>
  <c r="B113" i="73"/>
  <c r="K101" i="73"/>
  <c r="G101" i="73"/>
  <c r="C101" i="73"/>
  <c r="H101" i="73"/>
  <c r="H22" i="73"/>
  <c r="N101" i="73"/>
  <c r="F101" i="73"/>
  <c r="Z11" i="73"/>
  <c r="Z13" i="73"/>
  <c r="AD11" i="73"/>
  <c r="AD13" i="73"/>
  <c r="AH11" i="73"/>
  <c r="AH13" i="73"/>
  <c r="J22" i="73"/>
  <c r="Y11" i="73"/>
  <c r="Y13" i="73"/>
  <c r="AC11" i="73"/>
  <c r="AC13" i="73"/>
  <c r="AG11" i="73"/>
  <c r="AG13" i="73"/>
  <c r="C23" i="73"/>
  <c r="C21" i="73"/>
  <c r="M101" i="73"/>
  <c r="I101" i="73"/>
  <c r="E101" i="73"/>
  <c r="L101" i="73"/>
  <c r="D101" i="73"/>
  <c r="F22" i="73"/>
  <c r="J101" i="73"/>
  <c r="Z7" i="73"/>
  <c r="AB11" i="73"/>
  <c r="AB13" i="73"/>
  <c r="AF11" i="73"/>
  <c r="AF13" i="73"/>
  <c r="AJ11" i="73"/>
  <c r="AJ13" i="73"/>
  <c r="E22" i="73"/>
  <c r="AA11" i="73"/>
  <c r="AA13" i="73"/>
  <c r="AE11" i="73"/>
  <c r="AE13" i="73"/>
  <c r="AI11" i="73"/>
  <c r="AI13" i="73"/>
  <c r="G22" i="73"/>
  <c r="K17" i="4"/>
  <c r="A22" i="51"/>
  <c r="B16" i="63"/>
  <c r="H7" i="36"/>
  <c r="P21" i="71"/>
  <c r="O19" i="71"/>
  <c r="P24" i="71"/>
  <c r="P22" i="71"/>
  <c r="M20" i="71"/>
  <c r="C19" i="71"/>
  <c r="P23" i="71"/>
  <c r="P25" i="71"/>
  <c r="D67" i="40"/>
  <c r="E65" i="40"/>
  <c r="P21" i="73"/>
  <c r="O19" i="73"/>
  <c r="M20" i="73"/>
  <c r="C19" i="73"/>
  <c r="P23" i="73"/>
  <c r="P25" i="73"/>
  <c r="P24" i="73"/>
  <c r="P22" i="73"/>
  <c r="P21" i="72"/>
  <c r="M20" i="72"/>
  <c r="C19" i="72"/>
  <c r="P23" i="72"/>
  <c r="P25" i="72"/>
  <c r="O19" i="72"/>
  <c r="P24" i="72"/>
  <c r="P22" i="72"/>
  <c r="AA26" i="35"/>
  <c r="S26" i="35"/>
  <c r="U12" i="59"/>
  <c r="E11" i="59"/>
  <c r="E10" i="59"/>
  <c r="S12" i="59"/>
  <c r="B11" i="59"/>
  <c r="B10" i="59"/>
  <c r="D11" i="59"/>
  <c r="C10" i="59"/>
  <c r="D10" i="59"/>
  <c r="C19" i="59"/>
  <c r="D18" i="59"/>
  <c r="C28" i="59"/>
  <c r="D27" i="59"/>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I109" i="46"/>
  <c r="I105" i="46"/>
  <c r="I104" i="46"/>
  <c r="M104" i="46"/>
  <c r="M103" i="46"/>
  <c r="M105" i="46"/>
  <c r="M102" i="46"/>
  <c r="M106" i="46"/>
  <c r="M107" i="46"/>
  <c r="M109" i="46"/>
  <c r="AC7" i="37"/>
  <c r="V42" i="37"/>
  <c r="I42" i="37"/>
  <c r="W7" i="37"/>
  <c r="U7" i="21"/>
  <c r="AB7" i="21"/>
  <c r="T48" i="21"/>
  <c r="G48" i="21"/>
  <c r="F61" i="15"/>
  <c r="S35" i="35"/>
  <c r="AA35" i="35"/>
  <c r="U25" i="35"/>
  <c r="AB25" i="35"/>
  <c r="AC25" i="35"/>
  <c r="W25" i="35"/>
  <c r="AC31" i="33"/>
  <c r="W31" i="33"/>
  <c r="AB26" i="33"/>
  <c r="U26" i="33"/>
  <c r="AC26" i="33"/>
  <c r="W26" i="33"/>
  <c r="S9" i="21"/>
  <c r="AA9" i="21"/>
  <c r="U7" i="36"/>
  <c r="AB7" i="36"/>
  <c r="T36" i="36"/>
  <c r="G36" i="36"/>
  <c r="AA7" i="37"/>
  <c r="R42" i="37"/>
  <c r="S7" i="37"/>
  <c r="G30" i="6"/>
  <c r="G31" i="6"/>
  <c r="AC12" i="40"/>
  <c r="W12" i="40"/>
  <c r="D6" i="59"/>
  <c r="C5" i="59"/>
  <c r="C48" i="59"/>
  <c r="D47" i="59"/>
  <c r="C40" i="59"/>
  <c r="D39" i="59"/>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c r="G58" i="33"/>
  <c r="H58" i="33"/>
  <c r="I58" i="33"/>
  <c r="J58" i="33"/>
  <c r="K58" i="33"/>
  <c r="L58" i="33"/>
  <c r="M58" i="33"/>
  <c r="N58" i="33"/>
  <c r="O58" i="33"/>
  <c r="J7" i="33"/>
  <c r="BA5" i="3"/>
  <c r="E27" i="6"/>
  <c r="AZ13" i="3"/>
  <c r="AZ5" i="3"/>
  <c r="AC9" i="21"/>
  <c r="W9" i="21"/>
  <c r="AC33" i="39"/>
  <c r="W33" i="39"/>
  <c r="D102" i="46"/>
  <c r="D104" i="46"/>
  <c r="D109" i="46"/>
  <c r="D103" i="46"/>
  <c r="D106" i="46"/>
  <c r="D107" i="46"/>
  <c r="D105" i="46"/>
  <c r="H104" i="46"/>
  <c r="H105" i="46"/>
  <c r="H106" i="46"/>
  <c r="H109" i="46"/>
  <c r="H107" i="46"/>
  <c r="H102" i="46"/>
  <c r="H103" i="46"/>
  <c r="E59" i="34"/>
  <c r="S7" i="36"/>
  <c r="AA7" i="36"/>
  <c r="R36" i="36"/>
  <c r="S7" i="21"/>
  <c r="AA7" i="21"/>
  <c r="R48" i="21"/>
  <c r="AB35" i="35"/>
  <c r="U35" i="35"/>
  <c r="W35" i="35"/>
  <c r="AC35" i="35"/>
  <c r="S25" i="35"/>
  <c r="AA25" i="35"/>
  <c r="AB31" i="33"/>
  <c r="U31" i="33"/>
  <c r="AA31" i="33"/>
  <c r="S31" i="33"/>
  <c r="S26" i="33"/>
  <c r="AA26" i="33"/>
  <c r="AB9" i="21"/>
  <c r="U9" i="21"/>
  <c r="G5" i="3"/>
  <c r="B3" i="3"/>
  <c r="I3" i="6"/>
  <c r="E28" i="6"/>
  <c r="F30" i="6"/>
  <c r="F31" i="6"/>
  <c r="AC7" i="36"/>
  <c r="V36" i="36"/>
  <c r="I36" i="36"/>
  <c r="W7" i="36"/>
  <c r="U7" i="37"/>
  <c r="AB7" i="37"/>
  <c r="T42" i="37"/>
  <c r="G42" i="37"/>
  <c r="J7" i="21"/>
  <c r="AC12" i="39"/>
  <c r="W12" i="39"/>
  <c r="AB12" i="40"/>
  <c r="U12" i="40"/>
  <c r="H70" i="39"/>
  <c r="G72" i="39"/>
  <c r="D22" i="72"/>
  <c r="AI11" i="72"/>
  <c r="AI13" i="72"/>
  <c r="AA11" i="72"/>
  <c r="AA13" i="72"/>
  <c r="AJ11" i="72"/>
  <c r="AJ13" i="72"/>
  <c r="AB11" i="72"/>
  <c r="AB13" i="72"/>
  <c r="J101" i="72"/>
  <c r="J109" i="72"/>
  <c r="D101" i="72"/>
  <c r="E101" i="72"/>
  <c r="E109" i="72"/>
  <c r="M101" i="72"/>
  <c r="AG11" i="72"/>
  <c r="AG13" i="72"/>
  <c r="Y11" i="72"/>
  <c r="Y13" i="72"/>
  <c r="AH11" i="72"/>
  <c r="AH13" i="72"/>
  <c r="Z11" i="72"/>
  <c r="Z13" i="72"/>
  <c r="N101" i="72"/>
  <c r="N109" i="72"/>
  <c r="H101" i="72"/>
  <c r="G101" i="72"/>
  <c r="G109" i="72"/>
  <c r="E58" i="39"/>
  <c r="M70" i="71"/>
  <c r="N70" i="71"/>
  <c r="M76" i="71"/>
  <c r="N76" i="71"/>
  <c r="K76" i="71"/>
  <c r="J76" i="71"/>
  <c r="M73" i="71"/>
  <c r="N73" i="71"/>
  <c r="K73" i="71"/>
  <c r="J73" i="71"/>
  <c r="M71" i="71"/>
  <c r="N71" i="71"/>
  <c r="K71" i="71"/>
  <c r="M74" i="71"/>
  <c r="N74" i="71"/>
  <c r="K74" i="71"/>
  <c r="J74" i="71"/>
  <c r="M72" i="71"/>
  <c r="K72" i="71"/>
  <c r="J72" i="71"/>
  <c r="K69" i="71"/>
  <c r="J69" i="71"/>
  <c r="M69" i="71"/>
  <c r="N69" i="71"/>
  <c r="F12" i="39"/>
  <c r="F12" i="40"/>
  <c r="H12" i="39"/>
  <c r="E516" i="3"/>
  <c r="D1" i="71"/>
  <c r="O6" i="1"/>
  <c r="C15" i="43"/>
  <c r="P6" i="1"/>
  <c r="I106" i="46"/>
  <c r="I103" i="46"/>
  <c r="I107" i="46"/>
  <c r="D21" i="12"/>
  <c r="C21" i="12"/>
  <c r="D12" i="11"/>
  <c r="C12" i="11"/>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c r="K115" i="46"/>
  <c r="L115" i="46"/>
  <c r="M115" i="46"/>
  <c r="B117" i="46"/>
  <c r="C117" i="46"/>
  <c r="I118" i="46"/>
  <c r="J118" i="46"/>
  <c r="K118" i="46"/>
  <c r="L118" i="46"/>
  <c r="M118" i="46"/>
  <c r="D115" i="46"/>
  <c r="E115" i="46"/>
  <c r="F115" i="46"/>
  <c r="G115" i="46"/>
  <c r="H115" i="46"/>
  <c r="D116" i="46"/>
  <c r="E116" i="46"/>
  <c r="F116" i="46"/>
  <c r="G116" i="46"/>
  <c r="H116" i="46"/>
  <c r="B118" i="46"/>
  <c r="C118" i="46"/>
  <c r="D118" i="46"/>
  <c r="E118" i="46"/>
  <c r="F118" i="46"/>
  <c r="I117" i="46"/>
  <c r="J117" i="46"/>
  <c r="K117" i="46"/>
  <c r="L117" i="46"/>
  <c r="M117" i="46"/>
  <c r="B116" i="46"/>
  <c r="C116" i="46"/>
  <c r="D117" i="46"/>
  <c r="E117" i="46"/>
  <c r="F117" i="46"/>
  <c r="G117" i="46"/>
  <c r="H117" i="46"/>
  <c r="I116" i="46"/>
  <c r="J116" i="46"/>
  <c r="K116" i="46"/>
  <c r="L116" i="46"/>
  <c r="M116" i="46"/>
  <c r="B115" i="46"/>
  <c r="G118" i="46"/>
  <c r="H118" i="46"/>
  <c r="E107" i="46"/>
  <c r="E103" i="46"/>
  <c r="E102" i="46"/>
  <c r="E104" i="46"/>
  <c r="E105" i="46"/>
  <c r="E106" i="46"/>
  <c r="E109" i="46"/>
  <c r="F103" i="46"/>
  <c r="F104" i="46"/>
  <c r="F106" i="46"/>
  <c r="F107" i="46"/>
  <c r="F102" i="46"/>
  <c r="F109" i="46"/>
  <c r="F105" i="46"/>
  <c r="J107" i="72"/>
  <c r="J103" i="72"/>
  <c r="J104" i="72"/>
  <c r="D109" i="72"/>
  <c r="D107" i="72"/>
  <c r="D105" i="72"/>
  <c r="D103" i="72"/>
  <c r="D106" i="72"/>
  <c r="D104" i="72"/>
  <c r="D102" i="72"/>
  <c r="E107" i="72"/>
  <c r="E103" i="72"/>
  <c r="E104"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c r="F118" i="73"/>
  <c r="D117" i="73"/>
  <c r="E117" i="73"/>
  <c r="F117" i="73"/>
  <c r="G117" i="73"/>
  <c r="H117" i="73"/>
  <c r="D116" i="73"/>
  <c r="E116" i="73"/>
  <c r="F116" i="73"/>
  <c r="G116" i="73"/>
  <c r="H116" i="73"/>
  <c r="D115" i="73"/>
  <c r="E115" i="73"/>
  <c r="F115" i="73"/>
  <c r="G115" i="73"/>
  <c r="H115" i="73"/>
  <c r="I118" i="73"/>
  <c r="J118" i="73"/>
  <c r="K118" i="73"/>
  <c r="L118" i="73"/>
  <c r="M118" i="73"/>
  <c r="I116" i="73"/>
  <c r="J116" i="73"/>
  <c r="K116" i="73"/>
  <c r="L116" i="73"/>
  <c r="M116" i="73"/>
  <c r="G118" i="73"/>
  <c r="H118" i="73"/>
  <c r="B118" i="73"/>
  <c r="C118" i="73"/>
  <c r="B116" i="73"/>
  <c r="C116" i="73"/>
  <c r="I117" i="73"/>
  <c r="J117" i="73"/>
  <c r="K117" i="73"/>
  <c r="L117" i="73"/>
  <c r="M117" i="73"/>
  <c r="B117" i="73"/>
  <c r="C117" i="73"/>
  <c r="B115" i="73"/>
  <c r="I115" i="73"/>
  <c r="J115" i="73"/>
  <c r="K115" i="73"/>
  <c r="L115" i="73"/>
  <c r="M115" i="73"/>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7" i="72"/>
  <c r="I105" i="72"/>
  <c r="I103" i="72"/>
  <c r="I106" i="72"/>
  <c r="I104" i="72"/>
  <c r="I102" i="72"/>
  <c r="N107" i="72"/>
  <c r="N103" i="72"/>
  <c r="N102" i="72"/>
  <c r="H109" i="72"/>
  <c r="H107" i="72"/>
  <c r="H105" i="72"/>
  <c r="H103" i="72"/>
  <c r="H104" i="72"/>
  <c r="H106" i="72"/>
  <c r="H102" i="72"/>
  <c r="G107" i="72"/>
  <c r="G103" i="72"/>
  <c r="G106" i="72"/>
  <c r="D118" i="72"/>
  <c r="E118" i="72"/>
  <c r="F118" i="72"/>
  <c r="D117" i="72"/>
  <c r="E117" i="72"/>
  <c r="F117" i="72"/>
  <c r="G117" i="72"/>
  <c r="H117" i="72"/>
  <c r="D116" i="72"/>
  <c r="E116" i="72"/>
  <c r="F116" i="72"/>
  <c r="G116" i="72"/>
  <c r="H116" i="72"/>
  <c r="D115" i="72"/>
  <c r="E115" i="72"/>
  <c r="F115" i="72"/>
  <c r="G115" i="72"/>
  <c r="H115" i="72"/>
  <c r="I118" i="72"/>
  <c r="J118" i="72"/>
  <c r="K118" i="72"/>
  <c r="L118" i="72"/>
  <c r="M118" i="72"/>
  <c r="I116" i="72"/>
  <c r="J116" i="72"/>
  <c r="K116" i="72"/>
  <c r="L116" i="72"/>
  <c r="M116" i="72"/>
  <c r="G118" i="72"/>
  <c r="H118" i="72"/>
  <c r="B117" i="72"/>
  <c r="C117" i="72"/>
  <c r="B115" i="72"/>
  <c r="I115" i="72"/>
  <c r="J115" i="72"/>
  <c r="K115" i="72"/>
  <c r="L115" i="72"/>
  <c r="M115" i="72"/>
  <c r="B118" i="72"/>
  <c r="C118" i="72"/>
  <c r="B116" i="72"/>
  <c r="C116" i="72"/>
  <c r="I117" i="72"/>
  <c r="J117" i="72"/>
  <c r="K117" i="72"/>
  <c r="L117" i="72"/>
  <c r="M117" i="72"/>
  <c r="F65" i="40"/>
  <c r="E67" i="40"/>
  <c r="AC7" i="21"/>
  <c r="V48" i="21"/>
  <c r="I48" i="21"/>
  <c r="G53" i="21"/>
  <c r="H53" i="21"/>
  <c r="W7" i="21"/>
  <c r="I40" i="36"/>
  <c r="J40" i="36"/>
  <c r="K19" i="6"/>
  <c r="K20" i="6"/>
  <c r="K14" i="1"/>
  <c r="K26" i="6"/>
  <c r="M26" i="6"/>
  <c r="I26" i="6"/>
  <c r="S26" i="6"/>
  <c r="K24" i="6"/>
  <c r="M24" i="6"/>
  <c r="I24" i="6"/>
  <c r="S24" i="6"/>
  <c r="K22" i="6"/>
  <c r="M22" i="6"/>
  <c r="I22" i="6"/>
  <c r="S22" i="6"/>
  <c r="K23" i="6"/>
  <c r="M23" i="6"/>
  <c r="I23" i="6"/>
  <c r="S23" i="6"/>
  <c r="K25" i="6"/>
  <c r="M25" i="6"/>
  <c r="I25" i="6"/>
  <c r="S25" i="6"/>
  <c r="K21" i="6"/>
  <c r="M21" i="6"/>
  <c r="I21" i="6"/>
  <c r="S21" i="6"/>
  <c r="E30" i="6"/>
  <c r="E31" i="6"/>
  <c r="H72" i="39"/>
  <c r="I70" i="39"/>
  <c r="G47" i="37"/>
  <c r="H47" i="37"/>
  <c r="G46" i="37"/>
  <c r="H46" i="37"/>
  <c r="E13" i="3"/>
  <c r="E48" i="21"/>
  <c r="E36" i="36"/>
  <c r="R37" i="36"/>
  <c r="F59" i="34"/>
  <c r="H7" i="33"/>
  <c r="W26" i="35"/>
  <c r="AC26" i="35"/>
  <c r="E540" i="3"/>
  <c r="D5" i="59"/>
  <c r="R43" i="37"/>
  <c r="E42" i="37"/>
  <c r="I46" i="37"/>
  <c r="J46" i="37"/>
  <c r="E61" i="40"/>
  <c r="E66" i="39"/>
  <c r="E67" i="39"/>
  <c r="E62" i="40"/>
  <c r="E16" i="6"/>
  <c r="T28" i="59"/>
  <c r="D28" i="59"/>
  <c r="C20" i="59"/>
  <c r="D19" i="59"/>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E3" i="6"/>
  <c r="AY6" i="3"/>
  <c r="W7" i="33"/>
  <c r="AC7" i="33"/>
  <c r="V48" i="33"/>
  <c r="I48" i="33"/>
  <c r="U26" i="35"/>
  <c r="AB26" i="35"/>
  <c r="G48" i="35"/>
  <c r="H48" i="35"/>
  <c r="I48" i="35"/>
  <c r="J48" i="35"/>
  <c r="K48" i="35"/>
  <c r="L48" i="35"/>
  <c r="M48" i="35"/>
  <c r="N48" i="35"/>
  <c r="O48" i="35"/>
  <c r="J7" i="35"/>
  <c r="E504" i="3"/>
  <c r="T40" i="59"/>
  <c r="D40" i="59"/>
  <c r="T48" i="59"/>
  <c r="D48" i="59"/>
  <c r="G40" i="36"/>
  <c r="H40" i="36"/>
  <c r="G41" i="36"/>
  <c r="H41" i="36"/>
  <c r="G52" i="21"/>
  <c r="H52" i="21"/>
  <c r="E60" i="40"/>
  <c r="E65" i="39"/>
  <c r="E63" i="39"/>
  <c r="E58" i="40"/>
  <c r="E59" i="40"/>
  <c r="E64" i="39"/>
  <c r="E496" i="3"/>
  <c r="F7" i="33"/>
  <c r="R49" i="21"/>
  <c r="C48" i="21"/>
  <c r="G102" i="72"/>
  <c r="G104" i="72"/>
  <c r="G105" i="72"/>
  <c r="N104" i="72"/>
  <c r="N106" i="72"/>
  <c r="N105" i="72"/>
  <c r="E102" i="72"/>
  <c r="E106" i="72"/>
  <c r="E105" i="72"/>
  <c r="J102" i="72"/>
  <c r="J106" i="72"/>
  <c r="J105" i="72"/>
  <c r="D70" i="71"/>
  <c r="N72" i="71"/>
  <c r="D72" i="71"/>
  <c r="J71" i="71"/>
  <c r="D71" i="71"/>
  <c r="E69" i="71"/>
  <c r="B67" i="71"/>
  <c r="C24" i="71"/>
  <c r="S6" i="1"/>
  <c r="S13" i="1"/>
  <c r="S12" i="1"/>
  <c r="S8" i="1"/>
  <c r="S11" i="1"/>
  <c r="S10" i="1"/>
  <c r="S9" i="1"/>
  <c r="AA12" i="40"/>
  <c r="S12" i="40"/>
  <c r="AA12" i="39"/>
  <c r="S12" i="39"/>
  <c r="AB12" i="39"/>
  <c r="U12" i="39"/>
  <c r="C15" i="12"/>
  <c r="M20" i="6"/>
  <c r="I20" i="6"/>
  <c r="S20" i="6"/>
  <c r="S7" i="1"/>
  <c r="H6" i="3"/>
  <c r="AC6" i="3"/>
  <c r="C115" i="72"/>
  <c r="D113" i="72"/>
  <c r="C115" i="73"/>
  <c r="D113" i="73"/>
  <c r="S7" i="46"/>
  <c r="S6" i="46"/>
  <c r="S2" i="46"/>
  <c r="S5" i="46"/>
  <c r="S4" i="46"/>
  <c r="S3" i="46"/>
  <c r="S6" i="72"/>
  <c r="S3" i="72"/>
  <c r="S7" i="72"/>
  <c r="S4" i="72"/>
  <c r="S5" i="72"/>
  <c r="S2" i="72"/>
  <c r="C115" i="46"/>
  <c r="D113" i="46"/>
  <c r="S6" i="73"/>
  <c r="S3" i="73"/>
  <c r="S7" i="73"/>
  <c r="S4" i="73"/>
  <c r="S5" i="73"/>
  <c r="S2" i="73"/>
  <c r="H7" i="35"/>
  <c r="F67" i="40"/>
  <c r="G65" i="40"/>
  <c r="W7" i="35"/>
  <c r="AC7" i="35"/>
  <c r="V38" i="35"/>
  <c r="I38" i="35"/>
  <c r="AB7" i="35"/>
  <c r="T38" i="35"/>
  <c r="G38" i="35"/>
  <c r="U7" i="35"/>
  <c r="I52" i="33"/>
  <c r="J52" i="3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D3" i="6"/>
  <c r="D6" i="7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T20" i="59"/>
  <c r="D20" i="59"/>
  <c r="E46" i="37"/>
  <c r="F46" i="37"/>
  <c r="E47" i="37"/>
  <c r="F47" i="37"/>
  <c r="M20" i="46"/>
  <c r="C19" i="46"/>
  <c r="U7" i="33"/>
  <c r="AB7" i="33"/>
  <c r="T48" i="33"/>
  <c r="G48" i="33"/>
  <c r="G59" i="34"/>
  <c r="E40" i="36"/>
  <c r="F40" i="36"/>
  <c r="E41" i="36"/>
  <c r="F41" i="36"/>
  <c r="J70" i="39"/>
  <c r="I72" i="39"/>
  <c r="I41" i="36"/>
  <c r="J41" i="36"/>
  <c r="S7" i="33"/>
  <c r="AA7" i="33"/>
  <c r="R48" i="33"/>
  <c r="D16" i="43"/>
  <c r="C16" i="43" s="1"/>
  <c r="C21" i="4"/>
  <c r="O5" i="54"/>
  <c r="B45" i="63"/>
  <c r="D10" i="11"/>
  <c r="D46" i="9"/>
  <c r="D16" i="12"/>
  <c r="E6" i="6"/>
  <c r="L38" i="9"/>
  <c r="B14" i="66"/>
  <c r="B1" i="66"/>
  <c r="D44" i="9"/>
  <c r="D45" i="9"/>
  <c r="E6" i="3"/>
  <c r="I47" i="37"/>
  <c r="J47" i="37"/>
  <c r="C43" i="37"/>
  <c r="B3" i="37"/>
  <c r="B2" i="37"/>
  <c r="C42" i="37"/>
  <c r="F7" i="35"/>
  <c r="C36" i="36"/>
  <c r="C37" i="36"/>
  <c r="B3" i="36"/>
  <c r="B2" i="36"/>
  <c r="E53" i="21"/>
  <c r="F53" i="21"/>
  <c r="E52" i="21"/>
  <c r="F52" i="21"/>
  <c r="M14" i="1"/>
  <c r="K16" i="1"/>
  <c r="M19" i="6"/>
  <c r="K27" i="6"/>
  <c r="I52" i="21"/>
  <c r="J52" i="21"/>
  <c r="I53" i="21"/>
  <c r="J53" i="21"/>
  <c r="C49" i="21"/>
  <c r="B3" i="21"/>
  <c r="B2" i="21"/>
  <c r="C10" i="68"/>
  <c r="S16" i="1"/>
  <c r="G67" i="40"/>
  <c r="H65" i="40"/>
  <c r="L47" i="74"/>
  <c r="I19" i="6"/>
  <c r="M27" i="6"/>
  <c r="T13" i="1"/>
  <c r="T10" i="1"/>
  <c r="O14" i="1"/>
  <c r="O16" i="1"/>
  <c r="T7" i="1"/>
  <c r="T9" i="1"/>
  <c r="T11" i="1"/>
  <c r="T12" i="1"/>
  <c r="M16" i="1"/>
  <c r="T6" i="1"/>
  <c r="T8" i="1"/>
  <c r="S7" i="35"/>
  <c r="AA7" i="35"/>
  <c r="R38" i="35"/>
  <c r="C6" i="66"/>
  <c r="C8" i="66"/>
  <c r="C7" i="66"/>
  <c r="G52" i="33"/>
  <c r="H52" i="33"/>
  <c r="G53" i="33"/>
  <c r="H53" i="33"/>
  <c r="T2" i="46"/>
  <c r="V2" i="46"/>
  <c r="T7" i="46"/>
  <c r="V7" i="46"/>
  <c r="C38" i="46"/>
  <c r="C29" i="46"/>
  <c r="T4" i="46"/>
  <c r="V4" i="46"/>
  <c r="T8" i="46"/>
  <c r="V8" i="46"/>
  <c r="T12" i="46"/>
  <c r="V12" i="46"/>
  <c r="T16" i="46"/>
  <c r="V16" i="46"/>
  <c r="T9" i="46"/>
  <c r="V9" i="46"/>
  <c r="T13" i="46"/>
  <c r="V13" i="46"/>
  <c r="C36" i="46"/>
  <c r="C33" i="46"/>
  <c r="C35" i="46"/>
  <c r="C39" i="46"/>
  <c r="C37" i="46"/>
  <c r="T3" i="46"/>
  <c r="V3" i="46"/>
  <c r="T6" i="46"/>
  <c r="V6" i="46"/>
  <c r="T10" i="46"/>
  <c r="V10" i="46"/>
  <c r="T14" i="46"/>
  <c r="V14" i="46"/>
  <c r="T5" i="46"/>
  <c r="V5" i="46"/>
  <c r="T11" i="46"/>
  <c r="V11" i="46"/>
  <c r="T15" i="46"/>
  <c r="V15" i="46"/>
  <c r="C34" i="46"/>
  <c r="I42" i="35"/>
  <c r="J42" i="35"/>
  <c r="D22" i="12"/>
  <c r="C22" i="12" s="1"/>
  <c r="C20" i="12" s="1"/>
  <c r="D13" i="11"/>
  <c r="C13" i="11"/>
  <c r="E48" i="33"/>
  <c r="R49" i="33"/>
  <c r="J72" i="39"/>
  <c r="K70" i="39"/>
  <c r="H59" i="34"/>
  <c r="D19" i="6"/>
  <c r="D25" i="6"/>
  <c r="D13" i="6"/>
  <c r="H24" i="6"/>
  <c r="D14" i="6"/>
  <c r="D8" i="6"/>
  <c r="E63" i="40"/>
  <c r="K38" i="9"/>
  <c r="C14" i="66"/>
  <c r="B2" i="66"/>
  <c r="D24" i="6"/>
  <c r="D26" i="6"/>
  <c r="D22" i="6"/>
  <c r="D11" i="6"/>
  <c r="D12" i="6"/>
  <c r="H20" i="6"/>
  <c r="H25" i="6"/>
  <c r="D9" i="6"/>
  <c r="D5" i="6"/>
  <c r="D29" i="6"/>
  <c r="H22" i="6"/>
  <c r="D15" i="6"/>
  <c r="H26" i="6"/>
  <c r="E44" i="9"/>
  <c r="F46" i="9"/>
  <c r="E68" i="39"/>
  <c r="C22" i="4"/>
  <c r="D21" i="6"/>
  <c r="D10" i="6"/>
  <c r="H21" i="6"/>
  <c r="D6" i="6"/>
  <c r="D23" i="6"/>
  <c r="D28" i="6"/>
  <c r="D20" i="6"/>
  <c r="H23" i="6"/>
  <c r="F44" i="9"/>
  <c r="E46" i="9"/>
  <c r="F45" i="9"/>
  <c r="E45" i="9"/>
  <c r="G42" i="35"/>
  <c r="H42" i="35"/>
  <c r="G43" i="35"/>
  <c r="H43" i="35"/>
  <c r="C6" i="68"/>
  <c r="D30" i="6"/>
  <c r="D16" i="6"/>
  <c r="R24" i="6"/>
  <c r="R26" i="6"/>
  <c r="I65" i="40"/>
  <c r="H67" i="40"/>
  <c r="A6" i="64"/>
  <c r="A6" i="51"/>
  <c r="B7" i="63"/>
  <c r="A20" i="64"/>
  <c r="A20" i="51"/>
  <c r="B15" i="63"/>
  <c r="N5" i="54"/>
  <c r="B43" i="63"/>
  <c r="D8" i="66"/>
  <c r="D6" i="66"/>
  <c r="D7" i="66"/>
  <c r="D27" i="6"/>
  <c r="D31" i="6"/>
  <c r="L70" i="39"/>
  <c r="K72" i="39"/>
  <c r="E52" i="33"/>
  <c r="F52" i="33"/>
  <c r="E53" i="33"/>
  <c r="F53" i="33"/>
  <c r="I53" i="33"/>
  <c r="J53" i="33"/>
  <c r="E34" i="46"/>
  <c r="G34" i="46"/>
  <c r="I34" i="46"/>
  <c r="G37" i="46"/>
  <c r="I37" i="46"/>
  <c r="E37" i="46"/>
  <c r="G35" i="46"/>
  <c r="I35" i="46"/>
  <c r="E35" i="46"/>
  <c r="E36" i="46"/>
  <c r="G36" i="46"/>
  <c r="I36" i="46"/>
  <c r="E38" i="46"/>
  <c r="G38" i="46"/>
  <c r="I38" i="46"/>
  <c r="R39" i="35"/>
  <c r="E38" i="35"/>
  <c r="T16" i="1"/>
  <c r="I27" i="6"/>
  <c r="S19" i="6"/>
  <c r="S27" i="6"/>
  <c r="R20" i="6"/>
  <c r="R23" i="6"/>
  <c r="R21" i="6"/>
  <c r="R22" i="6"/>
  <c r="H19" i="6"/>
  <c r="H27" i="6"/>
  <c r="R25" i="6"/>
  <c r="I59" i="34"/>
  <c r="C48" i="33"/>
  <c r="U7" i="1"/>
  <c r="C49" i="33"/>
  <c r="B3" i="33"/>
  <c r="B2" i="33"/>
  <c r="G39" i="46"/>
  <c r="I39" i="46"/>
  <c r="E39" i="46"/>
  <c r="E33" i="46"/>
  <c r="G33" i="46"/>
  <c r="I33" i="46"/>
  <c r="C30" i="46"/>
  <c r="E30" i="46"/>
  <c r="E29" i="46"/>
  <c r="C13" i="43"/>
  <c r="C17" i="43" s="1"/>
  <c r="L16" i="1"/>
  <c r="N16" i="1"/>
  <c r="C29" i="43" s="1"/>
  <c r="P14" i="1"/>
  <c r="P16" i="1"/>
  <c r="C13" i="12" s="1"/>
  <c r="C14" i="12" s="1"/>
  <c r="C24" i="68"/>
  <c r="C29" i="68"/>
  <c r="I6" i="6"/>
  <c r="G3" i="71"/>
  <c r="I5" i="6"/>
  <c r="I67" i="40"/>
  <c r="J65" i="40"/>
  <c r="C26" i="46"/>
  <c r="E43" i="35"/>
  <c r="F43" i="35"/>
  <c r="E42" i="35"/>
  <c r="F42" i="35"/>
  <c r="I43" i="35"/>
  <c r="J43" i="35"/>
  <c r="L72" i="39"/>
  <c r="M70" i="39"/>
  <c r="R19" i="6"/>
  <c r="C27" i="46"/>
  <c r="J59" i="34"/>
  <c r="C38" i="35"/>
  <c r="C39" i="35"/>
  <c r="B3" i="35"/>
  <c r="B2" i="35"/>
  <c r="R12" i="1"/>
  <c r="R8" i="1"/>
  <c r="R10" i="1"/>
  <c r="R11" i="1"/>
  <c r="R13" i="1"/>
  <c r="R9" i="1"/>
  <c r="R7" i="1"/>
  <c r="K101" i="71"/>
  <c r="C101" i="71"/>
  <c r="H22" i="71"/>
  <c r="F101" i="71"/>
  <c r="AD11" i="71"/>
  <c r="AD13" i="71"/>
  <c r="J22" i="71"/>
  <c r="AC11" i="71"/>
  <c r="AC13" i="71"/>
  <c r="M101" i="71"/>
  <c r="E101" i="71"/>
  <c r="D101" i="71"/>
  <c r="J101" i="71"/>
  <c r="AB11" i="71"/>
  <c r="AB13" i="71"/>
  <c r="AJ11" i="71"/>
  <c r="AJ13" i="71"/>
  <c r="AA11" i="71"/>
  <c r="AA13" i="71"/>
  <c r="AI11" i="71"/>
  <c r="AI13" i="71"/>
  <c r="B113" i="71"/>
  <c r="G101" i="71"/>
  <c r="H101" i="71"/>
  <c r="N101" i="71"/>
  <c r="Z11" i="71"/>
  <c r="Z13" i="71"/>
  <c r="AH11" i="71"/>
  <c r="AH13" i="71"/>
  <c r="Y11" i="71"/>
  <c r="Y13" i="71"/>
  <c r="AG11" i="71"/>
  <c r="AG13" i="71"/>
  <c r="I101" i="71"/>
  <c r="L101" i="71"/>
  <c r="F22" i="71"/>
  <c r="Z7" i="71"/>
  <c r="AF11" i="71"/>
  <c r="AF13" i="71"/>
  <c r="E22" i="71"/>
  <c r="AE11" i="71"/>
  <c r="AE13" i="71"/>
  <c r="G22" i="71"/>
  <c r="R27" i="6"/>
  <c r="R6" i="1"/>
  <c r="K65" i="40"/>
  <c r="J67" i="40"/>
  <c r="K59" i="34"/>
  <c r="L59" i="34"/>
  <c r="M59" i="34"/>
  <c r="N59" i="34"/>
  <c r="O59" i="34"/>
  <c r="N70" i="39"/>
  <c r="N72" i="39"/>
  <c r="M72" i="39"/>
  <c r="B2" i="46"/>
  <c r="J7" i="34"/>
  <c r="H7" i="34"/>
  <c r="AB7" i="34"/>
  <c r="T49" i="34"/>
  <c r="G49" i="34"/>
  <c r="I106" i="71"/>
  <c r="I102" i="71"/>
  <c r="I105" i="71"/>
  <c r="I109" i="71"/>
  <c r="I104" i="71"/>
  <c r="I107" i="71"/>
  <c r="I103" i="71"/>
  <c r="H107" i="71"/>
  <c r="H103" i="71"/>
  <c r="H104" i="71"/>
  <c r="H109" i="71"/>
  <c r="H105" i="71"/>
  <c r="H106" i="71"/>
  <c r="H102" i="71"/>
  <c r="D117" i="71"/>
  <c r="E117" i="71"/>
  <c r="F117" i="71"/>
  <c r="G117" i="71"/>
  <c r="H117" i="71"/>
  <c r="D115" i="71"/>
  <c r="E115" i="71"/>
  <c r="F115" i="71"/>
  <c r="G115" i="71"/>
  <c r="H115" i="71"/>
  <c r="I116" i="71"/>
  <c r="J116" i="71"/>
  <c r="K116" i="71"/>
  <c r="L116" i="71"/>
  <c r="M116" i="71"/>
  <c r="B118" i="71"/>
  <c r="C118" i="71"/>
  <c r="B116" i="71"/>
  <c r="C116" i="71"/>
  <c r="I117" i="71"/>
  <c r="J117" i="71"/>
  <c r="K117" i="71"/>
  <c r="L117" i="71"/>
  <c r="M117" i="71"/>
  <c r="D118" i="71"/>
  <c r="E118" i="71"/>
  <c r="F118" i="71"/>
  <c r="D116" i="71"/>
  <c r="E116" i="71"/>
  <c r="F116" i="71"/>
  <c r="G116" i="71"/>
  <c r="H116" i="71"/>
  <c r="I118" i="71"/>
  <c r="J118" i="71"/>
  <c r="K118" i="71"/>
  <c r="L118" i="71"/>
  <c r="M118" i="71"/>
  <c r="G118" i="71"/>
  <c r="H118" i="71"/>
  <c r="B117" i="71"/>
  <c r="C117" i="71"/>
  <c r="B115" i="71"/>
  <c r="C115" i="71"/>
  <c r="I115" i="71"/>
  <c r="J115" i="71"/>
  <c r="K115" i="71"/>
  <c r="L115" i="71"/>
  <c r="M115" i="7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R16" i="1"/>
  <c r="D22" i="71"/>
  <c r="L109" i="71"/>
  <c r="L104" i="71"/>
  <c r="L107" i="71"/>
  <c r="L103" i="71"/>
  <c r="L106" i="71"/>
  <c r="L102" i="71"/>
  <c r="L105" i="71"/>
  <c r="N109" i="71"/>
  <c r="N105" i="71"/>
  <c r="N106" i="71"/>
  <c r="N102" i="71"/>
  <c r="N107" i="71"/>
  <c r="N103" i="71"/>
  <c r="N104" i="71"/>
  <c r="G109" i="71"/>
  <c r="G105" i="71"/>
  <c r="G106" i="71"/>
  <c r="G102" i="71"/>
  <c r="G107" i="71"/>
  <c r="G103" i="71"/>
  <c r="G104" i="71"/>
  <c r="J109" i="71"/>
  <c r="J104" i="71"/>
  <c r="J107" i="71"/>
  <c r="J103" i="71"/>
  <c r="J106" i="71"/>
  <c r="J102" i="71"/>
  <c r="J105" i="71"/>
  <c r="E109" i="71"/>
  <c r="E104" i="71"/>
  <c r="E107" i="71"/>
  <c r="E103" i="71"/>
  <c r="E106" i="71"/>
  <c r="E102" i="71"/>
  <c r="E105" i="71"/>
  <c r="K109" i="71"/>
  <c r="K105" i="71"/>
  <c r="K106" i="71"/>
  <c r="K102" i="71"/>
  <c r="K107" i="71"/>
  <c r="K103" i="71"/>
  <c r="K104" i="71"/>
  <c r="K67" i="40"/>
  <c r="L65" i="40"/>
  <c r="F7" i="34"/>
  <c r="S7" i="34"/>
  <c r="D4" i="46"/>
  <c r="B4" i="46"/>
  <c r="B3" i="46"/>
  <c r="J9" i="39"/>
  <c r="H9" i="39"/>
  <c r="F9" i="39"/>
  <c r="AC7" i="34"/>
  <c r="V49" i="34"/>
  <c r="I49" i="34"/>
  <c r="W7" i="34"/>
  <c r="U7" i="34"/>
  <c r="L46" i="89"/>
  <c r="AA7" i="34"/>
  <c r="R49" i="34"/>
  <c r="R50" i="34"/>
  <c r="C23" i="71"/>
  <c r="S6" i="71"/>
  <c r="S5" i="71"/>
  <c r="S4" i="71"/>
  <c r="S7" i="71"/>
  <c r="S3" i="71"/>
  <c r="S2" i="71"/>
  <c r="D113" i="71"/>
  <c r="C21" i="71"/>
  <c r="M65" i="40"/>
  <c r="L67" i="40"/>
  <c r="I53" i="34"/>
  <c r="J53" i="34"/>
  <c r="U9" i="39"/>
  <c r="AB9" i="39"/>
  <c r="T49" i="39"/>
  <c r="G49" i="39"/>
  <c r="G53" i="34"/>
  <c r="H53" i="34"/>
  <c r="G54" i="34"/>
  <c r="H54" i="34"/>
  <c r="S9" i="39"/>
  <c r="AA9" i="39"/>
  <c r="R49" i="39"/>
  <c r="AC9" i="39"/>
  <c r="V49" i="39"/>
  <c r="I49" i="39"/>
  <c r="W9" i="39"/>
  <c r="E49" i="34"/>
  <c r="E53" i="34"/>
  <c r="F53" i="34"/>
  <c r="M67" i="40"/>
  <c r="N65" i="40"/>
  <c r="N67" i="40"/>
  <c r="H9" i="40"/>
  <c r="I53" i="39"/>
  <c r="J53" i="39"/>
  <c r="G54" i="39"/>
  <c r="H54" i="39"/>
  <c r="G53" i="39"/>
  <c r="H53" i="39"/>
  <c r="R50" i="39"/>
  <c r="E49" i="39"/>
  <c r="C49" i="34"/>
  <c r="C50" i="34"/>
  <c r="B3" i="34"/>
  <c r="B2" i="34"/>
  <c r="U8" i="1"/>
  <c r="E54" i="34"/>
  <c r="F54" i="34"/>
  <c r="I54" i="34"/>
  <c r="J54" i="34"/>
  <c r="J9" i="40"/>
  <c r="AC9" i="40"/>
  <c r="V44" i="40"/>
  <c r="I44" i="40"/>
  <c r="I48" i="40"/>
  <c r="J48" i="40"/>
  <c r="F9" i="40"/>
  <c r="U9" i="40"/>
  <c r="AB9" i="40"/>
  <c r="T44" i="40"/>
  <c r="G44" i="40"/>
  <c r="E54" i="39"/>
  <c r="F54" i="39"/>
  <c r="E53" i="39"/>
  <c r="F53" i="39"/>
  <c r="I54" i="39"/>
  <c r="J54" i="39"/>
  <c r="C50" i="39"/>
  <c r="C49" i="39"/>
  <c r="W9" i="40"/>
  <c r="L46" i="15"/>
  <c r="G48" i="40"/>
  <c r="H48" i="40"/>
  <c r="G49" i="40"/>
  <c r="H49" i="40"/>
  <c r="S9" i="40"/>
  <c r="AA9" i="40"/>
  <c r="R44" i="40"/>
  <c r="B66" i="39"/>
  <c r="F66" i="39"/>
  <c r="B64" i="39"/>
  <c r="F64" i="39"/>
  <c r="B61" i="39"/>
  <c r="F61" i="39"/>
  <c r="B65" i="39"/>
  <c r="F65" i="39"/>
  <c r="B59" i="39"/>
  <c r="F59" i="39"/>
  <c r="B58" i="39"/>
  <c r="F58" i="39"/>
  <c r="B63" i="39"/>
  <c r="F63" i="39"/>
  <c r="B62" i="39"/>
  <c r="F62" i="39"/>
  <c r="B60" i="39"/>
  <c r="F60" i="39"/>
  <c r="B67" i="39"/>
  <c r="F67" i="39"/>
  <c r="F68" i="39"/>
  <c r="B2" i="39"/>
  <c r="R45" i="40"/>
  <c r="E44" i="40"/>
  <c r="B3" i="39"/>
  <c r="B5" i="39"/>
  <c r="B4" i="39"/>
  <c r="E48" i="40"/>
  <c r="F48" i="40"/>
  <c r="E49" i="40"/>
  <c r="F49" i="40"/>
  <c r="I49" i="40"/>
  <c r="J49" i="40"/>
  <c r="C45" i="40"/>
  <c r="C44" i="40"/>
  <c r="B61" i="40"/>
  <c r="F61" i="40"/>
  <c r="B54" i="40"/>
  <c r="F54" i="40"/>
  <c r="B53" i="40"/>
  <c r="F53" i="40"/>
  <c r="B56" i="40"/>
  <c r="F56" i="40"/>
  <c r="B58" i="40"/>
  <c r="F58" i="40"/>
  <c r="B55" i="40"/>
  <c r="F55" i="40"/>
  <c r="B57" i="40"/>
  <c r="F57" i="40"/>
  <c r="B60" i="40"/>
  <c r="F60" i="40"/>
  <c r="B59" i="40"/>
  <c r="F59" i="40"/>
  <c r="B62" i="40"/>
  <c r="F62" i="40"/>
  <c r="F63" i="40"/>
  <c r="B2" i="40"/>
  <c r="B3" i="40"/>
  <c r="B4" i="40"/>
  <c r="B5" i="40"/>
  <c r="J11" i="79"/>
  <c r="J25" i="79"/>
  <c r="K25" i="79"/>
  <c r="J6" i="79"/>
  <c r="K18" i="79"/>
  <c r="J18" i="79"/>
  <c r="H11" i="79"/>
  <c r="H6" i="79"/>
  <c r="L11" i="79"/>
  <c r="H25" i="79"/>
  <c r="C17" i="79"/>
  <c r="C24" i="79"/>
  <c r="I25" i="79"/>
  <c r="L25" i="79"/>
  <c r="M25" i="79"/>
  <c r="L6" i="79"/>
  <c r="I18" i="79"/>
  <c r="L18" i="79"/>
  <c r="M18" i="79"/>
  <c r="H18" i="79"/>
  <c r="H12" i="79"/>
  <c r="H7" i="79"/>
  <c r="H26" i="79"/>
  <c r="I26" i="79"/>
  <c r="J12" i="79"/>
  <c r="I19" i="79"/>
  <c r="J7" i="79"/>
  <c r="H19" i="79"/>
  <c r="J26" i="79"/>
  <c r="L12" i="79"/>
  <c r="C18" i="79"/>
  <c r="C25" i="79"/>
  <c r="L26" i="79"/>
  <c r="M26" i="79"/>
  <c r="K26" i="79"/>
  <c r="K19" i="79"/>
  <c r="L7" i="79"/>
  <c r="J19" i="79"/>
  <c r="L19" i="79"/>
  <c r="M19" i="79"/>
  <c r="E11" i="52" l="1"/>
  <c r="B10" i="52"/>
  <c r="B4" i="52"/>
  <c r="E9" i="52"/>
  <c r="B23" i="52"/>
  <c r="B6" i="52"/>
  <c r="E6" i="52"/>
  <c r="C4" i="4" s="1"/>
  <c r="B20" i="55" s="1"/>
  <c r="B70" i="63" s="1"/>
  <c r="B13" i="52"/>
  <c r="E16" i="52"/>
  <c r="B5" i="52"/>
  <c r="B22" i="52"/>
  <c r="B11" i="52"/>
  <c r="C14" i="43"/>
  <c r="C18" i="43" s="1"/>
  <c r="C17" i="12"/>
  <c r="D19" i="12"/>
  <c r="C19" i="12" s="1"/>
  <c r="C16" i="12"/>
  <c r="M22" i="89"/>
  <c r="M25" i="44"/>
  <c r="F9" i="89"/>
  <c r="F38" i="89"/>
  <c r="C14" i="89"/>
  <c r="F16" i="89"/>
  <c r="M21" i="89"/>
  <c r="F43" i="89"/>
  <c r="M28" i="89"/>
  <c r="F9" i="67"/>
  <c r="F43" i="44"/>
  <c r="J17" i="44"/>
  <c r="F37" i="15"/>
  <c r="M24" i="15"/>
  <c r="F13" i="67"/>
  <c r="B13" i="67"/>
  <c r="F38" i="44"/>
  <c r="B14" i="67"/>
  <c r="B11" i="67"/>
  <c r="E13" i="67"/>
  <c r="M23" i="15"/>
  <c r="F11" i="67"/>
  <c r="F43" i="74"/>
  <c r="F9" i="15"/>
  <c r="N6" i="65"/>
  <c r="F36" i="15"/>
  <c r="M28" i="76"/>
  <c r="N4" i="65"/>
  <c r="L48" i="74"/>
  <c r="F40" i="76"/>
  <c r="M26" i="75"/>
  <c r="M31" i="74"/>
  <c r="L48" i="75"/>
  <c r="M6" i="15"/>
  <c r="M24" i="76"/>
  <c r="F28" i="74"/>
  <c r="M11" i="74"/>
  <c r="F38" i="75"/>
  <c r="F38" i="74"/>
  <c r="L48" i="76"/>
  <c r="J36" i="15"/>
  <c r="N5" i="65"/>
  <c r="F45" i="75"/>
  <c r="F8" i="89"/>
  <c r="J15" i="89"/>
  <c r="M24" i="89"/>
  <c r="J36" i="89"/>
  <c r="M23" i="89"/>
  <c r="M26" i="89"/>
  <c r="M8" i="89"/>
  <c r="F40" i="15"/>
  <c r="F40" i="44"/>
  <c r="F14" i="67"/>
  <c r="F8" i="44"/>
  <c r="B12" i="67"/>
  <c r="M29" i="44"/>
  <c r="F10" i="44"/>
  <c r="E9" i="67"/>
  <c r="B8" i="67"/>
  <c r="F28" i="44"/>
  <c r="F11" i="44"/>
  <c r="M8" i="15"/>
  <c r="F12" i="67"/>
  <c r="F8" i="67"/>
  <c r="F16" i="15"/>
  <c r="M26" i="15"/>
  <c r="F10" i="75"/>
  <c r="M30" i="74"/>
  <c r="F8" i="76"/>
  <c r="M11" i="76"/>
  <c r="L49" i="74"/>
  <c r="J17" i="75"/>
  <c r="F13" i="15"/>
  <c r="F9" i="75"/>
  <c r="F28" i="76"/>
  <c r="L47" i="15"/>
  <c r="F15" i="76"/>
  <c r="M25" i="75"/>
  <c r="L49" i="75"/>
  <c r="F38" i="15"/>
  <c r="F11" i="74"/>
  <c r="F8" i="75"/>
  <c r="M29" i="75"/>
  <c r="N3" i="65"/>
  <c r="L48" i="15"/>
  <c r="J17" i="76"/>
  <c r="F8" i="15"/>
  <c r="M8" i="74"/>
  <c r="F40" i="75"/>
  <c r="F33" i="68"/>
  <c r="J5" i="65"/>
  <c r="J3" i="65"/>
  <c r="M11" i="75"/>
  <c r="F11" i="76"/>
  <c r="M26" i="76"/>
  <c r="F18" i="74"/>
  <c r="I4" i="65"/>
  <c r="I3" i="65"/>
  <c r="J6" i="65"/>
  <c r="I7" i="65"/>
  <c r="F33" i="74"/>
  <c r="F41" i="15"/>
  <c r="F46" i="75"/>
  <c r="C19" i="76"/>
  <c r="C15" i="70"/>
  <c r="C19" i="74"/>
  <c r="C14" i="15"/>
  <c r="D22" i="68"/>
  <c r="D16" i="70"/>
  <c r="C16" i="75"/>
  <c r="C13" i="70"/>
  <c r="F35" i="15"/>
  <c r="F37" i="44"/>
  <c r="C19" i="44"/>
  <c r="C19" i="75"/>
  <c r="D22" i="70"/>
  <c r="C13" i="68"/>
  <c r="F37" i="74"/>
  <c r="M23" i="76"/>
  <c r="M23" i="44"/>
  <c r="F36" i="89"/>
  <c r="L48" i="89"/>
  <c r="M29" i="89"/>
  <c r="L47" i="89"/>
  <c r="M6" i="89"/>
  <c r="F42" i="15"/>
  <c r="M22" i="15"/>
  <c r="B9" i="67"/>
  <c r="E10" i="67"/>
  <c r="F18" i="44"/>
  <c r="F39" i="44"/>
  <c r="E11" i="67"/>
  <c r="M24" i="75"/>
  <c r="F9" i="76"/>
  <c r="F10" i="76"/>
  <c r="M8" i="76"/>
  <c r="M10" i="74"/>
  <c r="F28" i="75"/>
  <c r="F11" i="75"/>
  <c r="M25" i="76"/>
  <c r="F39" i="74"/>
  <c r="F45" i="74"/>
  <c r="F7" i="89"/>
  <c r="F13" i="89"/>
  <c r="M9" i="89"/>
  <c r="F26" i="89"/>
  <c r="F41" i="89"/>
  <c r="E14" i="67"/>
  <c r="E8" i="67"/>
  <c r="F15" i="44"/>
  <c r="M11" i="44"/>
  <c r="M28" i="44"/>
  <c r="J15" i="15"/>
  <c r="M24" i="74"/>
  <c r="F43" i="75"/>
  <c r="M19" i="44"/>
  <c r="F8" i="74"/>
  <c r="L49" i="76"/>
  <c r="M29" i="76"/>
  <c r="M8" i="75"/>
  <c r="F43" i="76"/>
  <c r="M30" i="75"/>
  <c r="M31" i="44"/>
  <c r="F15" i="75"/>
  <c r="F10" i="74"/>
  <c r="F33" i="75"/>
  <c r="I5" i="65"/>
  <c r="N7" i="65"/>
  <c r="M31" i="75"/>
  <c r="M26" i="74"/>
  <c r="I6" i="65"/>
  <c r="F33" i="69"/>
  <c r="C15" i="68"/>
  <c r="D16" i="68"/>
  <c r="D22" i="69"/>
  <c r="D21" i="69"/>
  <c r="C16" i="44"/>
  <c r="M23" i="74"/>
  <c r="F46" i="74"/>
  <c r="F6" i="89"/>
  <c r="M23" i="75"/>
  <c r="F37" i="76"/>
  <c r="M28" i="74"/>
  <c r="F45" i="76"/>
  <c r="M10" i="76"/>
  <c r="M30" i="76"/>
  <c r="F18" i="76"/>
  <c r="F40" i="74"/>
  <c r="F9" i="74"/>
  <c r="F38" i="76"/>
  <c r="J7" i="65"/>
  <c r="F33" i="44"/>
  <c r="M19" i="74"/>
  <c r="D21" i="70"/>
  <c r="F46" i="44"/>
  <c r="C16" i="76"/>
  <c r="M21" i="15"/>
  <c r="F46" i="76"/>
  <c r="C13" i="69"/>
  <c r="F6" i="15"/>
  <c r="B10" i="67"/>
  <c r="M10" i="44"/>
  <c r="E12" i="67"/>
  <c r="M8" i="44"/>
  <c r="F10" i="67"/>
  <c r="F26" i="15"/>
  <c r="M25" i="74"/>
  <c r="F18" i="75"/>
  <c r="F7" i="15"/>
  <c r="M9" i="15"/>
  <c r="F39" i="76"/>
  <c r="J17" i="74"/>
  <c r="M10" i="75"/>
  <c r="M28" i="75"/>
  <c r="M31" i="76"/>
  <c r="M28" i="15"/>
  <c r="F35" i="89"/>
  <c r="F37" i="89"/>
  <c r="F42" i="89"/>
  <c r="F40" i="89"/>
  <c r="M30" i="44"/>
  <c r="L48" i="44"/>
  <c r="M26" i="44"/>
  <c r="L49" i="44"/>
  <c r="F45" i="44"/>
  <c r="M24" i="44"/>
  <c r="D21" i="68"/>
  <c r="F15" i="74"/>
  <c r="F43" i="15"/>
  <c r="M29" i="15"/>
  <c r="F9" i="44"/>
  <c r="J4" i="65"/>
  <c r="F39" i="75"/>
  <c r="F33" i="70"/>
  <c r="D16" i="69"/>
  <c r="C15" i="69"/>
  <c r="C16" i="74"/>
  <c r="F37" i="75"/>
  <c r="F33" i="76"/>
  <c r="F31" i="89"/>
  <c r="F31" i="15"/>
  <c r="C18" i="12" l="1"/>
  <c r="C36" i="75"/>
  <c r="C17" i="74"/>
  <c r="C20" i="74"/>
  <c r="C16" i="69"/>
  <c r="D19" i="69"/>
  <c r="C19" i="69" s="1"/>
  <c r="C34" i="70"/>
  <c r="D33" i="70" s="1"/>
  <c r="M9" i="44"/>
  <c r="J8" i="44" s="1"/>
  <c r="F70" i="15"/>
  <c r="C21" i="68"/>
  <c r="J58" i="44"/>
  <c r="J56" i="44" s="1"/>
  <c r="J59" i="44" s="1"/>
  <c r="Q52" i="44" s="1"/>
  <c r="L57" i="44"/>
  <c r="I55" i="44"/>
  <c r="L58" i="44"/>
  <c r="L61" i="44"/>
  <c r="J61" i="44"/>
  <c r="Q50" i="44" s="1"/>
  <c r="J60" i="44"/>
  <c r="J54" i="44"/>
  <c r="Q54" i="44" s="1"/>
  <c r="L47" i="44"/>
  <c r="L59" i="44"/>
  <c r="Q62" i="44" s="1"/>
  <c r="L60" i="44"/>
  <c r="F67" i="89"/>
  <c r="F64" i="89"/>
  <c r="F62" i="89"/>
  <c r="C61" i="89" s="1"/>
  <c r="C34" i="89"/>
  <c r="F49" i="15"/>
  <c r="M7" i="15"/>
  <c r="C27" i="15"/>
  <c r="C6" i="15"/>
  <c r="C17" i="69"/>
  <c r="C14" i="69"/>
  <c r="J20" i="15"/>
  <c r="C17" i="76"/>
  <c r="C20" i="76"/>
  <c r="C21" i="70"/>
  <c r="M9" i="74"/>
  <c r="J8" i="74" s="1"/>
  <c r="C36" i="76"/>
  <c r="J22" i="75"/>
  <c r="C6" i="89"/>
  <c r="J22" i="74"/>
  <c r="C20" i="44"/>
  <c r="C17" i="44"/>
  <c r="C21" i="44"/>
  <c r="C21" i="69"/>
  <c r="C22" i="69"/>
  <c r="C16" i="68"/>
  <c r="D19" i="68"/>
  <c r="C19" i="68" s="1"/>
  <c r="C34" i="69"/>
  <c r="D33" i="69" s="1"/>
  <c r="I1" i="65"/>
  <c r="Q73" i="76"/>
  <c r="J54" i="76"/>
  <c r="L57" i="76"/>
  <c r="I55" i="76"/>
  <c r="J61" i="76"/>
  <c r="Q50" i="76" s="1"/>
  <c r="J58" i="76"/>
  <c r="J56" i="76" s="1"/>
  <c r="J59" i="76" s="1"/>
  <c r="Q52" i="76" s="1"/>
  <c r="J60" i="76"/>
  <c r="C8" i="74"/>
  <c r="Q73" i="75"/>
  <c r="F68" i="89"/>
  <c r="C27" i="89"/>
  <c r="F49" i="89"/>
  <c r="M7" i="89"/>
  <c r="C29" i="75"/>
  <c r="M9" i="76"/>
  <c r="L59" i="89"/>
  <c r="L58" i="89"/>
  <c r="Q74" i="89" s="1"/>
  <c r="I54" i="89"/>
  <c r="J57" i="89"/>
  <c r="J55" i="89" s="1"/>
  <c r="J58" i="89" s="1"/>
  <c r="Q51" i="89" s="1"/>
  <c r="L60" i="89"/>
  <c r="L56" i="89"/>
  <c r="J53" i="89"/>
  <c r="L57" i="89"/>
  <c r="F63" i="89"/>
  <c r="J22" i="44"/>
  <c r="J22" i="76"/>
  <c r="C36" i="74"/>
  <c r="C17" i="68"/>
  <c r="C14" i="68"/>
  <c r="C22" i="70"/>
  <c r="C36" i="44"/>
  <c r="F62" i="15"/>
  <c r="C61" i="15" s="1"/>
  <c r="C34" i="15"/>
  <c r="C14" i="70"/>
  <c r="C17" i="70"/>
  <c r="C20" i="75"/>
  <c r="C17" i="75"/>
  <c r="C16" i="70"/>
  <c r="D19" i="70"/>
  <c r="C19" i="70" s="1"/>
  <c r="C22" i="68"/>
  <c r="C15" i="15"/>
  <c r="C18" i="15"/>
  <c r="F68" i="15"/>
  <c r="E20" i="73"/>
  <c r="E20" i="72"/>
  <c r="N17" i="72" s="1"/>
  <c r="E20" i="71"/>
  <c r="E20" i="46"/>
  <c r="O17" i="46" s="1"/>
  <c r="J1" i="65"/>
  <c r="C34" i="68"/>
  <c r="D33" i="68" s="1"/>
  <c r="F50" i="15"/>
  <c r="C48" i="15" s="1"/>
  <c r="I54" i="15"/>
  <c r="J53" i="15"/>
  <c r="L57" i="15"/>
  <c r="J57" i="15"/>
  <c r="J55" i="15" s="1"/>
  <c r="J58" i="15" s="1"/>
  <c r="Q51" i="15" s="1"/>
  <c r="L56" i="15"/>
  <c r="L60" i="15"/>
  <c r="Q67" i="15" s="1"/>
  <c r="C8" i="75"/>
  <c r="F65" i="15"/>
  <c r="J61" i="75"/>
  <c r="Q50" i="75" s="1"/>
  <c r="J60" i="75"/>
  <c r="I55" i="75"/>
  <c r="L57" i="75"/>
  <c r="J58" i="75"/>
  <c r="J56" i="75" s="1"/>
  <c r="J59" i="75" s="1"/>
  <c r="Q52" i="75" s="1"/>
  <c r="J54" i="75"/>
  <c r="F1" i="75" s="1"/>
  <c r="L47" i="75"/>
  <c r="L58" i="15"/>
  <c r="Q61" i="15" s="1"/>
  <c r="L59" i="15"/>
  <c r="Q62" i="15" s="1"/>
  <c r="C29" i="76"/>
  <c r="M9" i="75"/>
  <c r="J60" i="74"/>
  <c r="J54" i="74"/>
  <c r="F1" i="74" s="1"/>
  <c r="L58" i="74"/>
  <c r="L57" i="74"/>
  <c r="J58" i="74"/>
  <c r="J56" i="74" s="1"/>
  <c r="J59" i="74" s="1"/>
  <c r="Q52" i="74" s="1"/>
  <c r="J61" i="74"/>
  <c r="Q50" i="74" s="1"/>
  <c r="L61" i="74"/>
  <c r="Q68" i="74" s="1"/>
  <c r="C8" i="76"/>
  <c r="C29" i="44"/>
  <c r="C8" i="44"/>
  <c r="F67" i="15"/>
  <c r="Q72" i="89"/>
  <c r="F50" i="89"/>
  <c r="C48" i="89" s="1"/>
  <c r="Q72" i="15"/>
  <c r="L60" i="76"/>
  <c r="Q63" i="76" s="1"/>
  <c r="L59" i="76"/>
  <c r="Q75" i="76" s="1"/>
  <c r="C29" i="74"/>
  <c r="L59" i="75"/>
  <c r="Q62" i="75" s="1"/>
  <c r="L60" i="75"/>
  <c r="Q63" i="75" s="1"/>
  <c r="L60" i="74"/>
  <c r="Q76" i="74" s="1"/>
  <c r="L59" i="74"/>
  <c r="Q62" i="74" s="1"/>
  <c r="C4" i="65"/>
  <c r="B39" i="1" s="1"/>
  <c r="F13" i="76" s="1"/>
  <c r="C12" i="76" s="1"/>
  <c r="C7" i="76" s="1"/>
  <c r="F63" i="15"/>
  <c r="Q73" i="74"/>
  <c r="F64" i="15"/>
  <c r="Q73" i="44"/>
  <c r="F70" i="89"/>
  <c r="J20" i="89"/>
  <c r="C18" i="89"/>
  <c r="C15" i="89"/>
  <c r="F65" i="89"/>
  <c r="L47" i="76"/>
  <c r="C20" i="70"/>
  <c r="C18" i="69"/>
  <c r="C19" i="43"/>
  <c r="C25" i="43" s="1"/>
  <c r="C24" i="43" s="1"/>
  <c r="C23" i="12"/>
  <c r="C35" i="12" s="1"/>
  <c r="C33" i="12" s="1"/>
  <c r="Q67" i="89"/>
  <c r="Q58" i="89"/>
  <c r="Q61" i="89"/>
  <c r="J8" i="76"/>
  <c r="J6" i="15"/>
  <c r="Q76" i="44"/>
  <c r="Q63" i="44"/>
  <c r="Q54" i="74"/>
  <c r="Q54" i="76"/>
  <c r="F1" i="76"/>
  <c r="Q74" i="15"/>
  <c r="P17" i="46"/>
  <c r="N17" i="46"/>
  <c r="M17" i="71"/>
  <c r="N17" i="71"/>
  <c r="O17" i="71"/>
  <c r="G20" i="71" s="1"/>
  <c r="C20" i="71" s="1"/>
  <c r="P17" i="71"/>
  <c r="F1" i="89"/>
  <c r="Q53" i="89"/>
  <c r="Q62" i="89"/>
  <c r="Q75" i="89"/>
  <c r="F13" i="75"/>
  <c r="C12" i="75" s="1"/>
  <c r="C7" i="75" s="1"/>
  <c r="M13" i="75"/>
  <c r="J12" i="75" s="1"/>
  <c r="M13" i="44"/>
  <c r="J12" i="44" s="1"/>
  <c r="Q75" i="44"/>
  <c r="Q59" i="44"/>
  <c r="Q68" i="44"/>
  <c r="F1" i="44"/>
  <c r="Q75" i="15"/>
  <c r="F1" i="15"/>
  <c r="Q53" i="15"/>
  <c r="M17" i="72"/>
  <c r="G20" i="72" s="1"/>
  <c r="C20" i="72" s="1"/>
  <c r="O17" i="72"/>
  <c r="O17" i="73"/>
  <c r="P17" i="73"/>
  <c r="M17" i="73"/>
  <c r="N17" i="73"/>
  <c r="G20" i="73" s="1"/>
  <c r="C20" i="73" s="1"/>
  <c r="C20" i="69"/>
  <c r="C22" i="44"/>
  <c r="C17" i="15"/>
  <c r="M17" i="15"/>
  <c r="C18" i="76"/>
  <c r="M17" i="89"/>
  <c r="M19" i="76"/>
  <c r="C18" i="74"/>
  <c r="M19" i="75"/>
  <c r="AE6" i="1"/>
  <c r="AE7" i="1"/>
  <c r="AE8" i="1"/>
  <c r="F58" i="15"/>
  <c r="C18" i="75"/>
  <c r="E2" i="65"/>
  <c r="F58" i="89"/>
  <c r="C18" i="44"/>
  <c r="E3" i="65"/>
  <c r="C16" i="15"/>
  <c r="C17" i="89"/>
  <c r="C16" i="89"/>
  <c r="Q59" i="74" l="1"/>
  <c r="Q58" i="15"/>
  <c r="Q76" i="75"/>
  <c r="Q54" i="75"/>
  <c r="Q75" i="74"/>
  <c r="P17" i="72"/>
  <c r="Q63" i="74"/>
  <c r="F11" i="15"/>
  <c r="C52" i="15" s="1"/>
  <c r="M11" i="89"/>
  <c r="J10" i="89" s="1"/>
  <c r="F11" i="89"/>
  <c r="C10" i="89" s="1"/>
  <c r="C5" i="89" s="1"/>
  <c r="C32" i="89" s="1"/>
  <c r="M17" i="46"/>
  <c r="Q62" i="76"/>
  <c r="Q75" i="75"/>
  <c r="C18" i="70"/>
  <c r="C23" i="70" s="1"/>
  <c r="C18" i="68"/>
  <c r="Q76" i="76"/>
  <c r="F13" i="44"/>
  <c r="C12" i="44" s="1"/>
  <c r="C7" i="44" s="1"/>
  <c r="C40" i="44" s="1"/>
  <c r="M11" i="15"/>
  <c r="J10" i="15" s="1"/>
  <c r="M13" i="74"/>
  <c r="J12" i="74" s="1"/>
  <c r="J7" i="74" s="1"/>
  <c r="J26" i="74" s="1"/>
  <c r="M13" i="76"/>
  <c r="J12" i="76" s="1"/>
  <c r="F13" i="74"/>
  <c r="C12" i="74" s="1"/>
  <c r="C7" i="74" s="1"/>
  <c r="C40" i="74" s="1"/>
  <c r="C19" i="89"/>
  <c r="C19" i="15"/>
  <c r="F17" i="11"/>
  <c r="C17" i="11" s="1"/>
  <c r="C19" i="11" s="1"/>
  <c r="B40" i="1"/>
  <c r="C21" i="75"/>
  <c r="C21" i="74"/>
  <c r="C21" i="76"/>
  <c r="C20" i="68"/>
  <c r="J7" i="44"/>
  <c r="J20" i="44" s="1"/>
  <c r="J8" i="75"/>
  <c r="J7" i="75" s="1"/>
  <c r="J6" i="89"/>
  <c r="AG7" i="1"/>
  <c r="AG8" i="1"/>
  <c r="AG6" i="1"/>
  <c r="C38" i="89"/>
  <c r="T13" i="73"/>
  <c r="V13" i="73" s="1"/>
  <c r="T9" i="73"/>
  <c r="V9" i="73" s="1"/>
  <c r="T15" i="73"/>
  <c r="V15" i="73" s="1"/>
  <c r="T8" i="73"/>
  <c r="V8" i="73" s="1"/>
  <c r="T14" i="73"/>
  <c r="V14" i="73" s="1"/>
  <c r="T16" i="73"/>
  <c r="V16" i="73" s="1"/>
  <c r="C36" i="73"/>
  <c r="C38" i="73"/>
  <c r="T12" i="73"/>
  <c r="V12" i="73" s="1"/>
  <c r="T10" i="73"/>
  <c r="V10" i="73" s="1"/>
  <c r="C29" i="73"/>
  <c r="C34" i="73"/>
  <c r="C33" i="73"/>
  <c r="C37" i="73"/>
  <c r="T2" i="73"/>
  <c r="V2" i="73" s="1"/>
  <c r="T3" i="73"/>
  <c r="V3" i="73" s="1"/>
  <c r="T7" i="73"/>
  <c r="V7" i="73" s="1"/>
  <c r="C39" i="73"/>
  <c r="T11" i="73"/>
  <c r="V11" i="73" s="1"/>
  <c r="C35" i="73"/>
  <c r="T4" i="73"/>
  <c r="V4" i="73" s="1"/>
  <c r="T5" i="73"/>
  <c r="V5" i="73" s="1"/>
  <c r="T6" i="73"/>
  <c r="V6" i="73" s="1"/>
  <c r="C34" i="75"/>
  <c r="C40" i="75"/>
  <c r="C52" i="89"/>
  <c r="C47" i="89" s="1"/>
  <c r="T16" i="71"/>
  <c r="V16" i="71" s="1"/>
  <c r="T10" i="71"/>
  <c r="V10" i="71" s="1"/>
  <c r="T14" i="71"/>
  <c r="V14" i="71" s="1"/>
  <c r="T12" i="71"/>
  <c r="V12" i="71" s="1"/>
  <c r="T8" i="71"/>
  <c r="V8" i="71" s="1"/>
  <c r="T11" i="71"/>
  <c r="V11" i="71" s="1"/>
  <c r="T15" i="71"/>
  <c r="V15" i="71" s="1"/>
  <c r="T13" i="71"/>
  <c r="V13" i="71" s="1"/>
  <c r="T9" i="71"/>
  <c r="V9" i="71" s="1"/>
  <c r="C35" i="71"/>
  <c r="C36" i="71"/>
  <c r="C39" i="71"/>
  <c r="C37" i="71"/>
  <c r="C33" i="71"/>
  <c r="C38" i="71"/>
  <c r="C34" i="71"/>
  <c r="T6" i="71"/>
  <c r="V6" i="71" s="1"/>
  <c r="T5" i="71"/>
  <c r="V5" i="71" s="1"/>
  <c r="T7" i="71"/>
  <c r="V7" i="71" s="1"/>
  <c r="T2" i="71"/>
  <c r="V2" i="71" s="1"/>
  <c r="C29" i="71"/>
  <c r="T4" i="71"/>
  <c r="V4" i="71" s="1"/>
  <c r="T3" i="71"/>
  <c r="V3" i="71" s="1"/>
  <c r="J5" i="15"/>
  <c r="C20" i="15"/>
  <c r="C26" i="15" s="1"/>
  <c r="C23" i="69"/>
  <c r="C20" i="89"/>
  <c r="C26" i="89" s="1"/>
  <c r="C22" i="76"/>
  <c r="C20" i="11"/>
  <c r="C21" i="11" s="1"/>
  <c r="C22" i="11" s="1"/>
  <c r="C23" i="11" s="1"/>
  <c r="B2" i="11" s="1"/>
  <c r="C28" i="44"/>
  <c r="T12" i="72"/>
  <c r="V12" i="72" s="1"/>
  <c r="T10" i="72"/>
  <c r="V10" i="72" s="1"/>
  <c r="C35" i="72"/>
  <c r="T9" i="72"/>
  <c r="V9" i="72" s="1"/>
  <c r="C39" i="72"/>
  <c r="T8" i="72"/>
  <c r="V8" i="72" s="1"/>
  <c r="T14" i="72"/>
  <c r="V14" i="72" s="1"/>
  <c r="T16" i="72"/>
  <c r="V16" i="72" s="1"/>
  <c r="C29" i="72"/>
  <c r="C36" i="72"/>
  <c r="T11" i="72"/>
  <c r="V11" i="72" s="1"/>
  <c r="T13" i="72"/>
  <c r="V13" i="72" s="1"/>
  <c r="C33" i="72"/>
  <c r="C38" i="72"/>
  <c r="C34" i="72"/>
  <c r="T7" i="72"/>
  <c r="V7" i="72" s="1"/>
  <c r="T2" i="72"/>
  <c r="V2" i="72" s="1"/>
  <c r="T3" i="72"/>
  <c r="V3" i="72" s="1"/>
  <c r="T15" i="72"/>
  <c r="V15" i="72" s="1"/>
  <c r="C37" i="72"/>
  <c r="T5" i="72"/>
  <c r="V5" i="72" s="1"/>
  <c r="T6" i="72"/>
  <c r="V6" i="72" s="1"/>
  <c r="T4" i="72"/>
  <c r="V4" i="72" s="1"/>
  <c r="C34" i="76"/>
  <c r="C40" i="76"/>
  <c r="C47" i="15"/>
  <c r="J7" i="76"/>
  <c r="C22" i="74"/>
  <c r="F24" i="89"/>
  <c r="C24" i="89" s="1"/>
  <c r="F26" i="75"/>
  <c r="C26" i="75" s="1"/>
  <c r="F26" i="76"/>
  <c r="C26" i="76" s="1"/>
  <c r="F26" i="74"/>
  <c r="C26" i="74" s="1"/>
  <c r="F26" i="69"/>
  <c r="C27" i="69" s="1"/>
  <c r="D26" i="69" s="1"/>
  <c r="C32" i="69" s="1"/>
  <c r="D30" i="69" s="1"/>
  <c r="F26" i="44"/>
  <c r="F24" i="15"/>
  <c r="C24" i="15" s="1"/>
  <c r="F26" i="12"/>
  <c r="C27" i="12" s="1"/>
  <c r="D26" i="12" s="1"/>
  <c r="C32" i="12" s="1"/>
  <c r="D30" i="12" s="1"/>
  <c r="F26" i="70"/>
  <c r="C27" i="70" s="1"/>
  <c r="D26" i="70" s="1"/>
  <c r="C32" i="70" s="1"/>
  <c r="D30" i="70" s="1"/>
  <c r="F21" i="43"/>
  <c r="F26" i="68"/>
  <c r="C22" i="75"/>
  <c r="C25" i="75" s="1"/>
  <c r="M27" i="15"/>
  <c r="M27" i="89"/>
  <c r="L52" i="74"/>
  <c r="L52" i="76"/>
  <c r="L52" i="75"/>
  <c r="M29" i="74"/>
  <c r="L52" i="44"/>
  <c r="C34" i="44" l="1"/>
  <c r="C10" i="15"/>
  <c r="C5" i="15" s="1"/>
  <c r="C38" i="15" s="1"/>
  <c r="J28" i="44"/>
  <c r="J31" i="44" s="1"/>
  <c r="C23" i="68"/>
  <c r="C35" i="68" s="1"/>
  <c r="C33" i="68" s="1"/>
  <c r="J20" i="74"/>
  <c r="C34" i="74"/>
  <c r="J5" i="89"/>
  <c r="J26" i="89" s="1"/>
  <c r="J29" i="89" s="1"/>
  <c r="C32" i="15"/>
  <c r="J28" i="74"/>
  <c r="J31" i="74" s="1"/>
  <c r="Q58" i="74" s="1"/>
  <c r="Q64" i="74" s="1"/>
  <c r="C35" i="74"/>
  <c r="J26" i="44"/>
  <c r="J28" i="75"/>
  <c r="J31" i="75" s="1"/>
  <c r="Q58" i="75" s="1"/>
  <c r="J20" i="75"/>
  <c r="J26" i="75"/>
  <c r="C28" i="75"/>
  <c r="C31" i="75" s="1"/>
  <c r="Q69" i="75"/>
  <c r="L58" i="75"/>
  <c r="L61" i="75" s="1"/>
  <c r="Q69" i="76"/>
  <c r="L58" i="76"/>
  <c r="L61" i="76" s="1"/>
  <c r="Q69" i="44"/>
  <c r="Q69" i="74"/>
  <c r="C65" i="89"/>
  <c r="C59" i="89"/>
  <c r="C27" i="68"/>
  <c r="D26" i="68" s="1"/>
  <c r="C32" i="68" s="1"/>
  <c r="D30" i="68" s="1"/>
  <c r="C28" i="68"/>
  <c r="C26" i="68" s="1"/>
  <c r="C31" i="68" s="1"/>
  <c r="C30" i="68" s="1"/>
  <c r="C28" i="74"/>
  <c r="C65" i="15"/>
  <c r="C59" i="15"/>
  <c r="G37" i="72"/>
  <c r="I37" i="72" s="1"/>
  <c r="E37" i="72"/>
  <c r="E38" i="72"/>
  <c r="G38" i="72"/>
  <c r="I38" i="72" s="1"/>
  <c r="G36" i="72"/>
  <c r="I36" i="72" s="1"/>
  <c r="E36" i="72"/>
  <c r="B3" i="11"/>
  <c r="B4" i="11"/>
  <c r="B5" i="11"/>
  <c r="C28" i="76"/>
  <c r="C23" i="89"/>
  <c r="C29" i="89" s="1"/>
  <c r="C23" i="15"/>
  <c r="C30" i="71"/>
  <c r="E30" i="71" s="1"/>
  <c r="E29" i="71"/>
  <c r="C10" i="84"/>
  <c r="G38" i="71"/>
  <c r="I38" i="71" s="1"/>
  <c r="E38" i="71"/>
  <c r="G37" i="71"/>
  <c r="I37" i="71" s="1"/>
  <c r="E37" i="71"/>
  <c r="G36" i="71"/>
  <c r="I36" i="71" s="1"/>
  <c r="E36" i="71"/>
  <c r="E33" i="73"/>
  <c r="G33" i="73"/>
  <c r="I33" i="73" s="1"/>
  <c r="C30" i="73"/>
  <c r="E30" i="73" s="1"/>
  <c r="E29" i="73"/>
  <c r="E36" i="73"/>
  <c r="G36" i="73"/>
  <c r="I36" i="73" s="1"/>
  <c r="C23" i="43"/>
  <c r="D21" i="43" s="1"/>
  <c r="C22" i="43"/>
  <c r="C21" i="43" s="1"/>
  <c r="C26" i="44"/>
  <c r="C25" i="44"/>
  <c r="C25" i="74"/>
  <c r="C31" i="74" s="1"/>
  <c r="C28" i="12"/>
  <c r="C26" i="12" s="1"/>
  <c r="C31" i="12" s="1"/>
  <c r="C30" i="12" s="1"/>
  <c r="C36" i="12" s="1"/>
  <c r="B2" i="12" s="1"/>
  <c r="J20" i="76"/>
  <c r="J26" i="76"/>
  <c r="J28" i="76"/>
  <c r="J31" i="76" s="1"/>
  <c r="G34" i="72"/>
  <c r="I34" i="72" s="1"/>
  <c r="E34" i="72"/>
  <c r="E33" i="72"/>
  <c r="G33" i="72"/>
  <c r="I33" i="72" s="1"/>
  <c r="C30" i="72"/>
  <c r="E30" i="72" s="1"/>
  <c r="E29" i="72"/>
  <c r="G39" i="72"/>
  <c r="I39" i="72" s="1"/>
  <c r="E39" i="72"/>
  <c r="G35" i="72"/>
  <c r="I35" i="72" s="1"/>
  <c r="E35" i="72"/>
  <c r="C25" i="76"/>
  <c r="C29" i="15"/>
  <c r="J24" i="15"/>
  <c r="J26" i="15"/>
  <c r="J29" i="15" s="1"/>
  <c r="J18" i="15"/>
  <c r="E34" i="71"/>
  <c r="G34" i="71"/>
  <c r="I34" i="71" s="1"/>
  <c r="E33" i="71"/>
  <c r="G33" i="71"/>
  <c r="I33" i="71" s="1"/>
  <c r="C8" i="84"/>
  <c r="G39" i="71"/>
  <c r="I39" i="71" s="1"/>
  <c r="E39" i="71"/>
  <c r="E35" i="71"/>
  <c r="G35" i="71"/>
  <c r="I35" i="71" s="1"/>
  <c r="G35" i="73"/>
  <c r="I35" i="73" s="1"/>
  <c r="E35" i="73"/>
  <c r="G39" i="73"/>
  <c r="I39" i="73" s="1"/>
  <c r="E39" i="73"/>
  <c r="G37" i="73"/>
  <c r="I37" i="73" s="1"/>
  <c r="E37" i="73"/>
  <c r="G34" i="73"/>
  <c r="I34" i="73" s="1"/>
  <c r="E34" i="73"/>
  <c r="E38" i="73"/>
  <c r="G38" i="73"/>
  <c r="I38" i="73" s="1"/>
  <c r="Q67" i="44"/>
  <c r="Q77" i="44" s="1"/>
  <c r="Q49" i="44"/>
  <c r="Q55" i="44" s="1"/>
  <c r="Q58" i="44"/>
  <c r="Q64" i="44" s="1"/>
  <c r="F7" i="67"/>
  <c r="C33" i="74" l="1"/>
  <c r="C31" i="76"/>
  <c r="Q51" i="76" s="1"/>
  <c r="J18" i="89"/>
  <c r="Q67" i="74"/>
  <c r="Q77" i="74" s="1"/>
  <c r="J24" i="89"/>
  <c r="Q49" i="74"/>
  <c r="Q55" i="74" s="1"/>
  <c r="Q49" i="75"/>
  <c r="Q55" i="75" s="1"/>
  <c r="Q67" i="75"/>
  <c r="C38" i="75"/>
  <c r="C35" i="75"/>
  <c r="C33" i="75" s="1"/>
  <c r="C15" i="75"/>
  <c r="C43" i="75" s="1"/>
  <c r="Q51" i="75"/>
  <c r="J16" i="75"/>
  <c r="J15" i="75" s="1"/>
  <c r="J25" i="75" s="1"/>
  <c r="J21" i="75"/>
  <c r="J19" i="75" s="1"/>
  <c r="C31" i="44"/>
  <c r="J21" i="44" s="1"/>
  <c r="J19" i="44" s="1"/>
  <c r="C28" i="43"/>
  <c r="C30" i="43" s="1"/>
  <c r="C32" i="43" s="1"/>
  <c r="B2" i="43" s="1"/>
  <c r="B4" i="43" s="1"/>
  <c r="C36" i="68"/>
  <c r="B2" i="68" s="1"/>
  <c r="E4" i="67"/>
  <c r="Q59" i="76"/>
  <c r="Q68" i="76"/>
  <c r="Q59" i="75"/>
  <c r="Q64" i="75" s="1"/>
  <c r="Q68" i="75"/>
  <c r="Q50" i="89"/>
  <c r="C33" i="89"/>
  <c r="C31" i="89" s="1"/>
  <c r="C13" i="89"/>
  <c r="C56" i="89"/>
  <c r="C36" i="89"/>
  <c r="J19" i="89"/>
  <c r="J14" i="89"/>
  <c r="J59" i="89"/>
  <c r="J60" i="89" s="1"/>
  <c r="Q49" i="89" s="1"/>
  <c r="C26" i="72"/>
  <c r="B2" i="72" s="1"/>
  <c r="B3" i="12"/>
  <c r="B4" i="12"/>
  <c r="B5" i="12"/>
  <c r="Q51" i="44"/>
  <c r="C26" i="73"/>
  <c r="B2" i="73" s="1"/>
  <c r="C27" i="71"/>
  <c r="C15" i="74"/>
  <c r="Q51" i="74"/>
  <c r="C38" i="74"/>
  <c r="J16" i="74"/>
  <c r="J21" i="74"/>
  <c r="J19" i="74" s="1"/>
  <c r="J19" i="15"/>
  <c r="J17" i="15" s="1"/>
  <c r="Q50" i="15"/>
  <c r="C33" i="15"/>
  <c r="C31" i="15" s="1"/>
  <c r="J14" i="15"/>
  <c r="C56" i="15"/>
  <c r="C13" i="15"/>
  <c r="C36" i="15"/>
  <c r="J59" i="15"/>
  <c r="J60" i="15" s="1"/>
  <c r="Q49" i="15" s="1"/>
  <c r="C27" i="72"/>
  <c r="Q58" i="76"/>
  <c r="Q49" i="76"/>
  <c r="Q55" i="76" s="1"/>
  <c r="Q67" i="76"/>
  <c r="C27" i="73"/>
  <c r="C26" i="71"/>
  <c r="Q72" i="75"/>
  <c r="D19" i="9"/>
  <c r="B3" i="68"/>
  <c r="E7" i="67"/>
  <c r="C19" i="82"/>
  <c r="B4" i="68"/>
  <c r="C19" i="83"/>
  <c r="B5" i="68"/>
  <c r="J24" i="75" l="1"/>
  <c r="J18" i="75" s="1"/>
  <c r="J27" i="75" s="1"/>
  <c r="J17" i="89"/>
  <c r="J21" i="76"/>
  <c r="J19" i="76" s="1"/>
  <c r="B5" i="43"/>
  <c r="Q77" i="75"/>
  <c r="C38" i="76"/>
  <c r="C15" i="76"/>
  <c r="Q72" i="76" s="1"/>
  <c r="J16" i="76"/>
  <c r="C35" i="76"/>
  <c r="C33" i="76" s="1"/>
  <c r="C39" i="75"/>
  <c r="C32" i="75" s="1"/>
  <c r="C42" i="75" s="1"/>
  <c r="Q71" i="75" s="1"/>
  <c r="Q70" i="75" s="1"/>
  <c r="C15" i="44"/>
  <c r="Q72" i="44" s="1"/>
  <c r="B3" i="43"/>
  <c r="J16" i="44"/>
  <c r="J24" i="44" s="1"/>
  <c r="L44" i="9"/>
  <c r="J10" i="79"/>
  <c r="J24" i="79" s="1"/>
  <c r="K24" i="79" s="1"/>
  <c r="Q64" i="76"/>
  <c r="C38" i="44"/>
  <c r="C35" i="44"/>
  <c r="C33" i="44" s="1"/>
  <c r="Q77" i="76"/>
  <c r="L43" i="83"/>
  <c r="E3" i="67"/>
  <c r="L43" i="82"/>
  <c r="Q71" i="15"/>
  <c r="J35" i="15"/>
  <c r="C55" i="15"/>
  <c r="C64" i="15" s="1"/>
  <c r="C37" i="15"/>
  <c r="C30" i="15" s="1"/>
  <c r="C39" i="15" s="1"/>
  <c r="J22" i="15"/>
  <c r="J13" i="15"/>
  <c r="J23" i="15" s="1"/>
  <c r="C44" i="75"/>
  <c r="C45" i="75" s="1"/>
  <c r="B2" i="75" s="1"/>
  <c r="C39" i="74"/>
  <c r="C32" i="74" s="1"/>
  <c r="C42" i="74" s="1"/>
  <c r="Q72" i="74"/>
  <c r="C43" i="74"/>
  <c r="B4" i="73"/>
  <c r="B3" i="73"/>
  <c r="D4" i="73"/>
  <c r="C63" i="89"/>
  <c r="C60" i="89"/>
  <c r="C58" i="89" s="1"/>
  <c r="J15" i="76"/>
  <c r="J25" i="76" s="1"/>
  <c r="J24" i="76"/>
  <c r="B2" i="71"/>
  <c r="C63" i="15"/>
  <c r="C60" i="15"/>
  <c r="C58" i="15" s="1"/>
  <c r="J24" i="74"/>
  <c r="J15" i="74"/>
  <c r="J25" i="74" s="1"/>
  <c r="D4" i="72"/>
  <c r="B4" i="72"/>
  <c r="B3" i="72"/>
  <c r="J13" i="89"/>
  <c r="J23" i="89" s="1"/>
  <c r="J22" i="89"/>
  <c r="C37" i="89"/>
  <c r="C30" i="89" s="1"/>
  <c r="C39" i="89" s="1"/>
  <c r="C55" i="89"/>
  <c r="C64" i="89" s="1"/>
  <c r="Q71" i="89"/>
  <c r="J35" i="89"/>
  <c r="D21" i="9"/>
  <c r="C20" i="82"/>
  <c r="D20" i="9"/>
  <c r="C21" i="83"/>
  <c r="B7" i="67"/>
  <c r="C20" i="83"/>
  <c r="C19" i="9"/>
  <c r="C21" i="82"/>
  <c r="C43" i="76" l="1"/>
  <c r="C39" i="76"/>
  <c r="C32" i="76" s="1"/>
  <c r="C42" i="76" s="1"/>
  <c r="C43" i="44"/>
  <c r="C39" i="44"/>
  <c r="C32" i="44" s="1"/>
  <c r="C42" i="44" s="1"/>
  <c r="Q71" i="44" s="1"/>
  <c r="Q70" i="44" s="1"/>
  <c r="J15" i="44"/>
  <c r="J25" i="44" s="1"/>
  <c r="J18" i="44" s="1"/>
  <c r="J27" i="44" s="1"/>
  <c r="C3" i="84"/>
  <c r="C11" i="84" s="1"/>
  <c r="E10" i="84" s="1"/>
  <c r="J5" i="79"/>
  <c r="K17" i="79" s="1"/>
  <c r="J17" i="79" s="1"/>
  <c r="J16" i="89"/>
  <c r="J25" i="89" s="1"/>
  <c r="J18" i="74"/>
  <c r="J27" i="74" s="1"/>
  <c r="J18" i="76"/>
  <c r="J27" i="76" s="1"/>
  <c r="C57" i="89"/>
  <c r="C66" i="89" s="1"/>
  <c r="C67" i="89" s="1"/>
  <c r="C70" i="89" s="1"/>
  <c r="C57" i="15"/>
  <c r="C66" i="15" s="1"/>
  <c r="C67" i="15" s="1"/>
  <c r="C70" i="15" s="1"/>
  <c r="J16" i="15"/>
  <c r="J25" i="15" s="1"/>
  <c r="C6" i="84"/>
  <c r="C4" i="84"/>
  <c r="B2" i="67"/>
  <c r="D22" i="9"/>
  <c r="H10" i="79"/>
  <c r="H24" i="79" s="1"/>
  <c r="G19" i="9"/>
  <c r="L43" i="9"/>
  <c r="Q71" i="74"/>
  <c r="Q70" i="74" s="1"/>
  <c r="C44" i="74"/>
  <c r="C45" i="74" s="1"/>
  <c r="B2" i="74" s="1"/>
  <c r="C40" i="89"/>
  <c r="Q70" i="89"/>
  <c r="Q69" i="89" s="1"/>
  <c r="Q70" i="15"/>
  <c r="Q69" i="15" s="1"/>
  <c r="C40" i="15"/>
  <c r="B5" i="75"/>
  <c r="B3" i="75"/>
  <c r="B4" i="75"/>
  <c r="J39" i="15"/>
  <c r="J40" i="15" s="1"/>
  <c r="J39" i="89"/>
  <c r="J40" i="89" s="1"/>
  <c r="D4" i="71"/>
  <c r="B3" i="71"/>
  <c r="B4" i="71"/>
  <c r="C21" i="9"/>
  <c r="L51" i="89"/>
  <c r="L51" i="15"/>
  <c r="C20" i="9"/>
  <c r="C44" i="76" l="1"/>
  <c r="C45" i="76" s="1"/>
  <c r="B2" i="76" s="1"/>
  <c r="B4" i="76" s="1"/>
  <c r="Q71" i="76"/>
  <c r="Q70" i="76" s="1"/>
  <c r="C9" i="84"/>
  <c r="E8" i="84" s="1"/>
  <c r="D24" i="84" s="1"/>
  <c r="C46" i="15"/>
  <c r="C44" i="44"/>
  <c r="C45" i="44" s="1"/>
  <c r="B2" i="44" s="1"/>
  <c r="B5" i="44" s="1"/>
  <c r="C46" i="89"/>
  <c r="G21" i="9"/>
  <c r="Q68" i="15"/>
  <c r="C2" i="84"/>
  <c r="E2" i="84" s="1"/>
  <c r="H5" i="79"/>
  <c r="G20" i="9"/>
  <c r="C16" i="79" s="1"/>
  <c r="Q68" i="89"/>
  <c r="F8" i="84"/>
  <c r="B5" i="74"/>
  <c r="B3" i="74"/>
  <c r="B4" i="74"/>
  <c r="C32" i="9"/>
  <c r="N43" i="9"/>
  <c r="G22" i="9"/>
  <c r="D25" i="84"/>
  <c r="F10" i="84"/>
  <c r="C43" i="15"/>
  <c r="Q48" i="15"/>
  <c r="Q54" i="15" s="1"/>
  <c r="Q66" i="15"/>
  <c r="Q76" i="15" s="1"/>
  <c r="Q57" i="15"/>
  <c r="Q63" i="15" s="1"/>
  <c r="B2" i="15"/>
  <c r="J42" i="15"/>
  <c r="J43" i="15" s="1"/>
  <c r="B2" i="89"/>
  <c r="Q57" i="89"/>
  <c r="Q63" i="89" s="1"/>
  <c r="Q48" i="89"/>
  <c r="Q54" i="89" s="1"/>
  <c r="Q66" i="89"/>
  <c r="Q76" i="89" s="1"/>
  <c r="C43" i="89"/>
  <c r="J42" i="89"/>
  <c r="J43" i="89" s="1"/>
  <c r="L24" i="79"/>
  <c r="M24" i="79" s="1"/>
  <c r="I24" i="79"/>
  <c r="B3" i="67"/>
  <c r="B4" i="67"/>
  <c r="B5" i="76" l="1"/>
  <c r="B3" i="76"/>
  <c r="B3" i="44"/>
  <c r="B4" i="44"/>
  <c r="C10" i="69"/>
  <c r="C6" i="69" s="1"/>
  <c r="B3" i="89"/>
  <c r="F25" i="84"/>
  <c r="D39" i="84"/>
  <c r="E25" i="84"/>
  <c r="C23" i="79"/>
  <c r="E23" i="79" s="1"/>
  <c r="E26" i="79" s="1"/>
  <c r="E16" i="79"/>
  <c r="D21" i="84"/>
  <c r="F2" i="84"/>
  <c r="C10" i="70"/>
  <c r="C6" i="70" s="1"/>
  <c r="B3" i="15"/>
  <c r="O43" i="9"/>
  <c r="C33" i="9"/>
  <c r="C42" i="9"/>
  <c r="O38" i="9"/>
  <c r="C35" i="9"/>
  <c r="F42" i="9" s="1"/>
  <c r="C34" i="9"/>
  <c r="D38" i="84"/>
  <c r="F24" i="84"/>
  <c r="E24" i="84"/>
  <c r="I17" i="79"/>
  <c r="L5" i="79"/>
  <c r="E38" i="84" l="1"/>
  <c r="K38" i="84"/>
  <c r="R5" i="54"/>
  <c r="B48" i="63" s="1"/>
  <c r="D63" i="9"/>
  <c r="D14" i="66"/>
  <c r="N68" i="9"/>
  <c r="C24" i="70"/>
  <c r="C29" i="70"/>
  <c r="F21" i="84"/>
  <c r="D35" i="84"/>
  <c r="E21" i="84"/>
  <c r="K39" i="84"/>
  <c r="E39" i="84"/>
  <c r="L17" i="79"/>
  <c r="M17" i="79" s="1"/>
  <c r="H17" i="79"/>
  <c r="M38" i="9"/>
  <c r="K27" i="9" s="1"/>
  <c r="E42" i="9"/>
  <c r="P5" i="54" s="1"/>
  <c r="B46" i="63" s="1"/>
  <c r="K26" i="9"/>
  <c r="K25" i="9"/>
  <c r="N38" i="9"/>
  <c r="K28" i="9" s="1"/>
  <c r="D42" i="9"/>
  <c r="Q5" i="54" s="1"/>
  <c r="B47" i="63" s="1"/>
  <c r="L10" i="79"/>
  <c r="E19" i="79"/>
  <c r="C24" i="69"/>
  <c r="C29" i="69"/>
  <c r="C82" i="9" l="1"/>
  <c r="C81" i="9" s="1"/>
  <c r="C85" i="9" s="1"/>
  <c r="C86" i="9" s="1"/>
  <c r="D72" i="9" s="1"/>
  <c r="D71" i="9"/>
  <c r="D66" i="9" s="1"/>
  <c r="N72" i="9" s="1"/>
  <c r="C103" i="9"/>
  <c r="C90" i="9"/>
  <c r="D70" i="9"/>
  <c r="C96" i="9"/>
  <c r="C91" i="9" s="1"/>
  <c r="C111" i="9"/>
  <c r="C104" i="9" s="1"/>
  <c r="D77" i="9"/>
  <c r="N75" i="9" s="1"/>
  <c r="L38" i="84"/>
  <c r="O38" i="84"/>
  <c r="C28" i="69"/>
  <c r="C26" i="69" s="1"/>
  <c r="C31" i="69" s="1"/>
  <c r="C30" i="69" s="1"/>
  <c r="C35" i="69"/>
  <c r="C33" i="69" s="1"/>
  <c r="L39" i="84"/>
  <c r="O39" i="84"/>
  <c r="E35" i="84"/>
  <c r="K35" i="84"/>
  <c r="C28" i="70"/>
  <c r="C26" i="70" s="1"/>
  <c r="C31" i="70" s="1"/>
  <c r="C30" i="70" s="1"/>
  <c r="C35" i="70"/>
  <c r="C33" i="70" s="1"/>
  <c r="E14" i="66"/>
  <c r="B5" i="66"/>
  <c r="F14" i="66"/>
  <c r="C36" i="69" l="1"/>
  <c r="B2" i="69" s="1"/>
  <c r="L35" i="84"/>
  <c r="O35" i="84"/>
  <c r="C113" i="9"/>
  <c r="C5" i="66"/>
  <c r="D5" i="66"/>
  <c r="C36" i="70"/>
  <c r="B2" i="70" s="1"/>
  <c r="C97" i="9"/>
  <c r="B4" i="69"/>
  <c r="D19" i="83"/>
  <c r="D19" i="82"/>
  <c r="B3" i="69"/>
  <c r="B5" i="69"/>
  <c r="L44" i="82" l="1"/>
  <c r="D22" i="82"/>
  <c r="G19" i="82"/>
  <c r="G22" i="82" s="1"/>
  <c r="L44" i="83"/>
  <c r="G19" i="83"/>
  <c r="D22" i="83"/>
  <c r="C98" i="9"/>
  <c r="E98" i="9" s="1"/>
  <c r="E99" i="9" s="1"/>
  <c r="C114" i="9"/>
  <c r="E114" i="9" s="1"/>
  <c r="E115" i="9" s="1"/>
  <c r="D20" i="82"/>
  <c r="B3" i="70"/>
  <c r="D21" i="82"/>
  <c r="B5" i="70"/>
  <c r="B4" i="70"/>
  <c r="G21" i="82" l="1"/>
  <c r="G20" i="82"/>
  <c r="C5" i="84"/>
  <c r="E4" i="84" s="1"/>
  <c r="D22" i="84" s="1"/>
  <c r="N43" i="82"/>
  <c r="C32" i="82"/>
  <c r="C42" i="82" s="1"/>
  <c r="C115" i="9"/>
  <c r="D76" i="9" s="1"/>
  <c r="D74" i="9" s="1"/>
  <c r="N74" i="9" s="1"/>
  <c r="O77" i="9" s="1"/>
  <c r="O79" i="9" s="1"/>
  <c r="O43" i="82"/>
  <c r="C99" i="9"/>
  <c r="N43" i="83"/>
  <c r="C32" i="83"/>
  <c r="G22" i="83"/>
  <c r="D21" i="83"/>
  <c r="D20" i="83"/>
  <c r="O38" i="82" l="1"/>
  <c r="F4" i="84"/>
  <c r="C35" i="82"/>
  <c r="F42" i="82" s="1"/>
  <c r="C34" i="82"/>
  <c r="E42" i="82" s="1"/>
  <c r="C33" i="82"/>
  <c r="D42" i="82" s="1"/>
  <c r="G20" i="83"/>
  <c r="C7" i="84"/>
  <c r="E6" i="84" s="1"/>
  <c r="F6" i="84" s="1"/>
  <c r="G21" i="83"/>
  <c r="Q77" i="9"/>
  <c r="O78" i="9"/>
  <c r="D23" i="84"/>
  <c r="D36" i="84"/>
  <c r="F22" i="84"/>
  <c r="E22" i="84"/>
  <c r="N38" i="82"/>
  <c r="K28" i="82" s="1"/>
  <c r="N68" i="82"/>
  <c r="D63" i="82"/>
  <c r="C35" i="83"/>
  <c r="F42" i="83" s="1"/>
  <c r="O43" i="83"/>
  <c r="O38" i="83"/>
  <c r="C33" i="83"/>
  <c r="C42" i="83"/>
  <c r="C34" i="83"/>
  <c r="K26" i="82"/>
  <c r="K25" i="82"/>
  <c r="O80" i="9"/>
  <c r="O81" i="9"/>
  <c r="M38" i="82" l="1"/>
  <c r="K27" i="82" s="1"/>
  <c r="N68" i="83"/>
  <c r="D63" i="83"/>
  <c r="K25" i="83"/>
  <c r="K26" i="83"/>
  <c r="M38" i="83"/>
  <c r="K27" i="83" s="1"/>
  <c r="E42" i="83"/>
  <c r="N38" i="83"/>
  <c r="K28" i="83" s="1"/>
  <c r="D42" i="83"/>
  <c r="C111" i="82"/>
  <c r="C104" i="82" s="1"/>
  <c r="C103" i="82"/>
  <c r="C82" i="82"/>
  <c r="C81" i="82" s="1"/>
  <c r="C85" i="82" s="1"/>
  <c r="C86" i="82" s="1"/>
  <c r="D72" i="82" s="1"/>
  <c r="D70" i="82"/>
  <c r="C90" i="82"/>
  <c r="C96" i="82"/>
  <c r="C91" i="82" s="1"/>
  <c r="D77" i="82"/>
  <c r="N75" i="82" s="1"/>
  <c r="D71" i="82"/>
  <c r="D66" i="82" s="1"/>
  <c r="N72" i="82" s="1"/>
  <c r="K36" i="84"/>
  <c r="E36" i="84"/>
  <c r="F23" i="84"/>
  <c r="E23" i="84"/>
  <c r="E26" i="84" s="1"/>
  <c r="D37" i="84"/>
  <c r="C113" i="82" l="1"/>
  <c r="C114" i="82" s="1"/>
  <c r="E114" i="82" s="1"/>
  <c r="E115" i="82" s="1"/>
  <c r="E37" i="84"/>
  <c r="K37" i="84"/>
  <c r="O36" i="84"/>
  <c r="L36" i="84"/>
  <c r="D77" i="83"/>
  <c r="N75" i="83" s="1"/>
  <c r="C103" i="83"/>
  <c r="C82" i="83"/>
  <c r="C81" i="83" s="1"/>
  <c r="C85" i="83" s="1"/>
  <c r="C86" i="83" s="1"/>
  <c r="D72" i="83" s="1"/>
  <c r="C90" i="83"/>
  <c r="C96" i="83"/>
  <c r="C91" i="83" s="1"/>
  <c r="C111" i="83"/>
  <c r="C104" i="83" s="1"/>
  <c r="D70" i="83"/>
  <c r="D71" i="83"/>
  <c r="D66" i="83" s="1"/>
  <c r="N72" i="83" s="1"/>
  <c r="E40" i="84"/>
  <c r="C97" i="82"/>
  <c r="L37" i="84" l="1"/>
  <c r="O37" i="84"/>
  <c r="O40" i="84" s="1"/>
  <c r="C98" i="82"/>
  <c r="E98" i="82" s="1"/>
  <c r="E99" i="82" s="1"/>
  <c r="C97" i="83"/>
  <c r="C113" i="83"/>
  <c r="C115" i="82"/>
  <c r="D76" i="82" s="1"/>
  <c r="D74" i="82" s="1"/>
  <c r="N74" i="82" s="1"/>
  <c r="O77" i="82" s="1"/>
  <c r="C114" i="83" l="1"/>
  <c r="E114" i="83" s="1"/>
  <c r="E115" i="83" s="1"/>
  <c r="O78" i="82"/>
  <c r="O79" i="82"/>
  <c r="Q77" i="82"/>
  <c r="C98" i="83"/>
  <c r="E98" i="83" s="1"/>
  <c r="E99" i="83" s="1"/>
  <c r="C99" i="82"/>
  <c r="C115" i="83" l="1"/>
  <c r="D76" i="83" s="1"/>
  <c r="D74" i="83" s="1"/>
  <c r="N74" i="83" s="1"/>
  <c r="O77" i="83" s="1"/>
  <c r="Q77" i="83" s="1"/>
  <c r="C99" i="83"/>
  <c r="O80" i="82"/>
  <c r="O81" i="82"/>
  <c r="O78" i="83" l="1"/>
  <c r="O79" i="83"/>
  <c r="O80" i="83" s="1"/>
  <c r="O81" i="83"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C10"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<sst xmlns="http://schemas.openxmlformats.org/spreadsheetml/2006/main" count="10518" uniqueCount="3255">
  <si>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</si>
  <si>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</si>
  <si>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</si>
  <si>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</si>
  <si>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</si>
  <si>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</si>
  <si>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</si>
  <si>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</si>
  <si>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</si>
  <si>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</si>
  <si>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</si>
  <si>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</si>
  <si>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</si>
  <si>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</si>
  <si>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</si>
  <si>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</si>
  <si>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</si>
  <si>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</si>
  <si>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</si>
  <si>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</si>
  <si>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</si>
  <si>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</si>
  <si>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</si>
  <si>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</si>
  <si>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</si>
  <si>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</si>
  <si>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</si>
  <si>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</si>
  <si>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</si>
  <si>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</si>
  <si>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</si>
  <si>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</si>
  <si>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</si>
  <si>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</si>
  <si>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</si>
  <si>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</si>
  <si>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</si>
  <si>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</si>
  <si>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</si>
  <si>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</si>
  <si>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</si>
  <si>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</si>
  <si>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</si>
  <si>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</si>
  <si>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</si>
  <si>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</si>
  <si>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</si>
  <si>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</si>
  <si>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</si>
  <si>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</si>
  <si>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</si>
  <si>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</si>
  <si>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</si>
  <si>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</si>
  <si>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</si>
  <si>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</si>
  <si>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</si>
  <si>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</si>
  <si>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</si>
  <si>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</si>
  <si>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</si>
  <si>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</si>
  <si>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</si>
  <si>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</si>
  <si>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</si>
  <si>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</si>
  <si>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</si>
  <si>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</si>
  <si>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</si>
  <si>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</si>
  <si>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</si>
  <si>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</si>
  <si>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</si>
  <si>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</si>
  <si>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</si>
  <si>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</si>
  <si>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</si>
  <si>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</si>
  <si>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</si>
  <si>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</si>
  <si>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</si>
  <si>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</si>
  <si>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</si>
  <si>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</si>
  <si>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</si>
  <si>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</si>
  <si>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</si>
  <si>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</si>
  <si>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</si>
  <si>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</si>
  <si>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</si>
  <si>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</si>
  <si>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</si>
  <si>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</si>
  <si>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</si>
  <si>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</si>
  <si>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</si>
  <si>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</si>
  <si>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</si>
  <si>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</si>
  <si>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</si>
  <si>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</si>
  <si>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</si>
  <si>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</si>
  <si>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</si>
  <si>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</si>
  <si>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</si>
  <si>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</si>
  <si>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</si>
  <si>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</si>
  <si>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</si>
  <si>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</si>
  <si>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</si>
  <si>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</si>
  <si>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</si>
  <si>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</si>
  <si>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</si>
  <si>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</si>
  <si>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</si>
  <si>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</si>
  <si>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</si>
  <si>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</si>
  <si>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</si>
  <si>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</si>
  <si>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</si>
  <si>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</si>
  <si>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</si>
  <si>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</si>
  <si>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</si>
  <si>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</si>
  <si>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</si>
  <si>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</si>
  <si>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</si>
  <si>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</si>
  <si>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</si>
  <si>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</si>
  <si>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</si>
  <si>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</si>
  <si>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</si>
  <si>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</si>
  <si>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</si>
  <si>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</si>
  <si>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</si>
  <si>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</si>
  <si>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</si>
  <si>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</si>
  <si>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</si>
  <si>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</si>
  <si>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</si>
  <si>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</si>
  <si>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</si>
  <si>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</si>
  <si>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</si>
  <si>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</si>
  <si>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</si>
  <si>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</si>
  <si>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</si>
  <si>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</si>
  <si>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</si>
  <si>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</si>
  <si>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</si>
  <si>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</si>
  <si>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</si>
  <si>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</si>
  <si>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</si>
  <si>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</si>
  <si>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</si>
  <si>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</si>
  <si>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</si>
  <si>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</si>
  <si>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</si>
  <si>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</si>
  <si>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</si>
  <si>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</si>
  <si>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</si>
  <si>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</si>
  <si>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</si>
  <si>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</si>
  <si>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</si>
  <si>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</si>
  <si>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</si>
  <si>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</si>
  <si>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</si>
  <si>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</si>
  <si>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</si>
  <si>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</si>
  <si>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</si>
  <si>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</si>
  <si>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</si>
  <si>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</si>
  <si>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</si>
  <si>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</si>
  <si>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</si>
  <si>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</si>
  <si>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</si>
  <si>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</si>
  <si>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</si>
  <si>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</si>
  <si>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</si>
  <si>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</si>
  <si>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</si>
  <si>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</si>
  <si>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</si>
  <si>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</si>
  <si>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</si>
  <si>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</si>
  <si>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</si>
  <si>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</si>
  <si>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</si>
  <si>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</si>
  <si>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</si>
  <si>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</si>
  <si>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</si>
  <si>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</si>
  <si>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</si>
  <si>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</si>
  <si>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</si>
  <si>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</si>
  <si>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</si>
  <si>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</si>
  <si>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</si>
  <si>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</si>
  <si>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</si>
  <si>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</si>
  <si>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</si>
  <si>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</si>
  <si>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</si>
  <si>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</si>
  <si>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</si>
  <si>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</si>
  <si>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</si>
  <si>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</si>
  <si>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</si>
  <si>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</si>
  <si>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</si>
  <si>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</si>
  <si>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</si>
  <si>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</si>
  <si>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</si>
  <si>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</si>
  <si>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</si>
  <si>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</si>
  <si>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</si>
  <si>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</si>
  <si>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</si>
  <si>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</si>
  <si>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</si>
  <si>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</si>
  <si>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</si>
  <si>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</si>
  <si>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</si>
  <si>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</si>
  <si>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</si>
  <si>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</si>
  <si>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</si>
  <si>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</si>
  <si>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</si>
  <si>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</si>
  <si>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</si>
  <si>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</si>
  <si>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</si>
  <si>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</si>
  <si>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</si>
  <si>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</si>
  <si>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</si>
  <si>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</si>
  <si>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</si>
  <si>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</si>
  <si>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</si>
  <si>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</si>
  <si>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</si>
  <si>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</si>
  <si>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</si>
  <si>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</si>
  <si>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</si>
  <si>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</si>
  <si>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</si>
  <si>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</si>
  <si>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</si>
  <si>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</si>
  <si>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</si>
  <si>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</si>
  <si>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</si>
  <si>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</si>
  <si>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</si>
  <si>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</si>
  <si>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</si>
  <si>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</si>
  <si>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</si>
  <si>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</si>
  <si>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</si>
  <si>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</si>
  <si>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</si>
  <si>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</si>
  <si>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</si>
  <si>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</si>
  <si>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</si>
  <si>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</si>
  <si>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</si>
  <si>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</si>
  <si>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</si>
  <si>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</si>
  <si>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</si>
  <si>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</si>
  <si>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</si>
  <si>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</si>
  <si>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</si>
  <si>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</si>
  <si>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</si>
  <si>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</si>
  <si>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</si>
  <si>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</si>
  <si>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</si>
  <si>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</si>
  <si>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</si>
  <si>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</si>
  <si>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</si>
  <si>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</si>
  <si>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</si>
  <si>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</si>
  <si>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</si>
  <si>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</si>
  <si>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</si>
  <si>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</si>
  <si>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</si>
  <si>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</si>
  <si>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</si>
  <si>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</si>
  <si>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</si>
  <si>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</si>
  <si>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</si>
  <si>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</si>
  <si>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</si>
  <si>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</si>
  <si>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</si>
  <si>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</si>
  <si>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</si>
  <si>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</si>
  <si>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</si>
  <si>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</si>
  <si>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</si>
  <si>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</si>
  <si>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</si>
  <si>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</si>
  <si>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</si>
  <si>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</si>
  <si>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</si>
  <si>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</si>
  <si>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</si>
  <si>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</si>
  <si>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</si>
  <si>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</si>
  <si>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</si>
  <si>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</si>
  <si>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</si>
  <si>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</si>
  <si>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</si>
  <si>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</si>
  <si>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</si>
  <si>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</si>
  <si>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</si>
  <si>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</si>
  <si>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</si>
  <si>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</si>
  <si>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</si>
  <si>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</si>
  <si>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</si>
  <si>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</si>
  <si>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</si>
  <si>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</si>
  <si>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</si>
  <si>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</si>
  <si>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</si>
  <si>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</si>
  <si>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</si>
  <si>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</si>
  <si>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</si>
  <si>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</si>
  <si>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</si>
  <si>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</si>
  <si>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</si>
  <si>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</si>
  <si>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</si>
  <si>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</si>
  <si>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</si>
  <si>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</si>
  <si>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</si>
  <si>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</si>
  <si>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</si>
  <si>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</si>
  <si>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</si>
  <si>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</si>
  <si>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</si>
  <si>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</si>
  <si>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</si>
  <si>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</si>
  <si>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</si>
  <si>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</si>
  <si>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</si>
  <si>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</si>
  <si>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</si>
  <si>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</si>
  <si>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</si>
  <si>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</si>
  <si>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</si>
  <si>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</si>
  <si>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</si>
  <si>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</si>
  <si>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</si>
  <si>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</si>
  <si>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</si>
  <si>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</si>
  <si>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</si>
  <si>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</si>
  <si>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</si>
  <si>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</si>
  <si>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</si>
  <si>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</si>
  <si>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</si>
  <si>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</si>
  <si>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</si>
  <si>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</si>
  <si>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</si>
  <si>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</si>
  <si>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</si>
  <si>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</si>
  <si>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</si>
  <si>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</si>
  <si>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</si>
  <si>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</si>
  <si>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</si>
  <si>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</si>
  <si>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</si>
  <si>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</si>
  <si>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</si>
  <si>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</si>
  <si>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</si>
  <si>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</si>
  <si>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</si>
  <si>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</si>
  <si>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</si>
  <si>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</si>
  <si>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</si>
  <si>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</si>
  <si>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</si>
  <si>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</si>
  <si>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</si>
  <si>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</si>
  <si>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</si>
  <si>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</si>
  <si>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</si>
  <si>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</si>
  <si>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</si>
  <si>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</si>
  <si>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</si>
  <si>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</si>
  <si>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</si>
  <si>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</si>
  <si>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</si>
  <si>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</si>
  <si>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</si>
  <si>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</si>
  <si>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</si>
  <si>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</si>
  <si>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</si>
  <si>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</si>
  <si>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</si>
  <si>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</si>
  <si>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</si>
  <si>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</si>
  <si>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</si>
  <si>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</si>
  <si>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</si>
  <si>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</si>
  <si>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</si>
  <si>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</si>
  <si>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</si>
  <si>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</si>
  <si>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</si>
  <si>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</si>
  <si>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</si>
  <si>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</si>
  <si>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</si>
  <si>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</si>
  <si>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</si>
  <si>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</si>
  <si>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</si>
  <si>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</si>
  <si>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</si>
  <si>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</si>
  <si>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</si>
  <si>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</si>
  <si>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</si>
  <si>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</si>
  <si>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</si>
  <si>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</si>
  <si>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</si>
  <si>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</si>
  <si>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</si>
  <si>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</si>
  <si>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</si>
  <si>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</si>
  <si>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</si>
  <si>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</si>
  <si>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</si>
  <si>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</si>
  <si>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</si>
  <si>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</si>
  <si>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</si>
  <si>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</si>
  <si>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</si>
  <si>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</si>
  <si>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</si>
  <si>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</si>
  <si>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</si>
  <si>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</si>
  <si>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</si>
  <si>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</si>
  <si>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</si>
  <si>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</si>
  <si>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</si>
  <si>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</si>
  <si>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</si>
  <si>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</si>
  <si>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</si>
  <si>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</si>
  <si>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</si>
  <si>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</si>
  <si>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</si>
  <si>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</si>
  <si>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</si>
  <si>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</si>
  <si>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</si>
  <si>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</si>
  <si>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</si>
  <si>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</si>
  <si>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</si>
  <si>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</si>
  <si>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</si>
  <si>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</si>
  <si>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</si>
  <si>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</si>
  <si>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</si>
  <si>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</si>
  <si>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</si>
  <si>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</si>
  <si>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</si>
  <si>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</si>
  <si>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</si>
  <si>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</si>
  <si>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</si>
  <si>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</si>
  <si>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</si>
  <si>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</si>
  <si>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</si>
  <si>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</si>
  <si>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</si>
  <si>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</si>
  <si>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</si>
  <si>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</si>
  <si>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</si>
  <si>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</si>
  <si>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</si>
  <si>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</si>
  <si>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</si>
  <si>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</si>
  <si>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</si>
  <si>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</si>
  <si>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</si>
  <si>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</si>
  <si>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</si>
  <si>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</si>
  <si>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</si>
  <si>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</si>
  <si>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</si>
  <si>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</si>
  <si>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</si>
  <si>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</si>
  <si>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</si>
  <si>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</si>
  <si>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</si>
  <si>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</si>
  <si>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</si>
  <si>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</si>
  <si>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</si>
  <si>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</si>
  <si>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</si>
  <si>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</si>
  <si>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</si>
  <si>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</si>
  <si>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</si>
  <si>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</si>
  <si>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</si>
  <si>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</si>
  <si>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</si>
  <si>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</si>
  <si>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</si>
  <si>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</si>
  <si>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</si>
  <si>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</si>
  <si>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</si>
  <si>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</si>
  <si>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</si>
  <si>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</si>
  <si>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</si>
  <si>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</si>
  <si>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</si>
  <si>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</si>
  <si>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</si>
  <si>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</si>
  <si>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</si>
  <si>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</si>
  <si>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</si>
  <si>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</si>
  <si>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</si>
  <si>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</si>
  <si>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</si>
  <si>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</si>
  <si>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</si>
  <si>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</si>
  <si>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</si>
  <si>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</si>
  <si>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</si>
  <si>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</si>
  <si>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</si>
  <si>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</si>
  <si>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</si>
  <si>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</si>
  <si>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</si>
  <si>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</si>
  <si>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</si>
  <si>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</si>
  <si>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</si>
  <si>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</si>
  <si>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</si>
  <si>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</si>
  <si>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</si>
  <si>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</si>
  <si>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</si>
  <si>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</si>
  <si>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</si>
  <si>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</si>
  <si>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</si>
  <si>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</si>
  <si>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</si>
  <si>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</si>
  <si>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</si>
  <si>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</si>
  <si>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</si>
  <si>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</si>
  <si>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</si>
  <si>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</si>
  <si>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</si>
  <si>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</si>
  <si>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</si>
  <si>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</si>
  <si>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</si>
  <si>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</si>
  <si>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</si>
  <si>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</si>
  <si>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</si>
  <si>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</si>
  <si>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</si>
  <si>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</si>
  <si>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</si>
  <si>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</si>
  <si>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</si>
  <si>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</si>
  <si>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</si>
  <si>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</si>
  <si>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</si>
  <si>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</si>
  <si>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</si>
  <si>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</si>
  <si>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</si>
  <si>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</si>
  <si>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</si>
  <si>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</si>
  <si>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</si>
  <si>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</si>
  <si>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</si>
  <si>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</si>
  <si>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</si>
  <si>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</si>
  <si>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</si>
  <si>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</si>
  <si>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</si>
  <si>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</si>
  <si>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</si>
  <si>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</si>
  <si>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</si>
  <si>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</si>
  <si>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</si>
  <si>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</si>
  <si>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</si>
  <si>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</si>
  <si>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</si>
  <si>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</si>
  <si>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</si>
  <si>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</si>
  <si>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</si>
  <si>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</si>
  <si>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</si>
  <si>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</si>
  <si>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</si>
  <si>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</si>
  <si>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</si>
  <si>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</si>
  <si>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</si>
  <si>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</si>
  <si>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</si>
  <si>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</si>
  <si>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</si>
  <si>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</si>
  <si>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</si>
  <si>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</si>
  <si>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</si>
  <si>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</si>
  <si>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</si>
  <si>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</si>
  <si>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</si>
  <si>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</si>
  <si>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</si>
  <si>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</si>
  <si>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</si>
  <si>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</si>
  <si>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</si>
  <si>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</si>
  <si>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</si>
  <si>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</si>
  <si>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</si>
  <si>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</si>
  <si>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</si>
  <si>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</si>
  <si>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</si>
  <si>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</si>
  <si>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</si>
  <si>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</si>
  <si>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</si>
  <si>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</si>
  <si>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</si>
  <si>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</si>
  <si>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</si>
  <si>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</si>
  <si>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</si>
  <si>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</si>
  <si>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</si>
  <si>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</si>
  <si>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</si>
  <si>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</si>
  <si>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</si>
  <si>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</si>
  <si>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</si>
  <si>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</si>
  <si>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</si>
  <si>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</si>
  <si>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</si>
  <si>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</si>
  <si>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</si>
  <si>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</si>
  <si>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</si>
  <si>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</si>
  <si>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</si>
  <si>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</si>
  <si>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</si>
  <si>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</si>
  <si>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</si>
  <si>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</si>
  <si>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</si>
  <si>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</si>
  <si>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</si>
  <si>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</si>
  <si>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</si>
  <si>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</si>
  <si>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</si>
  <si>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</si>
  <si>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</si>
  <si>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</si>
  <si>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</si>
  <si>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</si>
  <si>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</si>
  <si>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</si>
  <si>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</si>
  <si>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</si>
  <si>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</si>
  <si>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</si>
  <si>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</si>
  <si>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</si>
  <si>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</si>
  <si>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</si>
  <si>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</si>
  <si>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</si>
  <si>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</si>
  <si>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</si>
  <si>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</si>
  <si>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</si>
  <si>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</si>
  <si>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</si>
  <si>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</si>
  <si>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</si>
  <si>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</si>
  <si>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</si>
  <si>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</si>
  <si>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</si>
  <si>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</si>
  <si>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</si>
  <si>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</si>
  <si>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</si>
  <si>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</si>
  <si>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</si>
  <si>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</si>
  <si>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</si>
  <si>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</si>
  <si>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</si>
  <si>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</si>
  <si>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</si>
  <si>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</si>
  <si>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</si>
  <si>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</si>
  <si>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</si>
  <si>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</si>
  <si>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</si>
  <si>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</si>
  <si>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</si>
  <si>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</si>
  <si>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</si>
  <si>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</si>
  <si>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</si>
  <si>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</si>
  <si>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</si>
  <si>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</si>
  <si>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</si>
  <si>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</si>
  <si>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</si>
  <si>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</si>
  <si>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</si>
  <si>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</si>
  <si>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</si>
  <si>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</si>
  <si>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</si>
  <si>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</si>
  <si>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</si>
  <si>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</si>
  <si>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</si>
  <si>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</si>
  <si>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</si>
  <si>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</si>
  <si>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</si>
  <si>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</si>
  <si>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</si>
  <si>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</si>
  <si>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</si>
  <si>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</si>
  <si>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</si>
  <si>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</si>
  <si>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</si>
  <si>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</si>
  <si>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</si>
  <si>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</si>
  <si>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</si>
  <si>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</si>
  <si>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</si>
  <si>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</si>
  <si>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</si>
  <si>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</si>
  <si>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</si>
  <si>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</si>
  <si>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</si>
  <si>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</si>
  <si>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</si>
  <si>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</si>
  <si>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</si>
  <si>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</si>
  <si>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</si>
  <si>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</si>
  <si>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</si>
  <si>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</si>
  <si>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</si>
  <si>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</si>
  <si>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</si>
  <si>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</si>
  <si>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</si>
  <si>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</si>
  <si>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</si>
  <si>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</si>
  <si>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</si>
  <si>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</si>
  <si>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</si>
  <si>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</si>
  <si>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</si>
  <si>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</si>
  <si>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</si>
  <si>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</si>
  <si>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</si>
  <si>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</si>
  <si>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</si>
  <si>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</si>
  <si>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</si>
  <si>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</si>
  <si>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</si>
  <si>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</si>
  <si>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</si>
  <si>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</si>
  <si>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</si>
  <si>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</si>
  <si>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</si>
  <si>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</si>
  <si>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</si>
  <si>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</si>
  <si>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</si>
  <si>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</si>
  <si>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</si>
  <si>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</si>
  <si>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</si>
  <si>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</si>
  <si>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</si>
  <si>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</si>
  <si>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</si>
  <si>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</si>
  <si>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</si>
  <si>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</si>
  <si>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</si>
  <si>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</si>
  <si>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</si>
  <si>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</si>
  <si>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</si>
  <si>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</si>
  <si>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</si>
  <si>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</si>
  <si>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</si>
  <si>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</si>
  <si>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</si>
  <si>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</si>
  <si>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</si>
  <si>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</si>
  <si>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</si>
  <si>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</si>
  <si>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</si>
  <si>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</si>
  <si>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</si>
  <si>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</si>
  <si>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</si>
  <si>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</si>
  <si>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</si>
  <si>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</si>
  <si>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</si>
  <si>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</si>
  <si>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</si>
  <si>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</si>
  <si>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</si>
  <si>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</si>
  <si>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</si>
  <si>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</si>
  <si>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</si>
  <si>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</si>
  <si>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</si>
  <si>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</si>
  <si>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</si>
  <si>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</si>
  <si>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</si>
  <si>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</si>
  <si>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</si>
  <si>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</si>
  <si>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</si>
  <si>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</si>
  <si>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</si>
  <si>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</si>
  <si>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</si>
  <si>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</si>
  <si>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</si>
  <si>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</si>
  <si>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</si>
  <si>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</si>
  <si>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</si>
  <si>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</si>
  <si>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</si>
  <si>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</si>
  <si>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</si>
  <si>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</si>
  <si>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</si>
  <si>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</si>
  <si>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</si>
  <si>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</si>
  <si>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</si>
  <si>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</si>
  <si>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</si>
  <si>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</si>
  <si>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</si>
  <si>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</si>
  <si>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</si>
  <si>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</si>
  <si>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</si>
  <si>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</si>
  <si>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</si>
  <si>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</si>
  <si>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</si>
  <si>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</si>
  <si>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</si>
  <si>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</si>
  <si>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</si>
  <si>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</si>
  <si>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</si>
  <si>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</si>
  <si>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</si>
  <si>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</si>
  <si>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</si>
  <si>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</si>
  <si>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</si>
  <si>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</si>
  <si>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</si>
  <si>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</si>
  <si>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</si>
  <si>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</si>
  <si>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</si>
  <si>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</si>
  <si>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</si>
  <si>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</si>
  <si>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</si>
  <si>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</si>
  <si>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</si>
  <si>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</si>
  <si>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</si>
  <si>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</si>
  <si>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</si>
  <si>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</si>
  <si>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</si>
  <si>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</si>
  <si>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</si>
  <si>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</si>
  <si>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</si>
  <si>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</si>
  <si>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</si>
  <si>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</si>
  <si>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</si>
  <si>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</si>
  <si>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</si>
  <si>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</si>
  <si>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</si>
  <si>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</si>
  <si>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</si>
  <si>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</si>
  <si>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</si>
  <si>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</si>
  <si>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</si>
  <si>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</si>
  <si>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</si>
  <si>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</si>
  <si>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</si>
  <si>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</si>
  <si>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</si>
  <si>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</si>
  <si>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</si>
  <si>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</si>
  <si>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</si>
  <si>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</si>
  <si>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</si>
  <si>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</si>
  <si>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</si>
  <si>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</si>
  <si>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</si>
  <si>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</si>
  <si>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</si>
  <si>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</si>
  <si>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</si>
  <si>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</si>
  <si>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</si>
  <si>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</si>
  <si>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</si>
  <si>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</si>
  <si>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</si>
  <si>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</si>
  <si>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</si>
  <si>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</si>
  <si>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</si>
  <si>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</si>
  <si>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</si>
  <si>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</si>
  <si>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</si>
  <si>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</si>
  <si>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</si>
  <si>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</si>
  <si>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</si>
  <si>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</si>
  <si>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</si>
  <si>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</si>
  <si>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</si>
  <si>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</si>
  <si>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</si>
  <si>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</si>
  <si>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</si>
  <si>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</si>
  <si>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</si>
  <si>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</si>
  <si>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</si>
  <si>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</si>
  <si>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</si>
  <si>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</si>
  <si>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</si>
  <si>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</si>
  <si>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</si>
  <si>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</si>
  <si>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</si>
  <si>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</si>
  <si>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</si>
  <si>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</si>
  <si>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</si>
  <si>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</si>
  <si>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</si>
  <si>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</si>
  <si>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</si>
  <si>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</si>
  <si>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</si>
  <si>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</si>
  <si>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</si>
  <si>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</si>
  <si>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</si>
  <si>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</si>
  <si>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</si>
  <si>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</si>
  <si>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</si>
  <si>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</si>
  <si>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</si>
  <si>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</si>
  <si>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</si>
  <si>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</si>
  <si>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</si>
  <si>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</si>
  <si>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</si>
  <si>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</si>
  <si>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</si>
  <si>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</si>
  <si>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</si>
  <si>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</si>
  <si>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</si>
  <si>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</si>
  <si>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</si>
  <si>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</si>
  <si>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</si>
  <si>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</si>
  <si>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</si>
  <si>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</si>
  <si>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</si>
  <si>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</si>
  <si>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</si>
  <si>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</si>
  <si>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</si>
  <si>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</si>
  <si>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</si>
  <si>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</si>
  <si>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</si>
  <si>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</si>
  <si>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</si>
  <si>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</si>
  <si>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</si>
  <si>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</si>
  <si>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</si>
  <si>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</si>
  <si>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</si>
  <si>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</si>
  <si>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</si>
  <si>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</si>
  <si>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</si>
  <si>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</si>
  <si>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</si>
  <si>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</si>
  <si>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</si>
  <si>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</si>
  <si>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</si>
  <si>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</si>
  <si>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</si>
  <si>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</si>
  <si>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</si>
  <si>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</si>
  <si>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</si>
  <si>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</si>
  <si>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</si>
  <si>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</si>
  <si>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</si>
  <si>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</si>
  <si>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</si>
  <si>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</si>
  <si>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</si>
  <si>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</si>
  <si>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</si>
  <si>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</si>
  <si>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</si>
  <si>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</si>
  <si>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</si>
  <si>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</si>
  <si>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</si>
  <si>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</si>
  <si>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</si>
  <si>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</si>
  <si>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</si>
  <si>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</si>
  <si>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</si>
  <si>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</si>
  <si>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</si>
  <si>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</si>
  <si>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</si>
  <si>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</si>
  <si>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</si>
  <si>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</si>
  <si>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</si>
  <si>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</si>
  <si>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</si>
  <si>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</si>
  <si>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</si>
  <si>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</si>
  <si>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</si>
  <si>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</si>
  <si>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</si>
  <si>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</si>
  <si>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</si>
  <si>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</si>
  <si>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</si>
  <si>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</si>
  <si>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</si>
  <si>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</si>
  <si>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</si>
  <si>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</si>
  <si>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</si>
  <si>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</si>
  <si>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</si>
  <si>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</si>
  <si>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</si>
  <si>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</si>
  <si>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</si>
  <si>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</si>
  <si>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</si>
  <si>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</si>
  <si>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</si>
  <si>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</si>
  <si>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</si>
  <si>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</si>
  <si>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</si>
  <si>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</si>
  <si>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</si>
  <si>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</si>
  <si>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</si>
  <si>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</si>
  <si>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</si>
  <si>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</si>
  <si>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</si>
  <si>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</si>
  <si>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</si>
  <si>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</si>
  <si>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</si>
  <si>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</si>
  <si>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</si>
  <si>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</si>
  <si>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</si>
  <si>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</si>
  <si>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</si>
  <si>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</si>
  <si>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</si>
  <si>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</si>
  <si>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</si>
  <si>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</si>
  <si>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</si>
  <si>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</si>
  <si>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</si>
  <si>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</si>
  <si>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</si>
  <si>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</si>
  <si>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</si>
  <si>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</si>
  <si>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</si>
  <si>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</si>
  <si>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</si>
  <si>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</si>
  <si>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</si>
  <si>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</si>
  <si>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</si>
  <si>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</si>
  <si>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</si>
  <si>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</si>
  <si>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</si>
  <si>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</si>
  <si>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</si>
  <si>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</si>
  <si>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</si>
  <si>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</si>
  <si>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</si>
  <si>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</si>
  <si>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</si>
  <si>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</si>
  <si>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</si>
  <si>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</si>
  <si>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</si>
  <si>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</si>
  <si>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</si>
  <si>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</si>
  <si>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</si>
  <si>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</si>
  <si>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</si>
  <si>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</si>
  <si>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</si>
  <si>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</si>
  <si>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</si>
  <si>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</si>
  <si>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</si>
  <si>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</si>
  <si>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</si>
  <si>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</si>
  <si>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</si>
  <si>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</si>
  <si>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</si>
  <si>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</si>
  <si>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</si>
  <si>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</si>
  <si>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</si>
  <si>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</si>
  <si>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</si>
  <si>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</si>
  <si>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</si>
  <si>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</si>
  <si>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</si>
  <si>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</si>
  <si>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</si>
  <si>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</si>
  <si>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</si>
  <si>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</si>
  <si>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</si>
  <si>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</si>
  <si>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</si>
  <si>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</si>
  <si>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</si>
  <si>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</si>
  <si>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</si>
  <si>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</si>
  <si>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</si>
  <si>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</si>
  <si>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</si>
  <si>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</si>
  <si>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</si>
  <si>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</si>
  <si>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</si>
  <si>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</si>
  <si>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</si>
  <si>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</si>
  <si>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</si>
  <si>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</si>
  <si>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</si>
  <si>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</si>
  <si>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</si>
  <si>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</si>
  <si>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</si>
  <si>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</si>
  <si>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</si>
  <si>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</si>
  <si>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</si>
  <si>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</si>
  <si>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</si>
  <si>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</si>
  <si>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</si>
  <si>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</si>
  <si>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</si>
  <si>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</si>
  <si>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</si>
  <si>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</si>
  <si>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</si>
  <si>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</si>
  <si>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</si>
  <si>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</si>
  <si>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</si>
  <si>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</si>
  <si>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</si>
  <si>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</si>
  <si>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</si>
  <si>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</si>
  <si>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</si>
  <si>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</si>
  <si>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</si>
  <si>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</si>
  <si>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</si>
  <si>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</si>
  <si>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</si>
  <si>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</si>
  <si>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</si>
  <si>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</si>
  <si>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</si>
  <si>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</si>
  <si>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</si>
  <si>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</si>
  <si>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</si>
  <si>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</si>
  <si>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</si>
  <si>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</si>
  <si>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</si>
  <si>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</si>
  <si>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</si>
  <si>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</si>
  <si>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</si>
  <si>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</si>
  <si>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</si>
  <si>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</si>
  <si>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</si>
  <si>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</si>
  <si>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</si>
  <si>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</si>
  <si>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</si>
  <si>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</si>
  <si>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</si>
  <si>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</si>
  <si>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</si>
  <si>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</si>
  <si>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</si>
  <si>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</si>
  <si>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</si>
  <si>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</si>
  <si>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</si>
  <si>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</si>
  <si>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</si>
  <si>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</si>
  <si>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</si>
  <si>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</si>
  <si>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</si>
  <si>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</si>
  <si>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</si>
  <si>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</si>
  <si>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</si>
  <si>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</si>
  <si>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</si>
  <si>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</si>
  <si>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</si>
  <si>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</si>
  <si>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</si>
  <si>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</si>
  <si>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</si>
  <si>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</si>
  <si>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</si>
  <si>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</si>
  <si>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</si>
  <si>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</si>
  <si>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</si>
  <si>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</si>
  <si>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</si>
  <si>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</si>
  <si>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</si>
  <si>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</si>
  <si>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</si>
  <si>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</si>
  <si>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</si>
  <si>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</si>
  <si>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</si>
  <si>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</si>
  <si>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</si>
  <si>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</si>
  <si>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</si>
  <si>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</si>
  <si>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</si>
  <si>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</si>
  <si>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</si>
  <si>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</si>
  <si>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</si>
  <si>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</si>
  <si>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</si>
  <si>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</si>
  <si>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</si>
  <si>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</si>
  <si>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</si>
  <si>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</si>
  <si>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</si>
  <si>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</si>
  <si>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</si>
  <si>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</si>
  <si>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</si>
  <si>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</si>
  <si>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</si>
  <si>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</si>
  <si>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</si>
  <si>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</si>
  <si>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</si>
  <si>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</si>
  <si>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</si>
  <si>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</si>
  <si>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</si>
  <si>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</si>
  <si>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</si>
  <si>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</si>
  <si>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</si>
  <si>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</si>
  <si>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</si>
  <si>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</si>
  <si>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</si>
  <si>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</si>
  <si>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</si>
  <si>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</si>
  <si>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</si>
  <si>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</si>
  <si>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</si>
  <si>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</si>
  <si>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</si>
  <si>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</si>
  <si>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</si>
  <si>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</si>
  <si>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</si>
  <si>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</si>
  <si>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</si>
  <si>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</si>
  <si>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</si>
  <si>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</si>
  <si>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</si>
  <si>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</si>
  <si>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</si>
  <si>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</si>
  <si>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</si>
  <si>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</si>
  <si>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</si>
  <si>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</si>
  <si>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</si>
  <si>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</si>
  <si>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</si>
  <si>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</si>
  <si>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</si>
  <si>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</si>
  <si>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</si>
  <si>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</si>
  <si>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</si>
  <si>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</si>
  <si>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</si>
  <si>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</si>
  <si>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</si>
  <si>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</si>
  <si>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</si>
  <si>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</si>
  <si>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</si>
  <si>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</si>
  <si>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</si>
  <si>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</si>
  <si>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</si>
  <si>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</si>
  <si>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</si>
  <si>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</si>
  <si>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</si>
  <si>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</si>
  <si>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</si>
  <si>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</si>
  <si>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</si>
  <si>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</si>
  <si>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</si>
  <si>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</si>
  <si>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</si>
  <si>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</si>
  <si>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</si>
  <si>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</si>
  <si>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</si>
  <si>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</si>
  <si>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</si>
  <si>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</si>
  <si>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</si>
  <si>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</si>
  <si>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</si>
  <si>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</si>
  <si>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</si>
  <si>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</si>
  <si>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</si>
  <si>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</si>
  <si>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</si>
  <si>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</si>
  <si>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</si>
  <si>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</si>
  <si>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</si>
  <si>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</si>
  <si>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</si>
  <si>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</si>
  <si>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</si>
  <si>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</si>
  <si>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</si>
  <si>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</si>
  <si>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</si>
  <si>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</si>
  <si>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</si>
  <si>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</si>
  <si>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</si>
  <si>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</si>
  <si>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</si>
  <si>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</si>
  <si>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</si>
  <si>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</si>
  <si>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</si>
  <si>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</si>
  <si>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</si>
  <si>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</si>
  <si>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</si>
  <si>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</si>
  <si>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</si>
  <si>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</si>
  <si>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</si>
  <si>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</si>
  <si>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</si>
  <si>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</si>
  <si>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</si>
  <si>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</si>
  <si>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</si>
  <si>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</si>
  <si>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</si>
  <si>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</si>
  <si>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</si>
  <si>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</si>
  <si>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</si>
  <si>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</si>
  <si>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</si>
  <si>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</si>
  <si>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</si>
  <si>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</si>
  <si>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</si>
  <si>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</si>
  <si>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</si>
  <si>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</si>
  <si>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</si>
  <si>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</si>
  <si>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</si>
  <si>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</si>
  <si>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</si>
  <si>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</si>
  <si>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</si>
  <si>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</si>
  <si>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</si>
  <si>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</si>
  <si>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</si>
  <si>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</si>
  <si>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</si>
  <si>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</si>
  <si>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</si>
  <si>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</si>
  <si>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</si>
  <si>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</si>
  <si>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</si>
  <si>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</si>
  <si>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</si>
  <si>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</si>
  <si>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</si>
  <si>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</si>
  <si>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</si>
  <si>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</si>
  <si>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</si>
  <si>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</si>
  <si>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</si>
  <si>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</si>
  <si>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</si>
  <si>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</si>
  <si>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</si>
  <si>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</si>
  <si>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</si>
  <si>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</si>
  <si>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</si>
  <si>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</si>
  <si>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</si>
  <si>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</si>
  <si>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</si>
  <si>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</si>
  <si>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</si>
  <si>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</si>
  <si>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</si>
  <si>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</si>
  <si>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</si>
  <si>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</si>
  <si>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</si>
  <si>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</si>
  <si>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</si>
  <si>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</si>
  <si>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</si>
  <si>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</si>
  <si>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</si>
  <si>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</si>
  <si>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</si>
  <si>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</si>
  <si>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</si>
  <si>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</si>
  <si>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</si>
  <si>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</si>
  <si>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</si>
  <si>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</si>
  <si>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</si>
  <si>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</si>
  <si>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</si>
  <si>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</si>
  <si>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</si>
  <si>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</si>
  <si>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</si>
  <si>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</si>
  <si>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</si>
  <si>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</si>
  <si>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</si>
  <si>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</si>
  <si>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</si>
  <si>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</si>
  <si>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</si>
  <si>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</si>
  <si>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</si>
  <si>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</si>
  <si>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</si>
  <si>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</si>
  <si>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</si>
  <si>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</si>
  <si>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</si>
  <si>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</si>
  <si>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</si>
  <si>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</si>
  <si>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</si>
  <si>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</si>
  <si>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</si>
  <si>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</si>
  <si>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</si>
  <si>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</si>
  <si>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</si>
  <si>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</si>
  <si>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</si>
  <si>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</si>
  <si>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</si>
  <si>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</si>
  <si>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</si>
  <si>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</si>
  <si>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</si>
  <si>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</si>
  <si>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</si>
  <si>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</si>
  <si>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</si>
  <si>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</si>
  <si>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</si>
  <si>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</si>
  <si>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</si>
  <si>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</si>
  <si>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</si>
  <si>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</si>
  <si>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</si>
  <si>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</si>
  <si>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</si>
  <si>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</si>
  <si>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</si>
  <si>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</si>
  <si>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</si>
  <si>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</si>
  <si>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</si>
  <si>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</si>
  <si>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</si>
  <si>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</si>
  <si>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</si>
  <si>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</si>
  <si>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</si>
  <si>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</si>
  <si>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</si>
  <si>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</si>
  <si>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</si>
  <si>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</si>
  <si>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</si>
  <si>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</si>
  <si>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</si>
  <si>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</si>
  <si>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</si>
  <si>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</si>
  <si>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</si>
  <si>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</si>
  <si>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</si>
  <si>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</si>
  <si>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</si>
  <si>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</si>
  <si>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</si>
  <si>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</si>
  <si>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</si>
  <si>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</si>
  <si>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</si>
  <si>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</si>
  <si>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</si>
  <si>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</si>
  <si>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</si>
  <si>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</si>
  <si>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</si>
  <si>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</si>
  <si>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</si>
  <si>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</si>
  <si>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</si>
  <si>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</si>
  <si>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</si>
  <si>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</si>
  <si>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</si>
  <si>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</si>
  <si>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</si>
  <si>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</si>
  <si>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</si>
  <si>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</si>
  <si>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</si>
  <si>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</si>
  <si>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</si>
  <si>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</si>
  <si>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</si>
  <si>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</si>
  <si>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</si>
  <si>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</si>
  <si>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</si>
  <si>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</si>
  <si>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</si>
  <si>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</si>
  <si>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</si>
  <si>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</si>
  <si>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</si>
  <si>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</si>
  <si>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</si>
  <si>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</si>
  <si>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</si>
  <si>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</si>
  <si>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</si>
  <si>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</si>
  <si>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</si>
  <si>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</si>
  <si>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</si>
  <si>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</si>
  <si>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</si>
  <si>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</si>
  <si>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</si>
  <si>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</si>
  <si>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</si>
  <si>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</si>
  <si>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</si>
  <si>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</si>
  <si>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</si>
  <si>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</si>
  <si>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</si>
  <si>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</si>
  <si>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</si>
  <si>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</si>
  <si>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</si>
  <si>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</si>
  <si>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</si>
  <si>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</si>
  <si>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</si>
  <si>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</si>
  <si>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</si>
  <si>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</si>
  <si>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</si>
  <si>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</si>
  <si>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</si>
  <si>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</si>
  <si>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</si>
  <si>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</si>
  <si>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</si>
  <si>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</si>
  <si>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</si>
  <si>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</si>
  <si>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</si>
  <si>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</si>
  <si>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</si>
  <si>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</si>
  <si>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</si>
  <si>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</si>
  <si>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</si>
  <si>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</si>
  <si>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</si>
  <si>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</si>
  <si>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</si>
  <si>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</si>
  <si>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</si>
  <si>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</si>
  <si>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</si>
  <si>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</si>
  <si>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</si>
  <si>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</si>
  <si>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</si>
  <si>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</si>
  <si>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</si>
  <si>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</si>
  <si>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</si>
  <si>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</si>
  <si>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</si>
  <si>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</si>
  <si>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</si>
  <si>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</si>
  <si>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</si>
  <si>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</si>
  <si>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</si>
  <si>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</si>
  <si>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</si>
  <si>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</si>
  <si>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</si>
  <si>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</si>
  <si>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</si>
  <si>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</si>
  <si>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</si>
  <si>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</si>
  <si>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</si>
  <si>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</si>
  <si>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</si>
  <si>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</si>
  <si>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</si>
  <si>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</si>
  <si>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</si>
  <si>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</si>
  <si>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</si>
  <si>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</si>
  <si>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</si>
  <si>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</si>
  <si>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</si>
  <si>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</si>
  <si>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</si>
  <si>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</si>
  <si>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</si>
  <si>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</si>
  <si>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</si>
  <si>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</si>
  <si>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</si>
  <si>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</si>
  <si>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</si>
  <si>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</si>
  <si>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</si>
  <si>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</si>
  <si>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</si>
  <si>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</si>
  <si>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</si>
  <si>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</si>
  <si>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</si>
  <si>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</si>
  <si>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</si>
  <si>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</si>
  <si>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</si>
  <si>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</si>
  <si>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</si>
  <si>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</si>
  <si>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</si>
  <si>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</si>
  <si>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</si>
  <si>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</si>
  <si>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</si>
  <si>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</si>
  <si>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</si>
  <si>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</si>
  <si>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</si>
  <si>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</si>
  <si>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</si>
  <si>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</si>
  <si>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</si>
  <si>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</si>
  <si>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</si>
  <si>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</si>
  <si>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</si>
  <si>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</si>
  <si>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</si>
  <si>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</si>
  <si>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</si>
  <si>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</si>
  <si>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</si>
  <si>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</si>
  <si>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</si>
  <si>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</si>
  <si>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</si>
  <si>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</si>
  <si>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</si>
  <si>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</si>
  <si>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</si>
  <si>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</si>
  <si>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</si>
  <si>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</si>
  <si>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</si>
  <si>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</si>
  <si>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</si>
  <si>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</si>
  <si>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</si>
  <si>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</si>
  <si>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</si>
  <si>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</si>
  <si>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</si>
  <si>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</si>
  <si>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</si>
  <si>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</si>
  <si>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</si>
  <si>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</si>
  <si>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</si>
  <si>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</si>
  <si>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</si>
  <si>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</si>
  <si>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</si>
  <si>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</si>
  <si>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</si>
  <si>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</si>
  <si>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</si>
  <si>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</si>
  <si>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</si>
  <si>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</si>
  <si>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</si>
  <si>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</si>
  <si>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</si>
  <si>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</si>
  <si>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</si>
  <si>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</si>
  <si>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</si>
  <si>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</si>
  <si>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</si>
  <si>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</si>
  <si>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</si>
  <si>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</si>
  <si>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</si>
  <si>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</si>
  <si>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</si>
  <si>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</si>
  <si>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</si>
  <si>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</si>
  <si>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</si>
  <si>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</si>
  <si>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</si>
  <si>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</si>
  <si>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</si>
  <si>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</si>
  <si>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</si>
  <si>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</si>
  <si>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</si>
  <si>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</si>
  <si>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</si>
  <si>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</si>
  <si>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</si>
  <si>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</si>
  <si>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</si>
  <si>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</si>
  <si>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</si>
  <si>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</si>
  <si>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</si>
  <si>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</si>
  <si>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</si>
  <si>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</si>
  <si>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</si>
  <si>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</si>
  <si>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</si>
  <si>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</si>
  <si>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</si>
  <si>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</si>
  <si>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</si>
  <si>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</si>
  <si>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</si>
  <si>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</si>
  <si>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</si>
  <si>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</si>
  <si>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</si>
  <si>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</si>
  <si>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</si>
  <si>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</si>
  <si>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</si>
  <si>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</si>
  <si>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</si>
  <si>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</si>
  <si>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</si>
  <si>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</si>
  <si>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</si>
  <si>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</si>
  <si>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</si>
  <si>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</si>
  <si>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</si>
  <si>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</si>
  <si>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</si>
  <si>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</si>
  <si>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</si>
  <si>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</si>
  <si>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</si>
  <si>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</si>
  <si>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</si>
  <si>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</si>
  <si>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</si>
  <si>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</si>
  <si>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</si>
  <si>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</si>
  <si>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</si>
  <si>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</si>
  <si>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</si>
  <si>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</si>
  <si>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</si>
  <si>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</si>
  <si>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</si>
  <si>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</si>
  <si>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</si>
  <si>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</si>
  <si>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</si>
  <si>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</si>
  <si>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</si>
  <si>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</si>
  <si>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</si>
  <si>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</si>
  <si>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</si>
  <si>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</si>
  <si>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</si>
  <si>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</si>
  <si>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</si>
  <si>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</si>
  <si>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</si>
  <si>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</si>
  <si>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</si>
  <si>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</si>
  <si>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</si>
  <si>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</si>
  <si>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</si>
  <si>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</si>
  <si>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</si>
  <si>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</si>
  <si>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</si>
  <si>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</si>
  <si>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</si>
  <si>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</si>
  <si>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</si>
  <si>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</si>
  <si>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</si>
  <si>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</si>
  <si>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</si>
  <si>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</si>
  <si>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</si>
  <si>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</si>
  <si>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</si>
  <si>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</si>
  <si>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</si>
  <si>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</si>
  <si>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</si>
  <si>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</si>
  <si>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</si>
  <si>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</si>
  <si>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</si>
  <si>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</si>
  <si>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</si>
  <si>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</si>
  <si>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</si>
  <si>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</si>
  <si>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</si>
  <si>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</si>
  <si>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</si>
  <si>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</si>
  <si>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</si>
  <si>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</si>
  <si>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</si>
  <si>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</si>
  <si>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</si>
  <si>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</si>
  <si>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</si>
  <si>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</si>
  <si>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</si>
  <si>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</si>
  <si>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</si>
  <si>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</si>
  <si>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</si>
  <si>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</si>
  <si>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</si>
  <si>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</si>
  <si>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</si>
  <si>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</si>
  <si>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</si>
  <si>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</si>
  <si>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</si>
  <si>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</si>
  <si>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</si>
  <si>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</si>
  <si>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</si>
  <si>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</si>
  <si>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</si>
  <si>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</si>
  <si>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</si>
  <si>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</si>
  <si>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</si>
  <si>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</si>
  <si>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</si>
  <si>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</si>
  <si>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</si>
  <si>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</si>
  <si>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</si>
  <si>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</si>
  <si>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</si>
  <si>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</si>
  <si>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</si>
  <si>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</si>
  <si>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</si>
  <si>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</si>
  <si>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</si>
  <si>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</si>
  <si>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</si>
  <si>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</si>
  <si>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</si>
  <si>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</si>
  <si>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</si>
  <si>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</si>
  <si>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</si>
  <si>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</si>
  <si>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</si>
  <si>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</si>
  <si>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</si>
  <si>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</si>
  <si>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</si>
  <si>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</si>
  <si>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</si>
  <si>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</si>
  <si>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</si>
  <si>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</si>
  <si>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</si>
  <si>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</si>
  <si>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</si>
  <si>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</si>
  <si>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</si>
  <si>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</si>
  <si>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</si>
  <si>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</si>
  <si>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</si>
  <si>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</si>
  <si>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</si>
  <si>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</si>
  <si>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</si>
  <si>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</si>
  <si>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</si>
  <si>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</si>
  <si>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</si>
  <si>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</si>
  <si>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</si>
  <si>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</si>
  <si>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</si>
  <si>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</si>
  <si>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</si>
  <si>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</si>
  <si>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</si>
  <si>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</si>
  <si>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</si>
  <si>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</si>
  <si>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</si>
  <si>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</si>
  <si>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</si>
  <si>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</si>
  <si>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</si>
  <si>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</si>
  <si>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</si>
  <si>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</si>
  <si>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</si>
  <si>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</si>
  <si>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</si>
  <si>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</si>
  <si>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</si>
  <si>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</si>
  <si>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</si>
  <si>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</si>
  <si>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</si>
  <si>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</si>
  <si>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</si>
  <si>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</si>
  <si>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</si>
  <si>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</si>
  <si>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</si>
  <si>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</si>
  <si>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</si>
  <si>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</si>
  <si>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</si>
  <si>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</si>
  <si>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</si>
  <si>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</si>
  <si>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</si>
  <si>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</si>
  <si>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</si>
  <si>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</si>
  <si>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</si>
  <si>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</si>
  <si>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</si>
  <si>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</si>
  <si>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</si>
  <si>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</si>
  <si>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</si>
  <si>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</si>
  <si>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</si>
  <si>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</si>
  <si>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</si>
  <si>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</si>
  <si>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</si>
  <si>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</si>
  <si>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</si>
  <si>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</si>
  <si>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</si>
  <si>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</si>
  <si>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</si>
  <si>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</si>
  <si>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</si>
  <si>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</si>
  <si>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</si>
  <si>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</si>
  <si>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</si>
  <si>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</si>
  <si>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</si>
  <si>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</si>
  <si>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</si>
  <si>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</si>
  <si>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</si>
  <si>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</si>
  <si>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</si>
  <si>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</si>
  <si>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</si>
  <si>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</si>
  <si>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</si>
  <si>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</si>
  <si>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</si>
  <si>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</si>
  <si>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</si>
  <si>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</si>
  <si>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</si>
  <si>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</si>
  <si>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</si>
  <si>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</si>
  <si>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</si>
  <si>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</si>
  <si>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</si>
  <si>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</si>
  <si>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</si>
  <si>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</si>
  <si>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</si>
  <si>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</si>
  <si>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</si>
  <si>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</si>
  <si>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</si>
  <si>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</si>
  <si>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</si>
  <si>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</si>
  <si>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</si>
  <si>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</si>
  <si>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</si>
  <si>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</si>
  <si>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</si>
  <si>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</si>
  <si>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</si>
  <si>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</si>
  <si>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</si>
  <si>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</si>
  <si>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</si>
  <si>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</si>
  <si>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</si>
  <si>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</si>
  <si>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</si>
  <si>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</si>
  <si>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</si>
  <si>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</si>
  <si>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</si>
  <si>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</si>
  <si>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</si>
  <si>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</si>
  <si>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</si>
  <si>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</si>
  <si>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</si>
  <si>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</si>
  <si>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</si>
  <si>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</si>
  <si>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</si>
  <si>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</si>
  <si>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</si>
  <si>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</si>
  <si>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</si>
  <si>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</si>
  <si>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</si>
  <si>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</si>
  <si>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</si>
  <si>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</si>
  <si>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</si>
  <si>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</si>
  <si>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</si>
  <si>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</si>
  <si>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</si>
  <si>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</si>
  <si>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</si>
  <si>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</si>
  <si>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</si>
  <si>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</si>
  <si>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</si>
  <si>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</si>
  <si>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</si>
  <si>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</si>
  <si>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</si>
  <si>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</si>
  <si>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</si>
  <si>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</si>
  <si>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</si>
  <si>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</si>
  <si>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</si>
  <si>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</si>
  <si>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</si>
  <si>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</si>
  <si>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</si>
  <si>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</si>
  <si>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</si>
  <si>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</si>
  <si>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</si>
  <si>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</si>
  <si>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</si>
  <si>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</si>
  <si>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</si>
  <si>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</si>
  <si>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</si>
  <si>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</si>
  <si>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</si>
  <si>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</si>
  <si>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</si>
  <si>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</si>
  <si>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</si>
  <si>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</si>
  <si>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</si>
  <si>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</si>
  <si>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</si>
  <si>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</si>
  <si>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</si>
  <si>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</si>
  <si>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</si>
  <si>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</si>
  <si>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</si>
  <si>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</si>
  <si>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</si>
  <si>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</si>
  <si>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</si>
  <si>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</si>
  <si>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</si>
  <si>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</si>
  <si>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</si>
  <si>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</si>
  <si>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</si>
  <si>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</si>
  <si>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</si>
  <si>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</si>
  <si>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</si>
  <si>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</si>
  <si>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</si>
  <si>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</si>
  <si>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</si>
  <si>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</si>
  <si>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</si>
  <si>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</si>
  <si>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</si>
  <si>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</si>
  <si>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</si>
  <si>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</si>
  <si>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</si>
  <si>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</si>
  <si>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</si>
  <si>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</si>
  <si>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</si>
  <si>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</si>
  <si>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</si>
  <si>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</si>
  <si>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</si>
  <si>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</si>
  <si>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</si>
  <si>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</si>
  <si>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</si>
  <si>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</si>
  <si>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</si>
  <si>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</si>
  <si>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</si>
  <si>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</si>
  <si>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</si>
  <si>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</si>
  <si>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</si>
  <si>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</si>
  <si>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</si>
  <si>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</si>
  <si>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</si>
  <si>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</si>
  <si>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</si>
  <si>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</si>
  <si>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</si>
  <si>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</si>
  <si>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</si>
  <si>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</si>
  <si>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</si>
  <si>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</si>
  <si>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</si>
  <si>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</si>
  <si>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</si>
  <si>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</si>
  <si>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</si>
  <si>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</si>
  <si>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</si>
  <si>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</si>
  <si>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</si>
  <si>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</si>
  <si>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</si>
  <si>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</si>
  <si>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</si>
  <si>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</si>
  <si>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</si>
  <si>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</si>
  <si>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</si>
  <si>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</si>
  <si>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</si>
  <si>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</si>
  <si>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</si>
  <si>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</si>
  <si>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</si>
  <si>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</si>
  <si>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</si>
  <si>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</si>
  <si>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</si>
  <si>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</si>
  <si>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</si>
  <si>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</si>
  <si>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</si>
  <si>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</si>
  <si>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</si>
  <si>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</si>
  <si>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</si>
  <si>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</si>
  <si>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</si>
  <si>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</si>
  <si>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</si>
  <si>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</si>
  <si>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</si>
  <si>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</si>
  <si>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</si>
  <si>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</si>
  <si>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</si>
  <si>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</si>
  <si>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</si>
  <si>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</si>
  <si>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</si>
  <si>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</si>
  <si>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</si>
  <si>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</si>
  <si>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</si>
  <si>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</si>
  <si>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</si>
  <si>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</si>
  <si>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</si>
  <si>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</si>
  <si>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</si>
  <si>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</si>
  <si>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</si>
  <si>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</si>
  <si>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</si>
  <si>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</si>
  <si>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</si>
  <si>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</si>
  <si>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</si>
  <si>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</si>
  <si>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</si>
  <si>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</si>
  <si>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</si>
  <si>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</si>
  <si>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</si>
  <si>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</si>
  <si>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</si>
  <si>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</si>
  <si>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</si>
  <si>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</si>
  <si>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</si>
  <si>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</si>
  <si>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</si>
  <si>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</si>
  <si>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</si>
  <si>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</si>
  <si>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</si>
  <si>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</si>
  <si>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</si>
  <si>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</si>
  <si>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</si>
  <si>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</si>
  <si>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</si>
  <si>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</si>
  <si>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</si>
  <si>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</si>
  <si>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</si>
  <si>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</si>
  <si>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</si>
  <si>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</si>
  <si>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</si>
  <si>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</si>
  <si>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</si>
  <si>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</si>
  <si>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</si>
  <si>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</si>
  <si>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</si>
  <si>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</si>
  <si>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</si>
  <si>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</si>
  <si>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</si>
  <si>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</si>
  <si>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</si>
  <si>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</si>
  <si>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</si>
  <si>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</si>
  <si>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</si>
  <si>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</si>
  <si>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</si>
  <si>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</si>
  <si>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</si>
  <si>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</si>
  <si>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</si>
  <si>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</si>
  <si>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</si>
  <si>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</si>
  <si>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</si>
  <si>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</si>
  <si>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</si>
  <si>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</si>
  <si>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</si>
  <si>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</si>
  <si>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</si>
  <si>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</si>
  <si>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</si>
  <si>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</si>
  <si>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</si>
  <si>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</si>
  <si>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</si>
  <si>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</si>
  <si>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</si>
  <si>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</si>
  <si>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</si>
  <si>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</si>
  <si>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</si>
  <si>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</si>
  <si>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</si>
  <si>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</si>
  <si>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</si>
  <si>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</si>
  <si>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</si>
  <si>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</si>
  <si>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</si>
  <si>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</si>
  <si>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</si>
  <si>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</si>
  <si>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</si>
  <si>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</si>
  <si>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</si>
  <si>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</si>
  <si>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</si>
  <si>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</si>
  <si>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</si>
  <si>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</si>
  <si>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</si>
  <si>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</si>
  <si>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</si>
  <si>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</si>
  <si>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</si>
  <si>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</si>
  <si>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</si>
  <si>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</si>
  <si>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</si>
  <si>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</si>
  <si>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</si>
  <si>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</si>
  <si>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</si>
  <si>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</si>
  <si>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</si>
  <si>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</si>
  <si>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</si>
  <si>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</si>
  <si>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</si>
  <si>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</si>
  <si>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</si>
  <si>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</si>
  <si>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</si>
  <si>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</si>
  <si>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</si>
  <si>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</si>
  <si>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</si>
  <si>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</si>
  <si>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</si>
  <si>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</si>
  <si>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</si>
  <si>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</si>
  <si>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</si>
  <si>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</si>
  <si>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</si>
  <si>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</si>
  <si>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</si>
  <si>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</si>
  <si>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</si>
  <si>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</si>
  <si>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</si>
  <si>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</si>
  <si>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</si>
  <si>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</si>
  <si>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</si>
  <si>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</si>
  <si>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</si>
  <si>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</si>
  <si>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</si>
  <si>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</si>
  <si>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</si>
  <si>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</si>
  <si>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</si>
  <si>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</si>
  <si>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</si>
  <si>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</si>
  <si>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</si>
  <si>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</si>
  <si>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</si>
  <si>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</si>
  <si>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</si>
  <si>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</si>
  <si>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</si>
  <si>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</si>
  <si>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</si>
  <si>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</si>
  <si>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</si>
  <si>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</si>
  <si>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</si>
  <si>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</si>
  <si>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</si>
  <si>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</si>
  <si>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</si>
  <si>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</si>
  <si>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</si>
  <si>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</si>
  <si>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</si>
  <si>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</si>
  <si>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</si>
  <si>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</si>
  <si>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</si>
  <si>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</si>
  <si>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</si>
  <si>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</si>
  <si>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</si>
  <si>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</si>
  <si>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</si>
  <si>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</si>
  <si>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</si>
  <si>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</si>
  <si>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</si>
  <si>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</si>
  <si>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</si>
  <si>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</si>
  <si>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</si>
  <si>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</si>
  <si>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</si>
  <si>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</si>
  <si>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</si>
  <si>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</si>
  <si>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</si>
  <si>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</si>
  <si>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</si>
  <si>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</si>
  <si>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</si>
  <si>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</si>
  <si>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</si>
  <si>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</si>
  <si>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</si>
  <si>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</si>
  <si>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</si>
  <si>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</si>
  <si>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</si>
  <si>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</si>
  <si>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</si>
  <si>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</si>
  <si>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</si>
  <si>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</si>
  <si>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</si>
  <si>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</si>
  <si>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</si>
  <si>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</si>
  <si>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</si>
  <si>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</si>
  <si>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</si>
  <si>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</si>
  <si>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</si>
  <si>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</si>
  <si>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</si>
  <si>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</si>
  <si>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</si>
  <si>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</si>
  <si>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</si>
  <si>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</si>
  <si>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</si>
  <si>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</si>
  <si>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</si>
  <si>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</si>
  <si>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</si>
  <si>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</si>
  <si>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</si>
  <si>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</si>
  <si>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</si>
  <si>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</si>
  <si>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</si>
  <si>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</si>
  <si>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</si>
  <si>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</si>
  <si>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</si>
  <si>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</si>
  <si>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</si>
  <si>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</si>
  <si>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</si>
  <si>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</si>
  <si>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</si>
  <si>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</si>
  <si>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</si>
  <si>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</si>
  <si>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</si>
  <si>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</si>
  <si>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</si>
  <si>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</si>
  <si>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</si>
  <si>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</si>
  <si>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</si>
  <si>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</si>
  <si>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</si>
  <si>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</si>
  <si>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</si>
  <si>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</si>
  <si>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</si>
  <si>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</si>
  <si>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</si>
  <si>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</si>
  <si>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</si>
  <si>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</si>
  <si>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</si>
  <si>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</si>
  <si>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</si>
  <si>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</si>
  <si>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</si>
  <si>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</si>
  <si>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</si>
  <si>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</si>
  <si>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</si>
  <si>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</si>
  <si>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</si>
  <si>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</si>
  <si>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</si>
  <si>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</si>
  <si>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</si>
  <si>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</si>
  <si>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</si>
  <si>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</si>
  <si>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</si>
  <si>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</si>
  <si>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</si>
  <si>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</si>
  <si>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</si>
  <si>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</si>
  <si>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</si>
  <si>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</si>
  <si>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</si>
  <si>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</si>
  <si>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</si>
  <si>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</si>
  <si>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</si>
  <si>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</si>
  <si>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</si>
  <si>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</si>
  <si>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</si>
  <si>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</si>
  <si>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</si>
  <si>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</si>
  <si>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</si>
  <si>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</si>
  <si>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</si>
  <si>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</si>
  <si>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</si>
  <si>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</si>
  <si>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</si>
  <si>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</si>
  <si>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</si>
  <si>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</si>
  <si>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</si>
  <si>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</si>
  <si>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</si>
  <si>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</si>
  <si>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</si>
  <si>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</si>
  <si>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</si>
  <si>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</si>
  <si>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</si>
  <si>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</si>
  <si>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</si>
  <si>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</si>
  <si>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</si>
  <si>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</si>
  <si>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</si>
  <si>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</si>
  <si>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</si>
  <si>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</si>
  <si>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</si>
  <si>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</si>
  <si>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</si>
  <si>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</si>
  <si>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</si>
  <si>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</si>
  <si>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</si>
  <si>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</si>
  <si>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</si>
  <si>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</si>
  <si>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</si>
  <si>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</si>
  <si>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</si>
  <si>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</si>
  <si>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</si>
  <si>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</si>
  <si>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</si>
  <si>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</si>
  <si>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</si>
  <si>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</si>
  <si>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</si>
  <si>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</si>
  <si>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</si>
  <si>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</si>
  <si>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</si>
  <si>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</si>
  <si>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</si>
  <si>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</si>
  <si>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</si>
  <si>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</si>
  <si>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</si>
  <si>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</si>
  <si>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</si>
  <si>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</si>
  <si>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</si>
  <si>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</si>
  <si>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</si>
  <si>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</si>
  <si>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</si>
  <si>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</si>
  <si>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</si>
  <si>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</si>
  <si>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</si>
  <si>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</si>
  <si>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</si>
  <si>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</si>
  <si>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</si>
  <si>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</si>
  <si>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</si>
  <si>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</si>
  <si>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</si>
  <si>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</si>
  <si>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</si>
  <si>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</si>
  <si>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</si>
  <si>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</si>
  <si>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</si>
  <si>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</si>
  <si>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</si>
  <si>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</si>
  <si>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</si>
  <si>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</si>
  <si>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</si>
  <si>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</si>
  <si>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</si>
  <si>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</si>
  <si>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</si>
  <si>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</si>
  <si>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</si>
  <si>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</si>
  <si>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</si>
  <si>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</si>
  <si>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</si>
  <si>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</si>
  <si>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</si>
  <si>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</si>
  <si>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</si>
  <si>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</si>
  <si>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</si>
  <si>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</si>
  <si>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</si>
  <si>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</si>
  <si>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</si>
  <si>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</si>
  <si>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</si>
  <si>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</si>
  <si>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</si>
  <si>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</si>
  <si>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</si>
  <si>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</si>
  <si>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</si>
  <si>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</si>
  <si>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</si>
  <si>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</si>
  <si>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</si>
  <si>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</si>
  <si>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</si>
  <si>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</si>
  <si>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</si>
  <si>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</si>
  <si>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</si>
  <si>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</si>
  <si>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</si>
  <si>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</si>
  <si>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</si>
  <si>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</si>
  <si>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</si>
  <si>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</si>
  <si>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</si>
  <si>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</si>
  <si>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</si>
  <si>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</si>
  <si>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</si>
  <si>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</si>
  <si>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</si>
  <si>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</si>
  <si>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</si>
  <si>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</si>
  <si>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</si>
  <si>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</si>
  <si>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</si>
  <si>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</si>
  <si>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</si>
  <si>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</si>
  <si>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</si>
  <si>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</si>
  <si>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</si>
  <si>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</si>
  <si>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</si>
  <si>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</si>
  <si>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</si>
  <si>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叶凌</t>
  </si>
  <si>
    <t>杨红英</t>
  </si>
  <si>
    <t>核定资产</t>
  </si>
  <si>
    <t>市场价格</t>
  </si>
  <si>
    <t>出让</t>
  </si>
  <si>
    <t>商业</t>
  </si>
  <si>
    <t>地上</t>
  </si>
  <si>
    <t>不临58条商业街</t>
  </si>
  <si>
    <t>无</t>
  </si>
  <si>
    <t>居住用地（指二类居住用地）</t>
  </si>
  <si>
    <t>容积率修正</t>
  </si>
  <si>
    <t>一般</t>
  </si>
  <si>
    <t>YZ00-0803-0802</t>
  </si>
  <si>
    <t>否</t>
  </si>
  <si>
    <t>押一</t>
  </si>
  <si>
    <t>钢混</t>
    <phoneticPr fontId="233" type="noConversion"/>
  </si>
  <si>
    <t>项目局部</t>
  </si>
  <si>
    <t>土地</t>
  </si>
  <si>
    <t>剩余法-住宅</t>
  </si>
  <si>
    <t>按公示增长率计算</t>
  </si>
  <si>
    <t>租金</t>
    <phoneticPr fontId="233" type="noConversion"/>
  </si>
  <si>
    <t>收益还原法-住宅</t>
  </si>
  <si>
    <t>按租金收入计税</t>
  </si>
  <si>
    <t>非生产用房</t>
    <phoneticPr fontId="233" type="noConversion"/>
  </si>
  <si>
    <t>较好</t>
  </si>
  <si>
    <t>增加</t>
  </si>
  <si>
    <t>燃气</t>
  </si>
  <si>
    <t>楼面单价
（元/平方米）</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</si>
  <si>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</si>
  <si>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</si>
  <si>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</si>
  <si>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</si>
  <si>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_</t>
    <phoneticPr fontId="233" type="noConversion"/>
  </si>
  <si>
    <t>办公用途熟地价</t>
    <phoneticPr fontId="278" type="noConversion"/>
  </si>
  <si>
    <t>_</t>
    <phoneticPr fontId="233" type="noConversion"/>
  </si>
  <si>
    <t>熟地总价</t>
    <phoneticPr fontId="278" type="noConversion"/>
  </si>
  <si>
    <t>北京市大兴区瀛海西区YZ00-0802、6021号地块R2二类居住用地用地估价结果汇总表</t>
    <phoneticPr fontId="233" type="noConversion"/>
  </si>
  <si>
    <t>楼面单价
（元/平方米）</t>
    <phoneticPr fontId="278" type="noConversion"/>
  </si>
  <si>
    <t>建筑规模
（平方米）</t>
    <phoneticPr fontId="278" type="noConversion"/>
  </si>
  <si>
    <t>总价
（万元）</t>
    <phoneticPr fontId="278" type="noConversion"/>
  </si>
  <si>
    <t>居住用途政府土地出让收益</t>
    <phoneticPr fontId="278" type="noConversion"/>
  </si>
  <si>
    <t>商业用途政府土地出让收益</t>
    <phoneticPr fontId="278" type="noConversion"/>
  </si>
  <si>
    <t>_</t>
    <phoneticPr fontId="233" type="noConversion"/>
  </si>
  <si>
    <t>办公用途政府土地出让收益</t>
    <phoneticPr fontId="278" type="noConversion"/>
  </si>
  <si>
    <t>-</t>
    <phoneticPr fontId="278" type="noConversion"/>
  </si>
  <si>
    <t>政府土地出让收益总价</t>
    <phoneticPr fontId="278" type="noConversion"/>
  </si>
  <si>
    <t>_</t>
    <phoneticPr fontId="233" type="noConversion"/>
  </si>
  <si>
    <t>出让底价建议：建议本项目出让底价不低于熟地总价237006.53万元。</t>
    <phoneticPr fontId="278" type="noConversion"/>
  </si>
  <si>
    <t>基准地价</t>
    <phoneticPr fontId="233" type="noConversion"/>
  </si>
  <si>
    <t>权重</t>
    <phoneticPr fontId="278" type="noConversion"/>
  </si>
  <si>
    <t>剩余法</t>
    <phoneticPr fontId="233" type="noConversion"/>
  </si>
  <si>
    <t>权重后总价</t>
    <phoneticPr fontId="278" type="noConversion"/>
  </si>
  <si>
    <t>居住</t>
    <phoneticPr fontId="278" type="noConversion"/>
  </si>
  <si>
    <t>商业</t>
    <phoneticPr fontId="278" type="noConversion"/>
  </si>
  <si>
    <t>办公</t>
    <phoneticPr fontId="278" type="noConversion"/>
  </si>
  <si>
    <t>政府收益</t>
  </si>
  <si>
    <t>居住</t>
    <phoneticPr fontId="278" type="noConversion"/>
  </si>
  <si>
    <t>总价</t>
    <phoneticPr fontId="278" type="noConversion"/>
  </si>
  <si>
    <t>单价</t>
    <phoneticPr fontId="278" type="noConversion"/>
  </si>
  <si>
    <t>总价</t>
    <phoneticPr fontId="233" type="noConversion"/>
  </si>
  <si>
    <t>建筑面积</t>
    <phoneticPr fontId="233" type="noConversion"/>
  </si>
  <si>
    <t>土地面积</t>
    <phoneticPr fontId="233" type="noConversion"/>
  </si>
  <si>
    <t>单价</t>
    <phoneticPr fontId="233" type="noConversion"/>
  </si>
  <si>
    <t>单价</t>
    <phoneticPr fontId="233" type="noConversion"/>
  </si>
  <si>
    <t>单价</t>
    <phoneticPr fontId="233" type="noConversion"/>
  </si>
  <si>
    <t>权重后单价</t>
    <phoneticPr fontId="278" type="noConversion"/>
  </si>
  <si>
    <t>总价</t>
    <phoneticPr fontId="233" type="noConversion"/>
  </si>
  <si>
    <t>总价算</t>
    <phoneticPr fontId="233" type="noConversion"/>
  </si>
  <si>
    <t>单价算</t>
    <phoneticPr fontId="233" type="noConversion"/>
  </si>
  <si>
    <t>总价</t>
    <phoneticPr fontId="233" type="noConversion"/>
  </si>
  <si>
    <t>地下</t>
  </si>
  <si>
    <t>车库—商业</t>
  </si>
  <si>
    <t>仓储</t>
  </si>
  <si>
    <t>住宅</t>
    <phoneticPr fontId="7" type="noConversion"/>
  </si>
  <si>
    <t>商业</t>
    <phoneticPr fontId="7" type="noConversion"/>
  </si>
  <si>
    <t>办公</t>
    <phoneticPr fontId="7" type="noConversion"/>
  </si>
  <si>
    <t>车库</t>
  </si>
  <si>
    <t>车库</t>
    <phoneticPr fontId="7" type="noConversion"/>
  </si>
  <si>
    <t>仓储</t>
    <phoneticPr fontId="7" type="noConversion"/>
  </si>
  <si>
    <t>其它</t>
    <phoneticPr fontId="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</si>
  <si>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</si>
  <si>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</si>
  <si>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</si>
  <si>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</si>
  <si>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仓储</t>
    </r>
    <phoneticPr fontId="14" type="noConversion"/>
  </si>
  <si>
    <t>Ⅸ-01</t>
  </si>
  <si>
    <t>估价对象容积率</t>
  </si>
  <si>
    <t>基准地价-车库</t>
    <phoneticPr fontId="14" type="noConversion"/>
  </si>
  <si>
    <r>
      <rPr>
        <sz val="11"/>
        <color theme="1"/>
        <rFont val="宋体"/>
        <family val="3"/>
        <charset val="134"/>
      </rPr>
      <t>基准地价</t>
    </r>
    <r>
      <rPr>
        <sz val="11"/>
        <color theme="1"/>
        <rFont val="Arial"/>
        <family val="2"/>
      </rPr>
      <t>-</t>
    </r>
    <r>
      <rPr>
        <sz val="11"/>
        <color theme="1"/>
        <rFont val="宋体"/>
        <family val="3"/>
        <charset val="134"/>
      </rPr>
      <t>仓储</t>
    </r>
    <phoneticPr fontId="14" type="noConversion"/>
  </si>
  <si>
    <r>
      <rPr>
        <sz val="11"/>
        <color theme="1"/>
        <rFont val="宋体"/>
        <family val="3"/>
        <charset val="134"/>
      </rPr>
      <t>剩余法</t>
    </r>
    <r>
      <rPr>
        <sz val="11"/>
        <color theme="1"/>
        <rFont val="Arial"/>
        <family val="2"/>
      </rPr>
      <t>-</t>
    </r>
    <r>
      <rPr>
        <sz val="11"/>
        <color theme="1"/>
        <rFont val="宋体"/>
        <family val="3"/>
        <charset val="134"/>
      </rPr>
      <t>车库</t>
    </r>
    <phoneticPr fontId="14" type="noConversion"/>
  </si>
  <si>
    <r>
      <rPr>
        <sz val="11"/>
        <color theme="1"/>
        <rFont val="宋体"/>
        <family val="3"/>
        <charset val="134"/>
      </rPr>
      <t>剩余法</t>
    </r>
    <r>
      <rPr>
        <sz val="11"/>
        <color theme="1"/>
        <rFont val="Arial"/>
        <family val="2"/>
      </rPr>
      <t>-</t>
    </r>
    <r>
      <rPr>
        <sz val="11"/>
        <color theme="1"/>
        <rFont val="宋体"/>
        <family val="3"/>
        <charset val="134"/>
      </rPr>
      <t>仓储</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</si>
  <si>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车库</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</si>
  <si>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仓储</t>
    </r>
    <phoneticPr fontId="14" type="noConversion"/>
  </si>
  <si>
    <t>有</t>
  </si>
  <si>
    <t>500-1000米</t>
  </si>
  <si>
    <t>批发零售用地</t>
  </si>
  <si>
    <t>六通一平</t>
  </si>
  <si>
    <t>公共设施用地</t>
  </si>
  <si>
    <r>
      <rPr>
        <sz val="11"/>
        <color theme="1"/>
        <rFont val="宋体"/>
        <family val="3"/>
        <charset val="134"/>
      </rPr>
      <t>结果表</t>
    </r>
    <r>
      <rPr>
        <sz val="11"/>
        <color theme="1"/>
        <rFont val="Arial"/>
        <family val="2"/>
      </rPr>
      <t>-</t>
    </r>
    <r>
      <rPr>
        <sz val="11"/>
        <color theme="1"/>
        <rFont val="宋体"/>
        <family val="3"/>
        <charset val="134"/>
      </rPr>
      <t>住宅</t>
    </r>
    <phoneticPr fontId="14" type="noConversion"/>
  </si>
  <si>
    <r>
      <rPr>
        <sz val="11"/>
        <color theme="1"/>
        <rFont val="宋体"/>
        <family val="3"/>
        <charset val="134"/>
      </rPr>
      <t>结果表</t>
    </r>
    <r>
      <rPr>
        <sz val="11"/>
        <color theme="1"/>
        <rFont val="Arial"/>
        <family val="2"/>
      </rPr>
      <t>-</t>
    </r>
    <r>
      <rPr>
        <sz val="11"/>
        <color theme="1"/>
        <rFont val="宋体"/>
        <family val="3"/>
        <charset val="134"/>
      </rPr>
      <t>办公</t>
    </r>
    <phoneticPr fontId="14" type="noConversion"/>
  </si>
  <si>
    <r>
      <rPr>
        <sz val="11"/>
        <color theme="1"/>
        <rFont val="宋体"/>
        <family val="3"/>
        <charset val="134"/>
      </rPr>
      <t>结果表</t>
    </r>
    <r>
      <rPr>
        <sz val="11"/>
        <color theme="1"/>
        <rFont val="Arial"/>
        <family val="2"/>
      </rPr>
      <t>-</t>
    </r>
    <r>
      <rPr>
        <sz val="11"/>
        <color theme="1"/>
        <rFont val="宋体"/>
        <family val="3"/>
        <charset val="134"/>
      </rPr>
      <t>商业</t>
    </r>
    <phoneticPr fontId="14" type="noConversion"/>
  </si>
  <si>
    <t>结果表-车库</t>
    <phoneticPr fontId="14" type="noConversion"/>
  </si>
  <si>
    <r>
      <rPr>
        <sz val="11"/>
        <color theme="1"/>
        <rFont val="宋体"/>
        <family val="3"/>
        <charset val="134"/>
      </rPr>
      <t>结果表</t>
    </r>
    <r>
      <rPr>
        <sz val="11"/>
        <color theme="1"/>
        <rFont val="Arial"/>
        <family val="2"/>
      </rPr>
      <t>-</t>
    </r>
    <r>
      <rPr>
        <sz val="11"/>
        <color theme="1"/>
        <rFont val="宋体"/>
        <family val="3"/>
        <charset val="134"/>
      </rPr>
      <t>仓储</t>
    </r>
    <phoneticPr fontId="14" type="noConversion"/>
  </si>
  <si>
    <t>基准地价-商业</t>
  </si>
  <si>
    <t>剩余法-商业</t>
  </si>
  <si>
    <t>基准地价-办公</t>
  </si>
  <si>
    <t>剩余法-办公</t>
  </si>
  <si>
    <t>售价</t>
  </si>
  <si>
    <t>苏家坨北安河</t>
    <phoneticPr fontId="3" type="noConversion"/>
  </si>
  <si>
    <t>同泽园西里</t>
    <phoneticPr fontId="3" type="noConversion"/>
  </si>
  <si>
    <t>前沙涧路7号院</t>
    <phoneticPr fontId="3" type="noConversion"/>
  </si>
  <si>
    <t>挂牌</t>
    <phoneticPr fontId="21" type="noConversion"/>
  </si>
  <si>
    <t>住宅</t>
    <phoneticPr fontId="21" type="noConversion"/>
  </si>
  <si>
    <t>60-70（含）</t>
  </si>
  <si>
    <t>六通</t>
  </si>
  <si>
    <t>楼层</t>
    <phoneticPr fontId="21"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</si>
  <si>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</si>
  <si>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</si>
  <si>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</si>
  <si>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</si>
  <si>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</si>
  <si>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</si>
  <si>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</si>
  <si>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</si>
  <si>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</si>
  <si>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</si>
  <si>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</si>
  <si>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</si>
  <si>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</si>
  <si>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</si>
  <si>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</si>
  <si>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</si>
  <si>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</si>
  <si>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</si>
  <si>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</si>
  <si>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</si>
  <si>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</si>
  <si>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</si>
  <si>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</si>
  <si>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</si>
  <si>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</si>
  <si>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</si>
  <si>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</si>
  <si>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</si>
  <si>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交房时间</t>
    <phoneticPr fontId="21" type="noConversion"/>
  </si>
  <si>
    <r>
      <rPr>
        <sz val="11"/>
        <color indexed="8"/>
        <rFont val="宋体"/>
        <family val="3"/>
        <charset val="134"/>
      </rPr>
      <t>预计</t>
    </r>
    <r>
      <rPr>
        <sz val="11"/>
        <color indexed="8"/>
        <rFont val="Arial"/>
        <family val="2"/>
      </rPr>
      <t>2</t>
    </r>
    <r>
      <rPr>
        <sz val="11"/>
        <color indexed="8"/>
        <rFont val="宋体"/>
        <family val="3"/>
        <charset val="134"/>
      </rPr>
      <t>年</t>
    </r>
    <phoneticPr fontId="21" type="noConversion"/>
  </si>
  <si>
    <t>现房</t>
    <phoneticPr fontId="21" type="noConversion"/>
  </si>
  <si>
    <t>现房</t>
    <phoneticPr fontId="21"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</si>
  <si>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</si>
  <si>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</si>
  <si>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</si>
  <si>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</si>
  <si>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</si>
  <si>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</si>
  <si>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</si>
  <si>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</si>
  <si>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</si>
  <si>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东</t>
    <phoneticPr fontId="3" type="noConversion"/>
  </si>
  <si>
    <t>南北</t>
  </si>
  <si>
    <t>东西</t>
  </si>
  <si>
    <t>东西</t>
    <phoneticPr fontId="3" type="noConversion"/>
  </si>
  <si>
    <t>普通装修</t>
  </si>
  <si>
    <t>混合</t>
  </si>
  <si>
    <t>多层板楼</t>
  </si>
  <si>
    <t>挂牌</t>
    <phoneticPr fontId="26" type="noConversion"/>
  </si>
  <si>
    <t>商业</t>
    <phoneticPr fontId="26" type="noConversion"/>
  </si>
  <si>
    <t>40-50（含）</t>
  </si>
  <si>
    <t>30-40（含）</t>
  </si>
  <si>
    <t>交房时间</t>
    <phoneticPr fontId="26" type="noConversion"/>
  </si>
  <si>
    <r>
      <rPr>
        <sz val="11"/>
        <color indexed="8"/>
        <rFont val="宋体"/>
        <family val="3"/>
        <charset val="134"/>
      </rPr>
      <t>预计</t>
    </r>
    <r>
      <rPr>
        <sz val="11"/>
        <color indexed="8"/>
        <rFont val="Arial"/>
        <family val="2"/>
      </rPr>
      <t>2</t>
    </r>
    <r>
      <rPr>
        <sz val="11"/>
        <color indexed="8"/>
        <rFont val="宋体"/>
        <family val="3"/>
        <charset val="134"/>
      </rPr>
      <t>年</t>
    </r>
    <phoneticPr fontId="26" type="noConversion"/>
  </si>
  <si>
    <t>现房</t>
    <phoneticPr fontId="26" type="noConversion"/>
  </si>
  <si>
    <t>较好</t>
    <phoneticPr fontId="26" type="noConversion"/>
  </si>
  <si>
    <t>主</t>
  </si>
  <si>
    <t>主</t>
    <phoneticPr fontId="21" type="noConversion"/>
  </si>
  <si>
    <t>较好</t>
    <phoneticPr fontId="26" type="noConversion"/>
  </si>
  <si>
    <t>一般</t>
    <phoneticPr fontId="26" type="noConversion"/>
  </si>
  <si>
    <t>独立商业</t>
    <phoneticPr fontId="26" type="noConversion"/>
  </si>
  <si>
    <t>商业综合体</t>
    <phoneticPr fontId="26" type="noConversion"/>
  </si>
  <si>
    <t>商业街商铺</t>
  </si>
  <si>
    <t>商业街商铺</t>
    <phoneticPr fontId="26" type="noConversion"/>
  </si>
  <si>
    <t>住宅底商</t>
  </si>
  <si>
    <t>住宅底商</t>
    <phoneticPr fontId="26" type="noConversion"/>
  </si>
  <si>
    <t>钢混</t>
  </si>
  <si>
    <t>钢混</t>
    <phoneticPr fontId="26" type="noConversion"/>
  </si>
  <si>
    <t>混合</t>
    <phoneticPr fontId="26" type="noConversion"/>
  </si>
  <si>
    <t>建筑面积</t>
    <phoneticPr fontId="26" type="noConversion"/>
  </si>
  <si>
    <t>建筑面积</t>
    <phoneticPr fontId="21" type="noConversion"/>
  </si>
  <si>
    <t>交房时间</t>
    <phoneticPr fontId="27" type="noConversion"/>
  </si>
  <si>
    <t>建筑面积</t>
    <phoneticPr fontId="27" type="noConversion"/>
  </si>
  <si>
    <t>挂牌</t>
    <phoneticPr fontId="27" type="noConversion"/>
  </si>
  <si>
    <t>办公</t>
    <phoneticPr fontId="27" type="noConversion"/>
  </si>
  <si>
    <t>标准层高</t>
  </si>
  <si>
    <t>标准层高</t>
    <phoneticPr fontId="27" type="noConversion"/>
  </si>
  <si>
    <t>普通物业</t>
  </si>
  <si>
    <t>普通物业</t>
    <phoneticPr fontId="27" type="noConversion"/>
  </si>
  <si>
    <t>甲级</t>
  </si>
  <si>
    <t>甲级</t>
    <phoneticPr fontId="27" type="noConversion"/>
  </si>
  <si>
    <r>
      <rPr>
        <sz val="11"/>
        <color indexed="8"/>
        <rFont val="宋体"/>
        <family val="3"/>
        <charset val="134"/>
      </rPr>
      <t>预计</t>
    </r>
    <r>
      <rPr>
        <sz val="11"/>
        <color indexed="8"/>
        <rFont val="Arial"/>
        <family val="2"/>
      </rPr>
      <t>2</t>
    </r>
    <r>
      <rPr>
        <sz val="11"/>
        <color indexed="8"/>
        <rFont val="宋体"/>
        <family val="3"/>
        <charset val="134"/>
      </rPr>
      <t>年</t>
    </r>
    <phoneticPr fontId="27" type="noConversion"/>
  </si>
  <si>
    <t>现房</t>
    <phoneticPr fontId="27" type="noConversion"/>
  </si>
  <si>
    <t>高板</t>
  </si>
  <si>
    <t>高板</t>
    <phoneticPr fontId="27" type="noConversion"/>
  </si>
  <si>
    <t>用途</t>
    <phoneticPr fontId="233" type="noConversion"/>
  </si>
  <si>
    <t>方法</t>
    <phoneticPr fontId="233" type="noConversion"/>
  </si>
  <si>
    <t>楼面熟地单价</t>
    <phoneticPr fontId="278" type="noConversion"/>
  </si>
  <si>
    <t>权重</t>
    <phoneticPr fontId="233" type="noConversion"/>
  </si>
  <si>
    <t>权重楼面熟地单价</t>
    <phoneticPr fontId="233" type="noConversion"/>
  </si>
  <si>
    <t>基准地价法</t>
    <phoneticPr fontId="233" type="noConversion"/>
  </si>
  <si>
    <t>剩余法</t>
    <phoneticPr fontId="233" type="noConversion"/>
  </si>
  <si>
    <t>基准地价法</t>
    <phoneticPr fontId="233" type="noConversion"/>
  </si>
  <si>
    <t>基准地价法</t>
    <phoneticPr fontId="233" type="noConversion"/>
  </si>
  <si>
    <t>剩余法</t>
    <phoneticPr fontId="233" type="noConversion"/>
  </si>
  <si>
    <t>地上商业（配套）</t>
    <phoneticPr fontId="233" type="noConversion"/>
  </si>
  <si>
    <t>地上办公（公共服务设施）</t>
    <phoneticPr fontId="233" type="noConversion"/>
  </si>
  <si>
    <t>地下车库</t>
    <phoneticPr fontId="233" type="noConversion"/>
  </si>
  <si>
    <t>地下仓储</t>
    <phoneticPr fontId="233" type="noConversion"/>
  </si>
  <si>
    <t>政府土地收益</t>
    <phoneticPr fontId="233" type="noConversion"/>
  </si>
  <si>
    <t>部位</t>
  </si>
  <si>
    <t>用途</t>
  </si>
  <si>
    <t>办公（公共服务设施）</t>
  </si>
  <si>
    <t>熟地价</t>
    <phoneticPr fontId="233" type="noConversion"/>
  </si>
  <si>
    <t>地下</t>
    <phoneticPr fontId="233" type="noConversion"/>
  </si>
  <si>
    <t>地上住宅</t>
    <phoneticPr fontId="233" type="noConversion"/>
  </si>
  <si>
    <t>商业（配套）</t>
    <phoneticPr fontId="233" type="noConversion"/>
  </si>
  <si>
    <t>住宅</t>
    <phoneticPr fontId="233" type="noConversion"/>
  </si>
  <si>
    <t>仓储</t>
    <phoneticPr fontId="233" type="noConversion"/>
  </si>
  <si>
    <t>车库</t>
    <phoneticPr fontId="233" type="noConversion"/>
  </si>
  <si>
    <t>——</t>
    <phoneticPr fontId="233" type="noConversion"/>
  </si>
  <si>
    <t>——</t>
    <phoneticPr fontId="233" type="noConversion"/>
  </si>
  <si>
    <t>政府土地出让收益</t>
    <phoneticPr fontId="233" type="noConversion"/>
  </si>
  <si>
    <t>熟地总价(万元）</t>
    <phoneticPr fontId="233" type="noConversion"/>
  </si>
  <si>
    <t>地面熟地单价（元/㎡）</t>
    <phoneticPr fontId="233" type="noConversion"/>
  </si>
  <si>
    <t>出让建筑面积（㎡）</t>
    <phoneticPr fontId="233" type="noConversion"/>
  </si>
  <si>
    <t>楼面熟地单价（元/㎡）</t>
    <phoneticPr fontId="233" type="noConversion"/>
  </si>
  <si>
    <t>政府土地出让收益楼面单价（元/㎡）</t>
    <phoneticPr fontId="233" type="noConversion"/>
  </si>
  <si>
    <t>政府土地出让收益楼面总价（万元）</t>
    <phoneticPr fontId="233" type="noConversion"/>
  </si>
  <si>
    <t>前沙涧路7号院</t>
    <phoneticPr fontId="3" type="noConversion"/>
  </si>
  <si>
    <t>永丰新技术中心</t>
    <phoneticPr fontId="3" type="noConversion"/>
  </si>
  <si>
    <t>500米范围内</t>
  </si>
  <si>
    <t>较差</t>
  </si>
  <si>
    <t>已部分缴纳</t>
  </si>
  <si>
    <t>支路</t>
    <phoneticPr fontId="3" type="noConversion"/>
  </si>
  <si>
    <t>支路</t>
    <phoneticPr fontId="3" type="noConversion"/>
  </si>
  <si>
    <t>房屋性质</t>
    <phoneticPr fontId="21" type="noConversion"/>
  </si>
  <si>
    <t>经济适用房</t>
    <phoneticPr fontId="21" type="noConversion"/>
  </si>
  <si>
    <t>三定三限定向安置房</t>
    <phoneticPr fontId="21" type="noConversion"/>
  </si>
  <si>
    <t>苏家坨北安河</t>
    <phoneticPr fontId="3" type="noConversion"/>
  </si>
  <si>
    <t>正常</t>
  </si>
  <si>
    <t>不动产收益法办公</t>
  </si>
  <si>
    <t>不动产收益法办公</t>
    <phoneticPr fontId="14" type="noConversion"/>
  </si>
  <si>
    <r>
      <rPr>
        <sz val="11"/>
        <color indexed="8"/>
        <rFont val="宋体"/>
        <family val="3"/>
        <charset val="134"/>
      </rPr>
      <t>不动产收益法</t>
    </r>
    <r>
      <rPr>
        <sz val="11"/>
        <color indexed="8"/>
        <rFont val="宋体"/>
        <family val="3"/>
        <charset val="134"/>
      </rPr>
      <t>商业</t>
    </r>
    <phoneticPr fontId="14" type="noConversion"/>
  </si>
  <si>
    <t>押三</t>
  </si>
  <si>
    <t>不动产收益法商业</t>
  </si>
  <si>
    <t>土地（套用方法）</t>
  </si>
  <si>
    <t xml:space="preserve">北安河北路商铺 </t>
    <phoneticPr fontId="3" type="noConversion"/>
  </si>
  <si>
    <t xml:space="preserve">北清路商铺 </t>
    <phoneticPr fontId="3" type="noConversion"/>
  </si>
  <si>
    <t xml:space="preserve">温阳路商铺 </t>
    <phoneticPr fontId="3" type="noConversion"/>
  </si>
  <si>
    <t>中关村用友软件园</t>
    <phoneticPr fontId="3" type="noConversion"/>
  </si>
  <si>
    <t>绿地中央广场</t>
    <phoneticPr fontId="3" type="noConversion"/>
  </si>
  <si>
    <t>高层板楼</t>
  </si>
  <si>
    <t>底价建议</t>
    <phoneticPr fontId="233" type="noConversion"/>
  </si>
  <si>
    <t xml:space="preserve">建议出让底价
总价(万元）
</t>
    <phoneticPr fontId="233" type="noConversion"/>
  </si>
  <si>
    <t>政府土地出让收益与应分摊成本合计楼面单价（元/㎡）</t>
    <phoneticPr fontId="233" type="noConversion"/>
  </si>
  <si>
    <t xml:space="preserve">所在基准地价级别低限楼面熟地价
（元/㎡）
</t>
    <phoneticPr fontId="233" type="noConversion"/>
  </si>
  <si>
    <t xml:space="preserve">所在基准地价级别低限政府土地出让收益
（元/㎡）
</t>
    <phoneticPr fontId="233"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</si>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</sst>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theme="1"/>
      <name val="黑体"/>
      <family val="3"/>
      <charset val="134"/>
    </font>
    <font>
      <sz val="9"/>
      <name val="宋体"/>
      <family val="2"/>
      <charset val="134"/>
      <scheme val="minor"/>
    </font>
    <font>
      <b/>
      <sz val="12"/>
      <color theme="1"/>
      <name val="黑体"/>
      <family val="3"/>
      <charset val="134"/>
    </font>
    <font>
      <sz val="11"/>
      <color theme="1"/>
      <name val="黑体"/>
      <family val="3"/>
      <charset val="134"/>
    </font>
    <font>
      <sz val="12"/>
      <color rgb="FFFF0000"/>
      <name val="黑体"/>
      <family val="3"/>
      <charset val="134"/>
    </font>
    <font>
      <b/>
      <sz val="11"/>
      <color theme="1"/>
      <name val="黑体"/>
      <family val="3"/>
      <charset val="134"/>
    </font>
    <font>
      <sz val="16"/>
      <color indexed="8"/>
      <name val="华文楷体"/>
      <family val="3"/>
      <charset val="134"/>
    </font>
    <font>
      <b/>
      <sz val="12"/>
      <color theme="1"/>
      <name val="Adobe 黑体 Std R"/>
      <family val="2"/>
      <charset val="134"/>
    </font>
    <font>
      <b/>
      <sz val="9"/>
      <color indexed="81"/>
      <name val="Tahoma"/>
      <family val="2"/>
    </font>
    <font>
      <b/>
      <sz val="12"/>
      <color theme="1"/>
      <name val="仿宋_GB2312"/>
      <family val="3"/>
      <charset val="134"/>
    </font>
    <font>
      <b/>
      <sz val="20"/>
      <color theme="1"/>
      <name val="华文楷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7030A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6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1"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2"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5" fillId="6" borderId="31" xfId="0" applyFont="1" applyFill="1" applyBorder="1" applyAlignment="1" applyProtection="1">
      <alignment vertical="center"/>
    </xf>
    <xf numFmtId="0" fontId="71" fillId="6" borderId="2" xfId="0" applyFont="1" applyFill="1" applyBorder="1" applyProtection="1">
      <alignment vertical="center"/>
    </xf>
    <xf numFmtId="0" fontId="149" fillId="6" borderId="2" xfId="0" applyFont="1" applyFill="1" applyBorder="1" applyAlignment="1" applyProtection="1">
      <alignment horizontal="center" vertical="center"/>
    </xf>
    <xf numFmtId="0" fontId="149" fillId="6" borderId="5" xfId="0"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0" fontId="76" fillId="6" borderId="16" xfId="0" applyFont="1" applyFill="1" applyBorder="1" applyAlignment="1" applyProtection="1">
      <alignment vertical="center"/>
    </xf>
    <xf numFmtId="0" fontId="76" fillId="6" borderId="0" xfId="0" applyFont="1" applyFill="1" applyProtection="1">
      <alignment vertical="center"/>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277" fillId="0" borderId="2" xfId="0" applyFont="1" applyBorder="1" applyAlignment="1">
      <alignment horizontal="center" vertical="center" wrapText="1"/>
    </xf>
    <xf numFmtId="0" fontId="0" fillId="0" borderId="0" xfId="0" applyAlignment="1">
      <alignment horizontal="center" vertical="center"/>
    </xf>
    <xf numFmtId="0" fontId="145" fillId="0" borderId="0" xfId="0" applyFont="1" applyAlignment="1">
      <alignment horizontal="center" vertical="center"/>
    </xf>
    <xf numFmtId="0" fontId="277" fillId="9" borderId="2" xfId="0" applyFont="1" applyFill="1" applyBorder="1" applyAlignment="1">
      <alignment horizontal="center" vertical="center" wrapText="1"/>
    </xf>
    <xf numFmtId="0" fontId="277" fillId="17" borderId="2"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81" fillId="0" borderId="18" xfId="0" applyFont="1" applyFill="1" applyBorder="1" applyAlignment="1">
      <alignment horizontal="center" vertical="center" wrapText="1"/>
    </xf>
    <xf numFmtId="0" fontId="277" fillId="9" borderId="5" xfId="0" applyFont="1" applyFill="1" applyBorder="1" applyAlignment="1">
      <alignment horizontal="center" vertical="center" wrapText="1"/>
    </xf>
    <xf numFmtId="0" fontId="277" fillId="17" borderId="21" xfId="0" applyFont="1" applyFill="1" applyBorder="1" applyAlignment="1">
      <alignment horizontal="center" vertical="center" wrapText="1"/>
    </xf>
    <xf numFmtId="0" fontId="279" fillId="20" borderId="2"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80" fillId="7" borderId="2" xfId="0" applyFont="1" applyFill="1" applyBorder="1" applyAlignment="1">
      <alignment horizontal="center" vertical="center" wrapText="1"/>
    </xf>
    <xf numFmtId="0" fontId="282" fillId="9" borderId="2" xfId="0" applyFont="1" applyFill="1" applyBorder="1" applyAlignment="1">
      <alignment horizontal="center" vertical="center" wrapText="1"/>
    </xf>
    <xf numFmtId="0" fontId="0" fillId="15" borderId="2" xfId="0" applyFill="1" applyBorder="1" applyAlignment="1">
      <alignment horizontal="center" vertical="center"/>
    </xf>
    <xf numFmtId="0" fontId="0" fillId="9" borderId="2" xfId="0" applyFill="1" applyBorder="1" applyAlignment="1">
      <alignment horizontal="center" vertical="center"/>
    </xf>
    <xf numFmtId="0" fontId="280" fillId="9" borderId="2" xfId="0" applyFont="1" applyFill="1" applyBorder="1" applyAlignment="1">
      <alignment horizontal="center" vertical="center" wrapText="1"/>
    </xf>
    <xf numFmtId="0" fontId="282" fillId="20" borderId="0" xfId="0" applyFont="1" applyFill="1" applyBorder="1" applyAlignment="1">
      <alignment horizontal="center" vertical="center" wrapText="1"/>
    </xf>
    <xf numFmtId="0" fontId="282" fillId="7" borderId="0" xfId="0" applyFont="1" applyFill="1" applyBorder="1" applyAlignment="1">
      <alignment horizontal="center" vertical="center" wrapText="1"/>
    </xf>
    <xf numFmtId="0" fontId="282" fillId="20" borderId="5" xfId="0" applyFont="1" applyFill="1" applyBorder="1" applyAlignment="1">
      <alignment horizontal="center" vertical="center" wrapText="1"/>
    </xf>
    <xf numFmtId="0" fontId="146" fillId="20" borderId="2" xfId="0" applyFont="1" applyFill="1" applyBorder="1" applyAlignment="1">
      <alignment horizontal="center" vertical="center"/>
    </xf>
    <xf numFmtId="0" fontId="280" fillId="17" borderId="0" xfId="0" applyFont="1" applyFill="1" applyBorder="1" applyAlignment="1">
      <alignment horizontal="center" vertical="center" wrapText="1"/>
    </xf>
    <xf numFmtId="0" fontId="280" fillId="7" borderId="0" xfId="0" applyFont="1" applyFill="1" applyBorder="1" applyAlignment="1">
      <alignment horizontal="center" vertical="center" wrapText="1"/>
    </xf>
    <xf numFmtId="0" fontId="280" fillId="17" borderId="5" xfId="0" applyFont="1" applyFill="1" applyBorder="1" applyAlignment="1">
      <alignment horizontal="center" vertical="center" wrapText="1"/>
    </xf>
    <xf numFmtId="0" fontId="0" fillId="6" borderId="2" xfId="0" applyFill="1" applyBorder="1" applyAlignment="1">
      <alignment horizontal="center" vertical="center"/>
    </xf>
    <xf numFmtId="0" fontId="0" fillId="17" borderId="2" xfId="0" applyFill="1" applyBorder="1" applyAlignment="1">
      <alignment horizontal="center" vertical="center"/>
    </xf>
    <xf numFmtId="0" fontId="0" fillId="17" borderId="0" xfId="0" applyFill="1" applyAlignment="1">
      <alignment horizontal="center" vertical="center"/>
    </xf>
    <xf numFmtId="0" fontId="145" fillId="17" borderId="2" xfId="0" applyFont="1" applyFill="1" applyBorder="1" applyAlignment="1">
      <alignment horizontal="center" vertical="center"/>
    </xf>
    <xf numFmtId="0" fontId="0" fillId="15" borderId="5" xfId="0" applyFill="1" applyBorder="1" applyAlignment="1">
      <alignment horizontal="center" vertical="center"/>
    </xf>
    <xf numFmtId="0" fontId="146" fillId="19" borderId="2" xfId="0" applyFont="1" applyFill="1" applyBorder="1" applyAlignment="1">
      <alignment horizontal="center" vertical="center"/>
    </xf>
    <xf numFmtId="0" fontId="146" fillId="14" borderId="2" xfId="0" applyFont="1" applyFill="1" applyBorder="1" applyAlignment="1">
      <alignment horizontal="center"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3" fillId="0" borderId="2" xfId="0" applyFont="1" applyBorder="1" applyAlignment="1" applyProtection="1">
      <alignment horizontal="center" vertical="center" wrapText="1"/>
      <protection locked="0"/>
    </xf>
    <xf numFmtId="177" fontId="283" fillId="0" borderId="2" xfId="2" applyNumberFormat="1" applyFont="1" applyFill="1" applyBorder="1" applyAlignment="1" applyProtection="1">
      <alignment horizontal="center" vertical="center"/>
      <protection locked="0" hidden="1"/>
    </xf>
    <xf numFmtId="177" fontId="283" fillId="0" borderId="2" xfId="2" applyNumberFormat="1" applyFont="1" applyFill="1" applyBorder="1" applyAlignment="1" applyProtection="1">
      <alignment horizontal="center" vertical="center"/>
      <protection locked="0"/>
    </xf>
    <xf numFmtId="0" fontId="149" fillId="0" borderId="0" xfId="0" applyFont="1" applyProtection="1">
      <alignment vertical="center"/>
      <protection locked="0"/>
    </xf>
    <xf numFmtId="0" fontId="149" fillId="0" borderId="5" xfId="0" applyFont="1" applyBorder="1" applyAlignment="1" applyProtection="1">
      <alignment horizontal="center" vertical="center"/>
      <protection locked="0"/>
    </xf>
    <xf numFmtId="0" fontId="167" fillId="0" borderId="10" xfId="0" applyFont="1" applyBorder="1" applyAlignment="1" applyProtection="1">
      <alignment horizontal="center" vertical="center"/>
      <protection locked="0"/>
    </xf>
    <xf numFmtId="0" fontId="167" fillId="0" borderId="0" xfId="0" applyFont="1" applyBorder="1" applyAlignment="1" applyProtection="1">
      <alignment horizontal="center" vertical="center"/>
      <protection locked="0"/>
    </xf>
    <xf numFmtId="0" fontId="149" fillId="0" borderId="0" xfId="0" applyFont="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7" fillId="0" borderId="75" xfId="0" applyNumberFormat="1" applyFont="1" applyFill="1" applyBorder="1" applyAlignment="1" applyProtection="1">
      <alignment horizontal="center" vertical="center" wrapText="1"/>
      <protection locked="0"/>
    </xf>
    <xf numFmtId="0" fontId="81" fillId="0" borderId="75"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284" fillId="6" borderId="2" xfId="0" applyFont="1" applyFill="1" applyBorder="1" applyAlignment="1">
      <alignment horizontal="center" vertical="center" wrapText="1"/>
    </xf>
    <xf numFmtId="0" fontId="0" fillId="6" borderId="2" xfId="0" applyFill="1" applyBorder="1" applyAlignment="1">
      <alignment vertical="center" wrapText="1"/>
    </xf>
    <xf numFmtId="0" fontId="145" fillId="6" borderId="2" xfId="0" applyFont="1" applyFill="1" applyBorder="1" applyAlignment="1">
      <alignment vertical="center" wrapText="1"/>
    </xf>
    <xf numFmtId="0" fontId="0" fillId="0" borderId="0" xfId="0" applyFill="1" applyBorder="1">
      <alignment vertical="center"/>
    </xf>
    <xf numFmtId="0" fontId="145" fillId="0" borderId="0" xfId="0" applyFont="1" applyFill="1" applyBorder="1" applyAlignment="1">
      <alignment vertical="center" wrapText="1"/>
    </xf>
    <xf numFmtId="0" fontId="0" fillId="0" borderId="0" xfId="0" applyFill="1" applyBorder="1" applyAlignment="1">
      <alignment vertical="center" wrapText="1"/>
    </xf>
    <xf numFmtId="0" fontId="195" fillId="0" borderId="2" xfId="0" applyFont="1" applyBorder="1" applyAlignment="1">
      <alignment vertical="center" wrapText="1"/>
    </xf>
    <xf numFmtId="0" fontId="176" fillId="0" borderId="2" xfId="0" applyFont="1" applyBorder="1" applyAlignment="1">
      <alignment horizontal="center" vertical="center" wrapText="1"/>
    </xf>
    <xf numFmtId="0" fontId="176" fillId="0" borderId="12" xfId="0" applyFont="1" applyBorder="1" applyAlignment="1">
      <alignment horizontal="center" vertical="center" wrapText="1"/>
    </xf>
    <xf numFmtId="0" fontId="176" fillId="0" borderId="44" xfId="0" applyFont="1" applyBorder="1" applyAlignment="1">
      <alignment horizontal="center" vertical="center" wrapText="1"/>
    </xf>
    <xf numFmtId="0" fontId="176" fillId="0" borderId="46" xfId="0" applyFont="1" applyBorder="1" applyAlignment="1">
      <alignment horizontal="center" vertical="center" wrapText="1"/>
    </xf>
    <xf numFmtId="0" fontId="176" fillId="0" borderId="0" xfId="0" applyFont="1" applyBorder="1" applyAlignment="1">
      <alignment horizontal="center" vertical="center" wrapText="1"/>
    </xf>
    <xf numFmtId="0" fontId="195" fillId="0" borderId="82" xfId="0" applyFont="1" applyBorder="1" applyAlignment="1">
      <alignment vertical="center" wrapText="1"/>
    </xf>
    <xf numFmtId="0" fontId="176" fillId="0" borderId="82" xfId="0" applyFont="1" applyBorder="1" applyAlignment="1">
      <alignment horizontal="center" vertical="center" wrapText="1"/>
    </xf>
    <xf numFmtId="10" fontId="84" fillId="5" borderId="2" xfId="0" applyNumberFormat="1" applyFont="1" applyFill="1" applyBorder="1" applyAlignment="1" applyProtection="1">
      <alignment horizontal="center" vertical="center"/>
    </xf>
    <xf numFmtId="0" fontId="165" fillId="21" borderId="21" xfId="3" applyFont="1" applyFill="1" applyBorder="1" applyAlignment="1" applyProtection="1">
      <alignment horizontal="center" vertical="center" wrapText="1"/>
      <protection locked="0"/>
    </xf>
    <xf numFmtId="0" fontId="163" fillId="21" borderId="2" xfId="0" applyFont="1" applyFill="1" applyBorder="1" applyAlignment="1" applyProtection="1">
      <alignment horizontal="center" vertical="center" wrapText="1"/>
      <protection locked="0"/>
    </xf>
    <xf numFmtId="0" fontId="84" fillId="21" borderId="50" xfId="0" applyNumberFormat="1" applyFont="1" applyFill="1" applyBorder="1" applyAlignment="1" applyProtection="1">
      <alignment horizontal="center" vertical="center" wrapText="1"/>
      <protection locked="0"/>
    </xf>
    <xf numFmtId="49" fontId="84" fillId="21" borderId="9" xfId="0" applyNumberFormat="1" applyFont="1" applyFill="1" applyBorder="1" applyAlignment="1" applyProtection="1">
      <alignment horizontal="center" vertical="center" wrapText="1"/>
      <protection locked="0"/>
    </xf>
    <xf numFmtId="49" fontId="84" fillId="21" borderId="11" xfId="0" applyNumberFormat="1" applyFont="1" applyFill="1" applyBorder="1" applyAlignment="1" applyProtection="1">
      <alignment horizontal="center" vertical="center" wrapText="1"/>
      <protection locked="0"/>
    </xf>
    <xf numFmtId="0" fontId="163" fillId="21" borderId="2" xfId="3" applyFont="1" applyFill="1" applyBorder="1" applyAlignment="1" applyProtection="1">
      <alignment horizontal="center" vertical="center" wrapText="1"/>
      <protection locked="0"/>
    </xf>
    <xf numFmtId="0" fontId="84" fillId="21" borderId="1" xfId="0" applyFont="1" applyFill="1" applyBorder="1" applyAlignment="1" applyProtection="1">
      <alignment horizontal="center" vertical="center" wrapText="1"/>
      <protection locked="0"/>
    </xf>
    <xf numFmtId="0" fontId="84" fillId="21" borderId="11" xfId="0" applyFont="1" applyFill="1" applyBorder="1" applyAlignment="1" applyProtection="1">
      <alignment horizontal="center" vertical="center" wrapText="1"/>
      <protection locked="0"/>
    </xf>
    <xf numFmtId="182" fontId="149" fillId="0" borderId="2" xfId="3" applyNumberFormat="1" applyFont="1" applyBorder="1" applyAlignment="1" applyProtection="1">
      <alignment horizontal="center" vertical="center"/>
      <protection locked="0"/>
    </xf>
    <xf numFmtId="0" fontId="84" fillId="21" borderId="2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22" borderId="22"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76" fillId="6" borderId="82" xfId="0" applyFont="1" applyFill="1" applyBorder="1" applyAlignment="1">
      <alignment horizontal="center" vertical="center" wrapText="1"/>
    </xf>
    <xf numFmtId="0" fontId="176" fillId="9" borderId="82" xfId="0"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0" xfId="0" applyFont="1" applyAlignment="1">
      <alignment horizontal="center" vertical="center"/>
    </xf>
    <xf numFmtId="0" fontId="0" fillId="0" borderId="0" xfId="0" applyAlignment="1">
      <alignment horizontal="center" vertical="center"/>
    </xf>
    <xf numFmtId="0" fontId="0" fillId="0" borderId="19" xfId="0" applyBorder="1" applyAlignment="1">
      <alignment horizontal="center" vertical="center"/>
    </xf>
    <xf numFmtId="0" fontId="279" fillId="0" borderId="0" xfId="0" applyFont="1" applyBorder="1" applyAlignment="1">
      <alignment horizontal="left" vertical="center" wrapText="1"/>
    </xf>
    <xf numFmtId="0" fontId="277" fillId="0" borderId="0" xfId="0" applyFont="1" applyBorder="1" applyAlignment="1">
      <alignment horizontal="left"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0" fillId="6" borderId="10" xfId="0" applyFill="1" applyBorder="1" applyAlignment="1">
      <alignment horizontal="center" vertical="center"/>
    </xf>
    <xf numFmtId="0" fontId="0" fillId="6" borderId="21" xfId="0" applyFill="1" applyBorder="1" applyAlignment="1">
      <alignment horizontal="center" vertical="center"/>
    </xf>
    <xf numFmtId="0" fontId="287" fillId="0" borderId="26" xfId="0" applyFont="1" applyFill="1" applyBorder="1" applyAlignment="1">
      <alignment horizontal="center" vertical="center" wrapText="1"/>
    </xf>
    <xf numFmtId="0" fontId="287" fillId="0" borderId="28" xfId="0" applyFont="1" applyFill="1" applyBorder="1" applyAlignment="1">
      <alignment horizontal="center" vertical="center" wrapText="1"/>
    </xf>
    <xf numFmtId="0" fontId="287" fillId="0" borderId="39" xfId="0" applyFont="1" applyFill="1" applyBorder="1" applyAlignment="1">
      <alignment horizontal="center" vertical="center" wrapText="1"/>
    </xf>
    <xf numFmtId="0" fontId="287" fillId="0" borderId="87" xfId="0" applyFont="1" applyFill="1" applyBorder="1" applyAlignment="1">
      <alignment horizontal="center" vertical="center" wrapText="1"/>
    </xf>
    <xf numFmtId="0" fontId="287" fillId="0" borderId="19" xfId="0" applyFont="1" applyFill="1" applyBorder="1" applyAlignment="1">
      <alignment horizontal="center" vertical="center" wrapText="1"/>
    </xf>
    <xf numFmtId="0" fontId="287" fillId="0" borderId="63" xfId="0" applyFont="1" applyFill="1" applyBorder="1" applyAlignment="1">
      <alignment horizontal="center" vertical="center" wrapText="1"/>
    </xf>
    <xf numFmtId="0" fontId="145" fillId="6" borderId="2"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21" xfId="0" applyFill="1" applyBorder="1" applyAlignment="1">
      <alignment horizontal="center" vertical="center" wrapText="1"/>
    </xf>
    <xf numFmtId="0" fontId="145"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195" fillId="0" borderId="82" xfId="0" applyFont="1" applyBorder="1" applyAlignment="1">
      <alignment horizontal="center" vertical="center" wrapText="1"/>
    </xf>
    <xf numFmtId="0" fontId="286" fillId="0" borderId="10" xfId="0" applyFont="1" applyBorder="1" applyAlignment="1">
      <alignment horizontal="center" vertical="center" wrapText="1"/>
    </xf>
    <xf numFmtId="0" fontId="286" fillId="0" borderId="3" xfId="0" applyFont="1" applyBorder="1" applyAlignment="1">
      <alignment horizontal="center" vertical="center" wrapText="1"/>
    </xf>
    <xf numFmtId="0" fontId="286" fillId="0" borderId="21" xfId="0" applyFont="1" applyBorder="1" applyAlignment="1">
      <alignment horizontal="center" vertical="center" wrapText="1"/>
    </xf>
    <xf numFmtId="0" fontId="286" fillId="0" borderId="25" xfId="0" applyFont="1" applyBorder="1" applyAlignment="1">
      <alignment horizontal="center" vertical="center" wrapText="1"/>
    </xf>
    <xf numFmtId="0" fontId="286" fillId="0" borderId="52" xfId="0" applyFont="1" applyBorder="1" applyAlignment="1">
      <alignment horizontal="center" vertical="center" wrapText="1"/>
    </xf>
    <xf numFmtId="0" fontId="286" fillId="0" borderId="51" xfId="0" applyFont="1" applyBorder="1" applyAlignment="1">
      <alignment horizontal="center" vertical="center" wrapText="1"/>
    </xf>
    <xf numFmtId="0" fontId="286" fillId="0" borderId="82" xfId="0" applyFont="1" applyBorder="1" applyAlignment="1">
      <alignment horizontal="center" vertical="center" wrapText="1"/>
    </xf>
    <xf numFmtId="0" fontId="286" fillId="0" borderId="0" xfId="0" applyFont="1" applyBorder="1" applyAlignment="1">
      <alignment horizontal="center" vertical="center" wrapText="1"/>
    </xf>
    <xf numFmtId="0" fontId="287" fillId="0" borderId="0" xfId="0" applyFont="1" applyFill="1" applyBorder="1" applyAlignment="1">
      <alignment horizontal="center" vertical="center" wrapText="1"/>
    </xf>
    <xf numFmtId="0" fontId="195" fillId="0" borderId="43" xfId="0" applyFont="1" applyBorder="1" applyAlignment="1">
      <alignment horizontal="center" vertical="center" wrapText="1"/>
    </xf>
    <xf numFmtId="0" fontId="195" fillId="0" borderId="44" xfId="0" applyFont="1" applyBorder="1" applyAlignment="1">
      <alignment horizontal="center" vertical="center" wrapText="1"/>
    </xf>
    <xf numFmtId="0" fontId="195" fillId="0" borderId="11" xfId="0" applyFont="1" applyBorder="1" applyAlignment="1">
      <alignment horizontal="center" vertical="center" wrapText="1"/>
    </xf>
    <xf numFmtId="0" fontId="286" fillId="0" borderId="11" xfId="0" applyFont="1" applyBorder="1" applyAlignment="1">
      <alignment horizontal="center" vertical="center" wrapText="1"/>
    </xf>
    <xf numFmtId="0" fontId="286" fillId="0" borderId="2" xfId="0" applyFont="1" applyBorder="1" applyAlignment="1">
      <alignment horizontal="center" vertical="center" wrapText="1"/>
    </xf>
    <xf numFmtId="0" fontId="286" fillId="0" borderId="35" xfId="0" applyFont="1" applyBorder="1" applyAlignment="1">
      <alignment horizontal="center" vertical="center" wrapText="1"/>
    </xf>
    <xf numFmtId="0" fontId="286" fillId="0" borderId="79" xfId="0" applyFont="1" applyBorder="1" applyAlignment="1">
      <alignment horizontal="center" vertical="center" wrapText="1"/>
    </xf>
    <xf numFmtId="0" fontId="286" fillId="0" borderId="80" xfId="0" applyFont="1"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50.png"/><Relationship Id="rId3" Type="http://schemas.openxmlformats.org/officeDocument/2006/relationships/image" Target="../media/image27.png"/><Relationship Id="rId21" Type="http://schemas.openxmlformats.org/officeDocument/2006/relationships/image" Target="../media/image45.png"/><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9.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8.png"/><Relationship Id="rId5" Type="http://schemas.openxmlformats.org/officeDocument/2006/relationships/image" Target="../media/image29.png"/><Relationship Id="rId15" Type="http://schemas.openxmlformats.org/officeDocument/2006/relationships/image" Target="../media/image39.png"/><Relationship Id="rId23"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png"/><Relationship Id="rId27"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1</xdr:row>
      <xdr:rowOff>104775</xdr:rowOff>
    </xdr:from>
    <xdr:to>
      <xdr:col>13</xdr:col>
      <xdr:colOff>361072</xdr:colOff>
      <xdr:row>22</xdr:row>
      <xdr:rowOff>199532</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0" y="381000"/>
          <a:ext cx="7028572" cy="3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408334</xdr:colOff>
      <xdr:row>34</xdr:row>
      <xdr:rowOff>118977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9933334" cy="6133334"/>
        </a:xfrm>
        <a:prstGeom prst="rect">
          <a:avLst/>
        </a:prstGeom>
      </xdr:spPr>
    </xdr:pic>
    <xdr:clientData/>
  </xdr:twoCellAnchor>
  <xdr:twoCellAnchor editAs="oneCell">
    <xdr:from>
      <xdr:col>0</xdr:col>
      <xdr:colOff>0</xdr:colOff>
      <xdr:row>37</xdr:row>
      <xdr:rowOff>0</xdr:rowOff>
    </xdr:from>
    <xdr:to>
      <xdr:col>12</xdr:col>
      <xdr:colOff>397619</xdr:colOff>
      <xdr:row>45</xdr:row>
      <xdr:rowOff>108667</xdr:rowOff>
    </xdr:to>
    <xdr:pic>
      <xdr:nvPicPr>
        <xdr:cNvPr id="9" name="图片 8"/>
        <xdr:cNvPicPr>
          <a:picLocks noChangeAspect="1"/>
        </xdr:cNvPicPr>
      </xdr:nvPicPr>
      <xdr:blipFill>
        <a:blip xmlns:r="http://schemas.openxmlformats.org/officeDocument/2006/relationships" r:embed="rId2"/>
        <a:stretch>
          <a:fillRect/>
        </a:stretch>
      </xdr:blipFill>
      <xdr:spPr>
        <a:xfrm>
          <a:off x="0" y="6545036"/>
          <a:ext cx="8561905" cy="1523810"/>
        </a:xfrm>
        <a:prstGeom prst="rect">
          <a:avLst/>
        </a:prstGeom>
      </xdr:spPr>
    </xdr:pic>
    <xdr:clientData/>
  </xdr:twoCellAnchor>
  <xdr:twoCellAnchor editAs="oneCell">
    <xdr:from>
      <xdr:col>0</xdr:col>
      <xdr:colOff>0</xdr:colOff>
      <xdr:row>46</xdr:row>
      <xdr:rowOff>0</xdr:rowOff>
    </xdr:from>
    <xdr:to>
      <xdr:col>12</xdr:col>
      <xdr:colOff>456115</xdr:colOff>
      <xdr:row>58</xdr:row>
      <xdr:rowOff>133076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7886700"/>
          <a:ext cx="8685715" cy="2190476"/>
        </a:xfrm>
        <a:prstGeom prst="rect">
          <a:avLst/>
        </a:prstGeom>
      </xdr:spPr>
    </xdr:pic>
    <xdr:clientData/>
  </xdr:twoCellAnchor>
  <xdr:twoCellAnchor editAs="oneCell">
    <xdr:from>
      <xdr:col>0</xdr:col>
      <xdr:colOff>0</xdr:colOff>
      <xdr:row>59</xdr:row>
      <xdr:rowOff>0</xdr:rowOff>
    </xdr:from>
    <xdr:to>
      <xdr:col>12</xdr:col>
      <xdr:colOff>437067</xdr:colOff>
      <xdr:row>67</xdr:row>
      <xdr:rowOff>161733</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0115550"/>
          <a:ext cx="8666667" cy="1533333"/>
        </a:xfrm>
        <a:prstGeom prst="rect">
          <a:avLst/>
        </a:prstGeom>
      </xdr:spPr>
    </xdr:pic>
    <xdr:clientData/>
  </xdr:twoCellAnchor>
  <xdr:twoCellAnchor editAs="oneCell">
    <xdr:from>
      <xdr:col>0</xdr:col>
      <xdr:colOff>0</xdr:colOff>
      <xdr:row>68</xdr:row>
      <xdr:rowOff>0</xdr:rowOff>
    </xdr:from>
    <xdr:to>
      <xdr:col>12</xdr:col>
      <xdr:colOff>456115</xdr:colOff>
      <xdr:row>79</xdr:row>
      <xdr:rowOff>171193</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11658600"/>
          <a:ext cx="8685715" cy="2057143"/>
        </a:xfrm>
        <a:prstGeom prst="rect">
          <a:avLst/>
        </a:prstGeom>
      </xdr:spPr>
    </xdr:pic>
    <xdr:clientData/>
  </xdr:twoCellAnchor>
  <xdr:twoCellAnchor editAs="oneCell">
    <xdr:from>
      <xdr:col>0</xdr:col>
      <xdr:colOff>0</xdr:colOff>
      <xdr:row>80</xdr:row>
      <xdr:rowOff>0</xdr:rowOff>
    </xdr:from>
    <xdr:to>
      <xdr:col>12</xdr:col>
      <xdr:colOff>418020</xdr:colOff>
      <xdr:row>89</xdr:row>
      <xdr:rowOff>104569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3716000"/>
          <a:ext cx="8647620" cy="1647619"/>
        </a:xfrm>
        <a:prstGeom prst="rect">
          <a:avLst/>
        </a:prstGeom>
      </xdr:spPr>
    </xdr:pic>
    <xdr:clientData/>
  </xdr:twoCellAnchor>
  <xdr:twoCellAnchor editAs="oneCell">
    <xdr:from>
      <xdr:col>0</xdr:col>
      <xdr:colOff>0</xdr:colOff>
      <xdr:row>90</xdr:row>
      <xdr:rowOff>0</xdr:rowOff>
    </xdr:from>
    <xdr:to>
      <xdr:col>12</xdr:col>
      <xdr:colOff>541829</xdr:colOff>
      <xdr:row>101</xdr:row>
      <xdr:rowOff>56907</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5430500"/>
          <a:ext cx="8771429" cy="1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142429</xdr:colOff>
      <xdr:row>19</xdr:row>
      <xdr:rowOff>9117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3571429" cy="3266667"/>
        </a:xfrm>
        <a:prstGeom prst="rect">
          <a:avLst/>
        </a:prstGeom>
      </xdr:spPr>
    </xdr:pic>
    <xdr:clientData/>
  </xdr:twoCellAnchor>
  <xdr:twoCellAnchor editAs="oneCell">
    <xdr:from>
      <xdr:col>1</xdr:col>
      <xdr:colOff>0</xdr:colOff>
      <xdr:row>20</xdr:row>
      <xdr:rowOff>0</xdr:rowOff>
    </xdr:from>
    <xdr:to>
      <xdr:col>12</xdr:col>
      <xdr:colOff>513343</xdr:colOff>
      <xdr:row>42</xdr:row>
      <xdr:rowOff>9053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8057143" cy="3780953"/>
        </a:xfrm>
        <a:prstGeom prst="rect">
          <a:avLst/>
        </a:prstGeom>
      </xdr:spPr>
    </xdr:pic>
    <xdr:clientData/>
  </xdr:twoCellAnchor>
  <xdr:twoCellAnchor editAs="oneCell">
    <xdr:from>
      <xdr:col>1</xdr:col>
      <xdr:colOff>0</xdr:colOff>
      <xdr:row>42</xdr:row>
      <xdr:rowOff>0</xdr:rowOff>
    </xdr:from>
    <xdr:to>
      <xdr:col>9</xdr:col>
      <xdr:colOff>685029</xdr:colOff>
      <xdr:row>51</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200900"/>
          <a:ext cx="6171429" cy="1609524"/>
        </a:xfrm>
        <a:prstGeom prst="rect">
          <a:avLst/>
        </a:prstGeom>
      </xdr:spPr>
    </xdr:pic>
    <xdr:clientData/>
  </xdr:twoCellAnchor>
  <xdr:twoCellAnchor editAs="oneCell">
    <xdr:from>
      <xdr:col>13</xdr:col>
      <xdr:colOff>0</xdr:colOff>
      <xdr:row>22</xdr:row>
      <xdr:rowOff>0</xdr:rowOff>
    </xdr:from>
    <xdr:to>
      <xdr:col>25</xdr:col>
      <xdr:colOff>132305</xdr:colOff>
      <xdr:row>34</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771900"/>
          <a:ext cx="8361905" cy="2066667"/>
        </a:xfrm>
        <a:prstGeom prst="rect">
          <a:avLst/>
        </a:prstGeom>
      </xdr:spPr>
    </xdr:pic>
    <xdr:clientData/>
  </xdr:twoCellAnchor>
  <xdr:twoCellAnchor editAs="oneCell">
    <xdr:from>
      <xdr:col>1</xdr:col>
      <xdr:colOff>0</xdr:colOff>
      <xdr:row>53</xdr:row>
      <xdr:rowOff>0</xdr:rowOff>
    </xdr:from>
    <xdr:to>
      <xdr:col>13</xdr:col>
      <xdr:colOff>303734</xdr:colOff>
      <xdr:row>77</xdr:row>
      <xdr:rowOff>37581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9086850"/>
          <a:ext cx="8533334" cy="4152381"/>
        </a:xfrm>
        <a:prstGeom prst="rect">
          <a:avLst/>
        </a:prstGeom>
      </xdr:spPr>
    </xdr:pic>
    <xdr:clientData/>
  </xdr:twoCellAnchor>
  <xdr:twoCellAnchor editAs="oneCell">
    <xdr:from>
      <xdr:col>1</xdr:col>
      <xdr:colOff>0</xdr:colOff>
      <xdr:row>78</xdr:row>
      <xdr:rowOff>0</xdr:rowOff>
    </xdr:from>
    <xdr:to>
      <xdr:col>9</xdr:col>
      <xdr:colOff>485029</xdr:colOff>
      <xdr:row>86</xdr:row>
      <xdr:rowOff>142686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3373100"/>
          <a:ext cx="5971429" cy="1514286"/>
        </a:xfrm>
        <a:prstGeom prst="rect">
          <a:avLst/>
        </a:prstGeom>
      </xdr:spPr>
    </xdr:pic>
    <xdr:clientData/>
  </xdr:twoCellAnchor>
  <xdr:twoCellAnchor editAs="oneCell">
    <xdr:from>
      <xdr:col>1</xdr:col>
      <xdr:colOff>0</xdr:colOff>
      <xdr:row>87</xdr:row>
      <xdr:rowOff>0</xdr:rowOff>
    </xdr:from>
    <xdr:to>
      <xdr:col>13</xdr:col>
      <xdr:colOff>294210</xdr:colOff>
      <xdr:row>111</xdr:row>
      <xdr:rowOff>18534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4916150"/>
          <a:ext cx="8523810" cy="4133334"/>
        </a:xfrm>
        <a:prstGeom prst="rect">
          <a:avLst/>
        </a:prstGeom>
      </xdr:spPr>
    </xdr:pic>
    <xdr:clientData/>
  </xdr:twoCellAnchor>
  <xdr:twoCellAnchor editAs="oneCell">
    <xdr:from>
      <xdr:col>1</xdr:col>
      <xdr:colOff>0</xdr:colOff>
      <xdr:row>111</xdr:row>
      <xdr:rowOff>0</xdr:rowOff>
    </xdr:from>
    <xdr:to>
      <xdr:col>9</xdr:col>
      <xdr:colOff>599315</xdr:colOff>
      <xdr:row>120</xdr:row>
      <xdr:rowOff>123617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9030950"/>
          <a:ext cx="6085715" cy="1666667"/>
        </a:xfrm>
        <a:prstGeom prst="rect">
          <a:avLst/>
        </a:prstGeom>
      </xdr:spPr>
    </xdr:pic>
    <xdr:clientData/>
  </xdr:twoCellAnchor>
  <xdr:twoCellAnchor editAs="oneCell">
    <xdr:from>
      <xdr:col>1</xdr:col>
      <xdr:colOff>0</xdr:colOff>
      <xdr:row>121</xdr:row>
      <xdr:rowOff>0</xdr:rowOff>
    </xdr:from>
    <xdr:to>
      <xdr:col>13</xdr:col>
      <xdr:colOff>122782</xdr:colOff>
      <xdr:row>146</xdr:row>
      <xdr:rowOff>94703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20745450"/>
          <a:ext cx="8352382" cy="4380953"/>
        </a:xfrm>
        <a:prstGeom prst="rect">
          <a:avLst/>
        </a:prstGeom>
      </xdr:spPr>
    </xdr:pic>
    <xdr:clientData/>
  </xdr:twoCellAnchor>
  <xdr:twoCellAnchor editAs="oneCell">
    <xdr:from>
      <xdr:col>1</xdr:col>
      <xdr:colOff>0</xdr:colOff>
      <xdr:row>147</xdr:row>
      <xdr:rowOff>0</xdr:rowOff>
    </xdr:from>
    <xdr:to>
      <xdr:col>9</xdr:col>
      <xdr:colOff>561219</xdr:colOff>
      <xdr:row>157</xdr:row>
      <xdr:rowOff>66453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25203150"/>
          <a:ext cx="6047619" cy="1780953"/>
        </a:xfrm>
        <a:prstGeom prst="rect">
          <a:avLst/>
        </a:prstGeom>
      </xdr:spPr>
    </xdr:pic>
    <xdr:clientData/>
  </xdr:twoCellAnchor>
  <xdr:twoCellAnchor editAs="oneCell">
    <xdr:from>
      <xdr:col>1</xdr:col>
      <xdr:colOff>0</xdr:colOff>
      <xdr:row>158</xdr:row>
      <xdr:rowOff>0</xdr:rowOff>
    </xdr:from>
    <xdr:to>
      <xdr:col>13</xdr:col>
      <xdr:colOff>27543</xdr:colOff>
      <xdr:row>185</xdr:row>
      <xdr:rowOff>85136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27089100"/>
          <a:ext cx="8257143" cy="4714286"/>
        </a:xfrm>
        <a:prstGeom prst="rect">
          <a:avLst/>
        </a:prstGeom>
      </xdr:spPr>
    </xdr:pic>
    <xdr:clientData/>
  </xdr:twoCellAnchor>
  <xdr:twoCellAnchor editAs="oneCell">
    <xdr:from>
      <xdr:col>1</xdr:col>
      <xdr:colOff>0</xdr:colOff>
      <xdr:row>186</xdr:row>
      <xdr:rowOff>0</xdr:rowOff>
    </xdr:from>
    <xdr:to>
      <xdr:col>10</xdr:col>
      <xdr:colOff>113515</xdr:colOff>
      <xdr:row>196</xdr:row>
      <xdr:rowOff>9310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31889700"/>
          <a:ext cx="6285715" cy="1723810"/>
        </a:xfrm>
        <a:prstGeom prst="rect">
          <a:avLst/>
        </a:prstGeom>
      </xdr:spPr>
    </xdr:pic>
    <xdr:clientData/>
  </xdr:twoCellAnchor>
  <xdr:twoCellAnchor editAs="oneCell">
    <xdr:from>
      <xdr:col>13</xdr:col>
      <xdr:colOff>0</xdr:colOff>
      <xdr:row>160</xdr:row>
      <xdr:rowOff>0</xdr:rowOff>
    </xdr:from>
    <xdr:to>
      <xdr:col>18</xdr:col>
      <xdr:colOff>456715</xdr:colOff>
      <xdr:row>178</xdr:row>
      <xdr:rowOff>28186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915400" y="27432000"/>
          <a:ext cx="3885715" cy="3114286"/>
        </a:xfrm>
        <a:prstGeom prst="rect">
          <a:avLst/>
        </a:prstGeom>
      </xdr:spPr>
    </xdr:pic>
    <xdr:clientData/>
  </xdr:twoCellAnchor>
  <xdr:twoCellAnchor editAs="oneCell">
    <xdr:from>
      <xdr:col>1</xdr:col>
      <xdr:colOff>0</xdr:colOff>
      <xdr:row>198</xdr:row>
      <xdr:rowOff>0</xdr:rowOff>
    </xdr:from>
    <xdr:to>
      <xdr:col>12</xdr:col>
      <xdr:colOff>637153</xdr:colOff>
      <xdr:row>221</xdr:row>
      <xdr:rowOff>47126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33947100"/>
          <a:ext cx="8180953" cy="3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37581</xdr:colOff>
      <xdr:row>19</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52381" cy="3390476"/>
        </a:xfrm>
        <a:prstGeom prst="rect">
          <a:avLst/>
        </a:prstGeom>
      </xdr:spPr>
    </xdr:pic>
    <xdr:clientData/>
  </xdr:twoCellAnchor>
  <xdr:twoCellAnchor editAs="oneCell">
    <xdr:from>
      <xdr:col>6</xdr:col>
      <xdr:colOff>0</xdr:colOff>
      <xdr:row>0</xdr:row>
      <xdr:rowOff>0</xdr:rowOff>
    </xdr:from>
    <xdr:to>
      <xdr:col>12</xdr:col>
      <xdr:colOff>94724</xdr:colOff>
      <xdr:row>21</xdr:row>
      <xdr:rowOff>66217</xdr:rowOff>
    </xdr:to>
    <xdr:pic>
      <xdr:nvPicPr>
        <xdr:cNvPr id="4" name="图片 3"/>
        <xdr:cNvPicPr>
          <a:picLocks noChangeAspect="1"/>
        </xdr:cNvPicPr>
      </xdr:nvPicPr>
      <xdr:blipFill>
        <a:blip xmlns:r="http://schemas.openxmlformats.org/officeDocument/2006/relationships" r:embed="rId2"/>
        <a:stretch>
          <a:fillRect/>
        </a:stretch>
      </xdr:blipFill>
      <xdr:spPr>
        <a:xfrm>
          <a:off x="4114800" y="0"/>
          <a:ext cx="4209524" cy="3666667"/>
        </a:xfrm>
        <a:prstGeom prst="rect">
          <a:avLst/>
        </a:prstGeom>
      </xdr:spPr>
    </xdr:pic>
    <xdr:clientData/>
  </xdr:twoCellAnchor>
  <xdr:twoCellAnchor editAs="oneCell">
    <xdr:from>
      <xdr:col>12</xdr:col>
      <xdr:colOff>0</xdr:colOff>
      <xdr:row>0</xdr:row>
      <xdr:rowOff>0</xdr:rowOff>
    </xdr:from>
    <xdr:to>
      <xdr:col>18</xdr:col>
      <xdr:colOff>56629</xdr:colOff>
      <xdr:row>20</xdr:row>
      <xdr:rowOff>171000</xdr:rowOff>
    </xdr:to>
    <xdr:pic>
      <xdr:nvPicPr>
        <xdr:cNvPr id="5" name="图片 4"/>
        <xdr:cNvPicPr>
          <a:picLocks noChangeAspect="1"/>
        </xdr:cNvPicPr>
      </xdr:nvPicPr>
      <xdr:blipFill>
        <a:blip xmlns:r="http://schemas.openxmlformats.org/officeDocument/2006/relationships" r:embed="rId3"/>
        <a:stretch>
          <a:fillRect/>
        </a:stretch>
      </xdr:blipFill>
      <xdr:spPr>
        <a:xfrm>
          <a:off x="8229600" y="0"/>
          <a:ext cx="4171429" cy="3600000"/>
        </a:xfrm>
        <a:prstGeom prst="rect">
          <a:avLst/>
        </a:prstGeom>
      </xdr:spPr>
    </xdr:pic>
    <xdr:clientData/>
  </xdr:twoCellAnchor>
  <xdr:twoCellAnchor editAs="oneCell">
    <xdr:from>
      <xdr:col>0</xdr:col>
      <xdr:colOff>0</xdr:colOff>
      <xdr:row>19</xdr:row>
      <xdr:rowOff>104775</xdr:rowOff>
    </xdr:from>
    <xdr:to>
      <xdr:col>6</xdr:col>
      <xdr:colOff>66153</xdr:colOff>
      <xdr:row>40</xdr:row>
      <xdr:rowOff>151944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3362325"/>
          <a:ext cx="4180953" cy="3647619"/>
        </a:xfrm>
        <a:prstGeom prst="rect">
          <a:avLst/>
        </a:prstGeom>
      </xdr:spPr>
    </xdr:pic>
    <xdr:clientData/>
  </xdr:twoCellAnchor>
  <xdr:twoCellAnchor editAs="oneCell">
    <xdr:from>
      <xdr:col>5</xdr:col>
      <xdr:colOff>647700</xdr:colOff>
      <xdr:row>21</xdr:row>
      <xdr:rowOff>66675</xdr:rowOff>
    </xdr:from>
    <xdr:to>
      <xdr:col>12</xdr:col>
      <xdr:colOff>56624</xdr:colOff>
      <xdr:row>42</xdr:row>
      <xdr:rowOff>170987</xdr:rowOff>
    </xdr:to>
    <xdr:pic>
      <xdr:nvPicPr>
        <xdr:cNvPr id="7" name="图片 6"/>
        <xdr:cNvPicPr>
          <a:picLocks noChangeAspect="1"/>
        </xdr:cNvPicPr>
      </xdr:nvPicPr>
      <xdr:blipFill>
        <a:blip xmlns:r="http://schemas.openxmlformats.org/officeDocument/2006/relationships" r:embed="rId5"/>
        <a:stretch>
          <a:fillRect/>
        </a:stretch>
      </xdr:blipFill>
      <xdr:spPr>
        <a:xfrm>
          <a:off x="4076700" y="3667125"/>
          <a:ext cx="4209524" cy="3704762"/>
        </a:xfrm>
        <a:prstGeom prst="rect">
          <a:avLst/>
        </a:prstGeom>
      </xdr:spPr>
    </xdr:pic>
    <xdr:clientData/>
  </xdr:twoCellAnchor>
  <xdr:twoCellAnchor editAs="oneCell">
    <xdr:from>
      <xdr:col>0</xdr:col>
      <xdr:colOff>0</xdr:colOff>
      <xdr:row>44</xdr:row>
      <xdr:rowOff>0</xdr:rowOff>
    </xdr:from>
    <xdr:to>
      <xdr:col>10</xdr:col>
      <xdr:colOff>389620</xdr:colOff>
      <xdr:row>67</xdr:row>
      <xdr:rowOff>113793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7543800"/>
          <a:ext cx="7247620" cy="4057143"/>
        </a:xfrm>
        <a:prstGeom prst="rect">
          <a:avLst/>
        </a:prstGeom>
      </xdr:spPr>
    </xdr:pic>
    <xdr:clientData/>
  </xdr:twoCellAnchor>
  <xdr:twoCellAnchor editAs="oneCell">
    <xdr:from>
      <xdr:col>11</xdr:col>
      <xdr:colOff>0</xdr:colOff>
      <xdr:row>44</xdr:row>
      <xdr:rowOff>0</xdr:rowOff>
    </xdr:from>
    <xdr:to>
      <xdr:col>20</xdr:col>
      <xdr:colOff>151610</xdr:colOff>
      <xdr:row>57</xdr:row>
      <xdr:rowOff>123531</xdr:rowOff>
    </xdr:to>
    <xdr:pic>
      <xdr:nvPicPr>
        <xdr:cNvPr id="9" name="图片 8"/>
        <xdr:cNvPicPr>
          <a:picLocks noChangeAspect="1"/>
        </xdr:cNvPicPr>
      </xdr:nvPicPr>
      <xdr:blipFill>
        <a:blip xmlns:r="http://schemas.openxmlformats.org/officeDocument/2006/relationships" r:embed="rId7"/>
        <a:stretch>
          <a:fillRect/>
        </a:stretch>
      </xdr:blipFill>
      <xdr:spPr>
        <a:xfrm>
          <a:off x="7543800" y="7543800"/>
          <a:ext cx="6323810" cy="2352381"/>
        </a:xfrm>
        <a:prstGeom prst="rect">
          <a:avLst/>
        </a:prstGeom>
      </xdr:spPr>
    </xdr:pic>
    <xdr:clientData/>
  </xdr:twoCellAnchor>
  <xdr:twoCellAnchor editAs="oneCell">
    <xdr:from>
      <xdr:col>11</xdr:col>
      <xdr:colOff>0</xdr:colOff>
      <xdr:row>59</xdr:row>
      <xdr:rowOff>0</xdr:rowOff>
    </xdr:from>
    <xdr:to>
      <xdr:col>15</xdr:col>
      <xdr:colOff>332991</xdr:colOff>
      <xdr:row>66</xdr:row>
      <xdr:rowOff>171279</xdr:rowOff>
    </xdr:to>
    <xdr:pic>
      <xdr:nvPicPr>
        <xdr:cNvPr id="10" name="图片 9"/>
        <xdr:cNvPicPr>
          <a:picLocks noChangeAspect="1"/>
        </xdr:cNvPicPr>
      </xdr:nvPicPr>
      <xdr:blipFill>
        <a:blip xmlns:r="http://schemas.openxmlformats.org/officeDocument/2006/relationships" r:embed="rId8"/>
        <a:stretch>
          <a:fillRect/>
        </a:stretch>
      </xdr:blipFill>
      <xdr:spPr>
        <a:xfrm>
          <a:off x="7543800" y="10115550"/>
          <a:ext cx="3076191" cy="1371429"/>
        </a:xfrm>
        <a:prstGeom prst="rect">
          <a:avLst/>
        </a:prstGeom>
      </xdr:spPr>
    </xdr:pic>
    <xdr:clientData/>
  </xdr:twoCellAnchor>
  <xdr:twoCellAnchor editAs="oneCell">
    <xdr:from>
      <xdr:col>0</xdr:col>
      <xdr:colOff>0</xdr:colOff>
      <xdr:row>69</xdr:row>
      <xdr:rowOff>0</xdr:rowOff>
    </xdr:from>
    <xdr:to>
      <xdr:col>10</xdr:col>
      <xdr:colOff>399143</xdr:colOff>
      <xdr:row>90</xdr:row>
      <xdr:rowOff>94788</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1830050"/>
          <a:ext cx="7257143" cy="3695238"/>
        </a:xfrm>
        <a:prstGeom prst="rect">
          <a:avLst/>
        </a:prstGeom>
      </xdr:spPr>
    </xdr:pic>
    <xdr:clientData/>
  </xdr:twoCellAnchor>
  <xdr:twoCellAnchor editAs="oneCell">
    <xdr:from>
      <xdr:col>10</xdr:col>
      <xdr:colOff>0</xdr:colOff>
      <xdr:row>69</xdr:row>
      <xdr:rowOff>0</xdr:rowOff>
    </xdr:from>
    <xdr:to>
      <xdr:col>14</xdr:col>
      <xdr:colOff>161562</xdr:colOff>
      <xdr:row>86</xdr:row>
      <xdr:rowOff>9160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0" y="11830050"/>
          <a:ext cx="2904762" cy="2923810"/>
        </a:xfrm>
        <a:prstGeom prst="rect">
          <a:avLst/>
        </a:prstGeom>
      </xdr:spPr>
    </xdr:pic>
    <xdr:clientData/>
  </xdr:twoCellAnchor>
  <xdr:twoCellAnchor editAs="oneCell">
    <xdr:from>
      <xdr:col>14</xdr:col>
      <xdr:colOff>0</xdr:colOff>
      <xdr:row>69</xdr:row>
      <xdr:rowOff>0</xdr:rowOff>
    </xdr:from>
    <xdr:to>
      <xdr:col>23</xdr:col>
      <xdr:colOff>323039</xdr:colOff>
      <xdr:row>81</xdr:row>
      <xdr:rowOff>94981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9601200" y="11830050"/>
          <a:ext cx="6495239" cy="2152381"/>
        </a:xfrm>
        <a:prstGeom prst="rect">
          <a:avLst/>
        </a:prstGeom>
      </xdr:spPr>
    </xdr:pic>
    <xdr:clientData/>
  </xdr:twoCellAnchor>
  <xdr:twoCellAnchor editAs="oneCell">
    <xdr:from>
      <xdr:col>0</xdr:col>
      <xdr:colOff>0</xdr:colOff>
      <xdr:row>91</xdr:row>
      <xdr:rowOff>0</xdr:rowOff>
    </xdr:from>
    <xdr:to>
      <xdr:col>10</xdr:col>
      <xdr:colOff>218191</xdr:colOff>
      <xdr:row>113</xdr:row>
      <xdr:rowOff>161434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15601950"/>
          <a:ext cx="7076191" cy="3933334"/>
        </a:xfrm>
        <a:prstGeom prst="rect">
          <a:avLst/>
        </a:prstGeom>
      </xdr:spPr>
    </xdr:pic>
    <xdr:clientData/>
  </xdr:twoCellAnchor>
  <xdr:twoCellAnchor editAs="oneCell">
    <xdr:from>
      <xdr:col>10</xdr:col>
      <xdr:colOff>0</xdr:colOff>
      <xdr:row>92</xdr:row>
      <xdr:rowOff>0</xdr:rowOff>
    </xdr:from>
    <xdr:to>
      <xdr:col>18</xdr:col>
      <xdr:colOff>18362</xdr:colOff>
      <xdr:row>105</xdr:row>
      <xdr:rowOff>142579</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0" y="15773400"/>
          <a:ext cx="5504762" cy="2371429"/>
        </a:xfrm>
        <a:prstGeom prst="rect">
          <a:avLst/>
        </a:prstGeom>
      </xdr:spPr>
    </xdr:pic>
    <xdr:clientData/>
  </xdr:twoCellAnchor>
  <xdr:twoCellAnchor editAs="oneCell">
    <xdr:from>
      <xdr:col>10</xdr:col>
      <xdr:colOff>0</xdr:colOff>
      <xdr:row>107</xdr:row>
      <xdr:rowOff>0</xdr:rowOff>
    </xdr:from>
    <xdr:to>
      <xdr:col>19</xdr:col>
      <xdr:colOff>484943</xdr:colOff>
      <xdr:row>118</xdr:row>
      <xdr:rowOff>9288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0" y="18345150"/>
          <a:ext cx="6657143" cy="1895238"/>
        </a:xfrm>
        <a:prstGeom prst="rect">
          <a:avLst/>
        </a:prstGeom>
      </xdr:spPr>
    </xdr:pic>
    <xdr:clientData/>
  </xdr:twoCellAnchor>
  <xdr:twoCellAnchor editAs="oneCell">
    <xdr:from>
      <xdr:col>0</xdr:col>
      <xdr:colOff>0</xdr:colOff>
      <xdr:row>117</xdr:row>
      <xdr:rowOff>0</xdr:rowOff>
    </xdr:from>
    <xdr:to>
      <xdr:col>10</xdr:col>
      <xdr:colOff>84858</xdr:colOff>
      <xdr:row>140</xdr:row>
      <xdr:rowOff>161412</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20059650"/>
          <a:ext cx="6942858" cy="4104762"/>
        </a:xfrm>
        <a:prstGeom prst="rect">
          <a:avLst/>
        </a:prstGeom>
      </xdr:spPr>
    </xdr:pic>
    <xdr:clientData/>
  </xdr:twoCellAnchor>
  <xdr:twoCellAnchor editAs="oneCell">
    <xdr:from>
      <xdr:col>10</xdr:col>
      <xdr:colOff>0</xdr:colOff>
      <xdr:row>119</xdr:row>
      <xdr:rowOff>0</xdr:rowOff>
    </xdr:from>
    <xdr:to>
      <xdr:col>15</xdr:col>
      <xdr:colOff>266238</xdr:colOff>
      <xdr:row>128</xdr:row>
      <xdr:rowOff>85522</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0" y="20402550"/>
          <a:ext cx="3695238" cy="1628572"/>
        </a:xfrm>
        <a:prstGeom prst="rect">
          <a:avLst/>
        </a:prstGeom>
      </xdr:spPr>
    </xdr:pic>
    <xdr:clientData/>
  </xdr:twoCellAnchor>
  <xdr:twoCellAnchor editAs="oneCell">
    <xdr:from>
      <xdr:col>10</xdr:col>
      <xdr:colOff>0</xdr:colOff>
      <xdr:row>128</xdr:row>
      <xdr:rowOff>0</xdr:rowOff>
    </xdr:from>
    <xdr:to>
      <xdr:col>19</xdr:col>
      <xdr:colOff>103991</xdr:colOff>
      <xdr:row>140</xdr:row>
      <xdr:rowOff>133076</xdr:rowOff>
    </xdr:to>
    <xdr:pic>
      <xdr:nvPicPr>
        <xdr:cNvPr id="19" name="图片 18"/>
        <xdr:cNvPicPr>
          <a:picLocks noChangeAspect="1"/>
        </xdr:cNvPicPr>
      </xdr:nvPicPr>
      <xdr:blipFill>
        <a:blip xmlns:r="http://schemas.openxmlformats.org/officeDocument/2006/relationships" r:embed="rId17"/>
        <a:stretch>
          <a:fillRect/>
        </a:stretch>
      </xdr:blipFill>
      <xdr:spPr>
        <a:xfrm>
          <a:off x="6858000" y="21945600"/>
          <a:ext cx="6276191" cy="2190476"/>
        </a:xfrm>
        <a:prstGeom prst="rect">
          <a:avLst/>
        </a:prstGeom>
      </xdr:spPr>
    </xdr:pic>
    <xdr:clientData/>
  </xdr:twoCellAnchor>
  <xdr:twoCellAnchor editAs="oneCell">
    <xdr:from>
      <xdr:col>0</xdr:col>
      <xdr:colOff>0</xdr:colOff>
      <xdr:row>143</xdr:row>
      <xdr:rowOff>0</xdr:rowOff>
    </xdr:from>
    <xdr:to>
      <xdr:col>10</xdr:col>
      <xdr:colOff>437239</xdr:colOff>
      <xdr:row>164</xdr:row>
      <xdr:rowOff>161455</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24517350"/>
          <a:ext cx="7295239" cy="3761905"/>
        </a:xfrm>
        <a:prstGeom prst="rect">
          <a:avLst/>
        </a:prstGeom>
      </xdr:spPr>
    </xdr:pic>
    <xdr:clientData/>
  </xdr:twoCellAnchor>
  <xdr:twoCellAnchor editAs="oneCell">
    <xdr:from>
      <xdr:col>11</xdr:col>
      <xdr:colOff>0</xdr:colOff>
      <xdr:row>143</xdr:row>
      <xdr:rowOff>0</xdr:rowOff>
    </xdr:from>
    <xdr:to>
      <xdr:col>16</xdr:col>
      <xdr:colOff>28143</xdr:colOff>
      <xdr:row>157</xdr:row>
      <xdr:rowOff>47319</xdr:rowOff>
    </xdr:to>
    <xdr:pic>
      <xdr:nvPicPr>
        <xdr:cNvPr id="21" name="图片 20"/>
        <xdr:cNvPicPr>
          <a:picLocks noChangeAspect="1"/>
        </xdr:cNvPicPr>
      </xdr:nvPicPr>
      <xdr:blipFill>
        <a:blip xmlns:r="http://schemas.openxmlformats.org/officeDocument/2006/relationships" r:embed="rId19"/>
        <a:stretch>
          <a:fillRect/>
        </a:stretch>
      </xdr:blipFill>
      <xdr:spPr>
        <a:xfrm>
          <a:off x="7543800" y="24517350"/>
          <a:ext cx="3457143" cy="2447619"/>
        </a:xfrm>
        <a:prstGeom prst="rect">
          <a:avLst/>
        </a:prstGeom>
      </xdr:spPr>
    </xdr:pic>
    <xdr:clientData/>
  </xdr:twoCellAnchor>
  <xdr:twoCellAnchor editAs="oneCell">
    <xdr:from>
      <xdr:col>11</xdr:col>
      <xdr:colOff>47625</xdr:colOff>
      <xdr:row>153</xdr:row>
      <xdr:rowOff>161925</xdr:rowOff>
    </xdr:from>
    <xdr:to>
      <xdr:col>20</xdr:col>
      <xdr:colOff>123044</xdr:colOff>
      <xdr:row>168</xdr:row>
      <xdr:rowOff>28270</xdr:rowOff>
    </xdr:to>
    <xdr:pic>
      <xdr:nvPicPr>
        <xdr:cNvPr id="22" name="图片 21"/>
        <xdr:cNvPicPr>
          <a:picLocks noChangeAspect="1"/>
        </xdr:cNvPicPr>
      </xdr:nvPicPr>
      <xdr:blipFill>
        <a:blip xmlns:r="http://schemas.openxmlformats.org/officeDocument/2006/relationships" r:embed="rId20"/>
        <a:stretch>
          <a:fillRect/>
        </a:stretch>
      </xdr:blipFill>
      <xdr:spPr>
        <a:xfrm>
          <a:off x="7591425" y="26393775"/>
          <a:ext cx="6247619" cy="2438095"/>
        </a:xfrm>
        <a:prstGeom prst="rect">
          <a:avLst/>
        </a:prstGeom>
      </xdr:spPr>
    </xdr:pic>
    <xdr:clientData/>
  </xdr:twoCellAnchor>
  <xdr:twoCellAnchor editAs="oneCell">
    <xdr:from>
      <xdr:col>0</xdr:col>
      <xdr:colOff>0</xdr:colOff>
      <xdr:row>169</xdr:row>
      <xdr:rowOff>0</xdr:rowOff>
    </xdr:from>
    <xdr:to>
      <xdr:col>10</xdr:col>
      <xdr:colOff>475334</xdr:colOff>
      <xdr:row>193</xdr:row>
      <xdr:rowOff>132819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28975050"/>
          <a:ext cx="7333334" cy="4247619"/>
        </a:xfrm>
        <a:prstGeom prst="rect">
          <a:avLst/>
        </a:prstGeom>
      </xdr:spPr>
    </xdr:pic>
    <xdr:clientData/>
  </xdr:twoCellAnchor>
  <xdr:twoCellAnchor editAs="oneCell">
    <xdr:from>
      <xdr:col>11</xdr:col>
      <xdr:colOff>0</xdr:colOff>
      <xdr:row>170</xdr:row>
      <xdr:rowOff>0</xdr:rowOff>
    </xdr:from>
    <xdr:to>
      <xdr:col>19</xdr:col>
      <xdr:colOff>665981</xdr:colOff>
      <xdr:row>188</xdr:row>
      <xdr:rowOff>113900</xdr:rowOff>
    </xdr:to>
    <xdr:pic>
      <xdr:nvPicPr>
        <xdr:cNvPr id="24" name="图片 23"/>
        <xdr:cNvPicPr>
          <a:picLocks noChangeAspect="1"/>
        </xdr:cNvPicPr>
      </xdr:nvPicPr>
      <xdr:blipFill>
        <a:blip xmlns:r="http://schemas.openxmlformats.org/officeDocument/2006/relationships" r:embed="rId22"/>
        <a:stretch>
          <a:fillRect/>
        </a:stretch>
      </xdr:blipFill>
      <xdr:spPr>
        <a:xfrm>
          <a:off x="7543800" y="29146500"/>
          <a:ext cx="6152381" cy="3200000"/>
        </a:xfrm>
        <a:prstGeom prst="rect">
          <a:avLst/>
        </a:prstGeom>
      </xdr:spPr>
    </xdr:pic>
    <xdr:clientData/>
  </xdr:twoCellAnchor>
  <xdr:twoCellAnchor editAs="oneCell">
    <xdr:from>
      <xdr:col>0</xdr:col>
      <xdr:colOff>0</xdr:colOff>
      <xdr:row>194</xdr:row>
      <xdr:rowOff>0</xdr:rowOff>
    </xdr:from>
    <xdr:to>
      <xdr:col>9</xdr:col>
      <xdr:colOff>170658</xdr:colOff>
      <xdr:row>207</xdr:row>
      <xdr:rowOff>142579</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3261300"/>
          <a:ext cx="6342858" cy="2371429"/>
        </a:xfrm>
        <a:prstGeom prst="rect">
          <a:avLst/>
        </a:prstGeom>
      </xdr:spPr>
    </xdr:pic>
    <xdr:clientData/>
  </xdr:twoCellAnchor>
  <xdr:twoCellAnchor editAs="oneCell">
    <xdr:from>
      <xdr:col>0</xdr:col>
      <xdr:colOff>0</xdr:colOff>
      <xdr:row>209</xdr:row>
      <xdr:rowOff>0</xdr:rowOff>
    </xdr:from>
    <xdr:to>
      <xdr:col>10</xdr:col>
      <xdr:colOff>370572</xdr:colOff>
      <xdr:row>232</xdr:row>
      <xdr:rowOff>47126</xdr:rowOff>
    </xdr:to>
    <xdr:pic>
      <xdr:nvPicPr>
        <xdr:cNvPr id="26" name="图片 25"/>
        <xdr:cNvPicPr>
          <a:picLocks noChangeAspect="1"/>
        </xdr:cNvPicPr>
      </xdr:nvPicPr>
      <xdr:blipFill>
        <a:blip xmlns:r="http://schemas.openxmlformats.org/officeDocument/2006/relationships" r:embed="rId24"/>
        <a:stretch>
          <a:fillRect/>
        </a:stretch>
      </xdr:blipFill>
      <xdr:spPr>
        <a:xfrm>
          <a:off x="0" y="35833050"/>
          <a:ext cx="7228572" cy="3990476"/>
        </a:xfrm>
        <a:prstGeom prst="rect">
          <a:avLst/>
        </a:prstGeom>
      </xdr:spPr>
    </xdr:pic>
    <xdr:clientData/>
  </xdr:twoCellAnchor>
  <xdr:twoCellAnchor editAs="oneCell">
    <xdr:from>
      <xdr:col>0</xdr:col>
      <xdr:colOff>0</xdr:colOff>
      <xdr:row>233</xdr:row>
      <xdr:rowOff>0</xdr:rowOff>
    </xdr:from>
    <xdr:to>
      <xdr:col>9</xdr:col>
      <xdr:colOff>523039</xdr:colOff>
      <xdr:row>251</xdr:row>
      <xdr:rowOff>151995</xdr:rowOff>
    </xdr:to>
    <xdr:pic>
      <xdr:nvPicPr>
        <xdr:cNvPr id="27" name="图片 26"/>
        <xdr:cNvPicPr>
          <a:picLocks noChangeAspect="1"/>
        </xdr:cNvPicPr>
      </xdr:nvPicPr>
      <xdr:blipFill>
        <a:blip xmlns:r="http://schemas.openxmlformats.org/officeDocument/2006/relationships" r:embed="rId25"/>
        <a:stretch>
          <a:fillRect/>
        </a:stretch>
      </xdr:blipFill>
      <xdr:spPr>
        <a:xfrm>
          <a:off x="0" y="39947850"/>
          <a:ext cx="6695239" cy="3238095"/>
        </a:xfrm>
        <a:prstGeom prst="rect">
          <a:avLst/>
        </a:prstGeom>
      </xdr:spPr>
    </xdr:pic>
    <xdr:clientData/>
  </xdr:twoCellAnchor>
  <xdr:twoCellAnchor editAs="oneCell">
    <xdr:from>
      <xdr:col>10</xdr:col>
      <xdr:colOff>0</xdr:colOff>
      <xdr:row>233</xdr:row>
      <xdr:rowOff>0</xdr:rowOff>
    </xdr:from>
    <xdr:to>
      <xdr:col>18</xdr:col>
      <xdr:colOff>456458</xdr:colOff>
      <xdr:row>245</xdr:row>
      <xdr:rowOff>161648</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39947850"/>
          <a:ext cx="5942858" cy="2219048"/>
        </a:xfrm>
        <a:prstGeom prst="rect">
          <a:avLst/>
        </a:prstGeom>
      </xdr:spPr>
    </xdr:pic>
    <xdr:clientData/>
  </xdr:twoCellAnchor>
  <xdr:twoCellAnchor editAs="oneCell">
    <xdr:from>
      <xdr:col>12</xdr:col>
      <xdr:colOff>66675</xdr:colOff>
      <xdr:row>22</xdr:row>
      <xdr:rowOff>66675</xdr:rowOff>
    </xdr:from>
    <xdr:to>
      <xdr:col>24</xdr:col>
      <xdr:colOff>475171</xdr:colOff>
      <xdr:row>44</xdr:row>
      <xdr:rowOff>18585</xdr:rowOff>
    </xdr:to>
    <xdr:pic>
      <xdr:nvPicPr>
        <xdr:cNvPr id="29" name="图片 28"/>
        <xdr:cNvPicPr>
          <a:picLocks noChangeAspect="1"/>
        </xdr:cNvPicPr>
      </xdr:nvPicPr>
      <xdr:blipFill>
        <a:blip xmlns:r="http://schemas.openxmlformats.org/officeDocument/2006/relationships" r:embed="rId27"/>
        <a:stretch>
          <a:fillRect/>
        </a:stretch>
      </xdr:blipFill>
      <xdr:spPr>
        <a:xfrm>
          <a:off x="8296275" y="3838575"/>
          <a:ext cx="8638096" cy="3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6723;\&#30005;&#23376;&#29256;&#27979;&#31639;&#34920;\&#27979;&#31639;&#65288;&#21830;&#19994;&#65289;YZ00-0803-080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6723;\&#30005;&#23376;&#29256;&#27979;&#31639;&#34920;\&#27979;&#31639;&#65288;&#21150;&#20844;&#65289;YZ00-0803-08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比较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70115</v>
          </cell>
          <cell r="D19">
            <v>209236</v>
          </cell>
        </row>
        <row r="20">
          <cell r="C20">
            <v>6945</v>
          </cell>
          <cell r="D20">
            <v>20725</v>
          </cell>
          <cell r="G20">
            <v>16591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70155</v>
          </cell>
          <cell r="D19">
            <v>165296</v>
          </cell>
        </row>
        <row r="20">
          <cell r="C20">
            <v>6949</v>
          </cell>
          <cell r="D20">
            <v>16373</v>
          </cell>
          <cell r="G20">
            <v>13546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2651</v>
      </c>
      <c r="B1" s="2888" t="s">
        <v>2748</v>
      </c>
    </row>
    <row r="2" spans="1:55" s="2892" customFormat="1" ht="15" thickTop="1">
      <c r="A2" s="2890" t="s">
        <v>2655</v>
      </c>
      <c r="B2" s="2891" t="str">
        <f>'预评函-封皮'!B37</f>
        <v>北京市出让国有建设用地使用权市场价格预评估</v>
      </c>
      <c r="AX2" s="2893"/>
      <c r="AZ2" s="2893"/>
      <c r="BA2" s="2894"/>
      <c r="BC2" s="2894"/>
    </row>
    <row r="3" spans="1:55" s="2895" customFormat="1">
      <c r="A3" s="2874" t="s">
        <v>2656</v>
      </c>
      <c r="B3" s="2877">
        <f>'预评函-封皮'!B40</f>
        <v>0</v>
      </c>
    </row>
    <row r="4" spans="1:55" s="2876" customFormat="1">
      <c r="A4" s="2874" t="s">
        <v>2657</v>
      </c>
      <c r="B4" s="2875" t="str">
        <f>'预评函-封皮'!B46</f>
        <v>叶凌、杨红英</v>
      </c>
      <c r="N4" s="2876" t="str">
        <f>'预评函-1'!A28</f>
        <v>——</v>
      </c>
    </row>
    <row r="5" spans="1:55" s="2889" customFormat="1" ht="15" thickBot="1">
      <c r="A5" s="2896" t="s">
        <v>2658</v>
      </c>
      <c r="B5" s="2897" t="str">
        <f>'预评函-封皮'!B49</f>
        <v>康正预评字号</v>
      </c>
    </row>
    <row r="6" spans="1:55" s="2898" customFormat="1" ht="15" thickTop="1">
      <c r="A6" s="2890" t="s">
        <v>2700</v>
      </c>
      <c r="B6" s="2891" t="str">
        <f>'预评函-1'!A4</f>
        <v>受贵公司委托，我公司对北京市出让国有建设用地使用权市场价格进行了预评估。</v>
      </c>
      <c r="AM6" s="2899"/>
    </row>
    <row r="7" spans="1:55" s="2873" customFormat="1">
      <c r="A7" s="2874" t="s">
        <v>2652</v>
      </c>
      <c r="B7" s="2875" t="str">
        <f>'预评函-1'!A6</f>
        <v>估价对象为使用的、位于北京市出让国有建设用地使用权。根据《国有土地使用证》[]，估价对象（分摊）出让国有建设用地使用权面积为183040.85平方米。根据《建设工程规划许可证》[]、《出让合同》[]，估价对象规划建筑面积为709912平方米。</v>
      </c>
    </row>
    <row r="8" spans="1:55" s="2873" customFormat="1">
      <c r="A8" s="2874" t="s">
        <v>2653</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2703</v>
      </c>
      <c r="B9" s="2875" t="str">
        <f>'预评函-1'!A9</f>
        <v>本次评估为委托估价方了解标的物之市场价格提供参考依据而评估出让国有建设用地使用权市场价格。</v>
      </c>
    </row>
    <row r="10" spans="1:55" s="2873" customFormat="1">
      <c r="A10" s="2874" t="s">
        <v>2654</v>
      </c>
      <c r="B10" s="2875" t="str">
        <f>'预评函-1'!A11</f>
        <v>2018年10月15日</v>
      </c>
    </row>
    <row r="11" spans="1:55" s="2873" customFormat="1">
      <c r="A11" s="2874" t="s">
        <v>2660</v>
      </c>
      <c r="B11" s="2875" t="str">
        <f>'预评函-1'!A14</f>
        <v>根据《国有土地使用证》[]，本次评估估价对象证载（地类）用途为。</v>
      </c>
    </row>
    <row r="12" spans="1:55" s="2873" customFormat="1">
      <c r="A12" s="2874" t="s">
        <v>2661</v>
      </c>
      <c r="B12" s="2875" t="str">
        <f>'预评函-1'!A15</f>
        <v>本次评估设定用途即为证载用途。</v>
      </c>
    </row>
    <row r="13" spans="1:55" s="2873" customFormat="1">
      <c r="A13" s="2874" t="s">
        <v>2662</v>
      </c>
      <c r="B13" s="2875" t="str">
        <f>'预评函-1'!A17</f>
        <v>根据委托估价方介绍及评估专业人员现场勘查，本次评估估价对象实际土地开发程度为红线外市政基础设施达“七通”（即、、、、、、）、宗地红线内场地平整。</v>
      </c>
    </row>
    <row r="14" spans="1:55" s="2873" customFormat="1">
      <c r="A14" s="2874" t="s">
        <v>2663</v>
      </c>
      <c r="B14" s="2875" t="str">
        <f>'预评函-1'!A18</f>
        <v>。本次评估设定土地开发程度为红线外市政基础设施达“七通”、宗地红线内场地平整。</v>
      </c>
    </row>
    <row r="15" spans="1:55" s="2873" customFormat="1">
      <c r="A15" s="2874" t="s">
        <v>2659</v>
      </c>
      <c r="B15" s="2875" t="str">
        <f>'预评函-1'!A20</f>
        <v>根据《国有土地使用证》[]，估价对象（分摊）出让国有建设用地使用权面积为183040.85平方米。根据《建设工程规划许可证》[]、《出让合同》[]，估价对象规划建筑面积为709912平方米。</v>
      </c>
    </row>
    <row r="16" spans="1:55" s="2873" customFormat="1">
      <c r="A16" s="2874" t="s">
        <v>2664</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10月15日、商业2058年10月15日、办公2068年10月15日。截至估价期日，出让国有建设用地使用权剩余土地使用年限为。</v>
      </c>
    </row>
    <row r="17" spans="1:48" s="2873" customFormat="1">
      <c r="A17" s="2874" t="s">
        <v>2665</v>
      </c>
      <c r="B17" s="2875" t="str">
        <f>'预评函-1'!A23</f>
        <v>本次评估设定估价对象剩余土地使用年限为。</v>
      </c>
    </row>
    <row r="18" spans="1:48" s="2873" customFormat="1">
      <c r="A18" s="2874" t="s">
        <v>2666</v>
      </c>
      <c r="B18" s="2875" t="str">
        <f>'预评函-1'!A25</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的出让国有建设用地使用权价格。</v>
      </c>
    </row>
    <row r="19" spans="1:48" s="2873" customFormat="1">
      <c r="A19" s="2874" t="s">
        <v>2667</v>
      </c>
      <c r="B19" s="2875" t="str">
        <f>'预评函-1'!A26</f>
        <v>——</v>
      </c>
    </row>
    <row r="20" spans="1:48" s="2873" customFormat="1">
      <c r="A20" s="2874" t="s">
        <v>2668</v>
      </c>
      <c r="B20" s="2875" t="str">
        <f>'预评函-1'!A27</f>
        <v>——</v>
      </c>
    </row>
    <row r="21" spans="1:48" s="2889" customFormat="1" ht="15" thickBot="1">
      <c r="A21" s="2896" t="s">
        <v>2669</v>
      </c>
      <c r="B21" s="2897" t="str">
        <f>'预评函-1'!A28</f>
        <v>——</v>
      </c>
    </row>
    <row r="22" spans="1:48" ht="15" thickTop="1">
      <c r="A22" s="2885" t="s">
        <v>2670</v>
      </c>
      <c r="B22" s="28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4" t="s">
        <v>2671</v>
      </c>
      <c r="B23" s="2875" t="str">
        <f>'预评函-2'!K2</f>
        <v>估价期日：2018年10月15日</v>
      </c>
    </row>
    <row r="24" spans="1:48">
      <c r="A24" s="2874" t="s">
        <v>2672</v>
      </c>
      <c r="B24" s="2875" t="str">
        <f>'预评函-2'!R2</f>
        <v>估价期日的国有建设用地使用权性质：出让</v>
      </c>
    </row>
    <row r="25" spans="1:48">
      <c r="A25" s="2874" t="s">
        <v>2728</v>
      </c>
      <c r="B25" s="2875" t="str">
        <f>'预评函-2'!A3</f>
        <v>估价期日土地使用者</v>
      </c>
    </row>
    <row r="26" spans="1:48">
      <c r="A26" s="2874" t="s">
        <v>2704</v>
      </c>
      <c r="B26" s="2875" t="str">
        <f>'预评函-2'!A5</f>
        <v>中信开发</v>
      </c>
    </row>
    <row r="27" spans="1:48">
      <c r="A27" s="2874" t="s">
        <v>2729</v>
      </c>
      <c r="B27" s="2875" t="str">
        <f>'预评函-2'!B3</f>
        <v>宗地编号/不动产单元号</v>
      </c>
    </row>
    <row r="28" spans="1:48">
      <c r="A28" s="2874" t="s">
        <v>2705</v>
      </c>
      <c r="B28" s="2875" t="str">
        <f>'预评函-2'!B5</f>
        <v>11111111111</v>
      </c>
    </row>
    <row r="29" spans="1:48">
      <c r="A29" s="2874" t="s">
        <v>2731</v>
      </c>
      <c r="B29" s="2875">
        <f>'预评函-2'!C5</f>
        <v>22</v>
      </c>
    </row>
    <row r="30" spans="1:48">
      <c r="A30" s="2874" t="s">
        <v>2732</v>
      </c>
      <c r="B30" s="2875" t="str">
        <f>'预评函-2'!D3</f>
        <v>土地使用证编号/不动产权证书编号</v>
      </c>
    </row>
    <row r="31" spans="1:48">
      <c r="A31" s="2874" t="s">
        <v>2706</v>
      </c>
      <c r="B31" s="2875" t="str">
        <f>'预评函-2'!D5</f>
        <v>京国土字第111号</v>
      </c>
    </row>
    <row r="32" spans="1:48">
      <c r="A32" s="2874" t="s">
        <v>2707</v>
      </c>
      <c r="B32" s="2875">
        <f>'预评函-2'!E5</f>
        <v>0</v>
      </c>
      <c r="AV32" s="2879"/>
    </row>
    <row r="33" spans="1:2">
      <c r="A33" s="2874" t="s">
        <v>2708</v>
      </c>
      <c r="B33" s="2875">
        <f>'预评函-2'!F5</f>
        <v>258</v>
      </c>
    </row>
    <row r="34" spans="1:2">
      <c r="A34" s="2874" t="s">
        <v>2709</v>
      </c>
      <c r="B34" s="2875">
        <f>'预评函-2'!G5</f>
        <v>0</v>
      </c>
    </row>
    <row r="35" spans="1:2">
      <c r="A35" s="2874" t="s">
        <v>2710</v>
      </c>
      <c r="B35" s="2875">
        <f>'预评函-2'!H5</f>
        <v>1.5</v>
      </c>
    </row>
    <row r="36" spans="1:2">
      <c r="A36" s="2874" t="s">
        <v>2711</v>
      </c>
      <c r="B36" s="2875">
        <f>'预评函-2'!I5</f>
        <v>1.5</v>
      </c>
    </row>
    <row r="37" spans="1:2">
      <c r="A37" s="2874" t="s">
        <v>2712</v>
      </c>
      <c r="B37" s="2875">
        <f>'预评函-2'!J5</f>
        <v>1.5</v>
      </c>
    </row>
    <row r="38" spans="1:2">
      <c r="A38" s="2874" t="s">
        <v>2713</v>
      </c>
      <c r="B38" s="2875" t="str">
        <f>'预评函-2'!K5</f>
        <v>红线外七通、宗地红线内</v>
      </c>
    </row>
    <row r="39" spans="1:2">
      <c r="A39" s="2874" t="s">
        <v>2714</v>
      </c>
      <c r="B39" s="2875" t="str">
        <f>'预评函-2'!L5</f>
        <v>红线外七通、宗地红线内场地</v>
      </c>
    </row>
    <row r="40" spans="1:2">
      <c r="A40" s="2874" t="s">
        <v>2733</v>
      </c>
      <c r="B40" s="2875" t="str">
        <f>'预评函-2'!M3</f>
        <v>（剩余）土地使用年限/年</v>
      </c>
    </row>
    <row r="41" spans="1:2">
      <c r="A41" s="2874" t="s">
        <v>2715</v>
      </c>
      <c r="B41" s="2875">
        <f>'预评函-2'!M5</f>
        <v>0</v>
      </c>
    </row>
    <row r="42" spans="1:2">
      <c r="A42" s="2874" t="s">
        <v>2734</v>
      </c>
      <c r="B42" s="2875" t="str">
        <f>'预评函-2'!N3</f>
        <v>（分摊）出让国有建设用地使用权面积/㎡</v>
      </c>
    </row>
    <row r="43" spans="1:2">
      <c r="A43" s="2874" t="s">
        <v>2716</v>
      </c>
      <c r="B43" s="2875">
        <f>'预评函-2'!N5</f>
        <v>183040.85</v>
      </c>
    </row>
    <row r="44" spans="1:2">
      <c r="A44" s="2874" t="s">
        <v>2735</v>
      </c>
      <c r="B44" s="2875" t="str">
        <f>'预评函-2'!O3</f>
        <v>规划建筑面积/㎡</v>
      </c>
    </row>
    <row r="45" spans="1:2">
      <c r="A45" s="2874" t="s">
        <v>2717</v>
      </c>
      <c r="B45" s="2875">
        <f>'预评函-2'!O5</f>
        <v>709912</v>
      </c>
    </row>
    <row r="46" spans="1:2">
      <c r="A46" s="2874" t="s">
        <v>2718</v>
      </c>
      <c r="B46" s="2875">
        <f ca="1">'预评函-2'!P5</f>
        <v>29242</v>
      </c>
    </row>
    <row r="47" spans="1:2">
      <c r="A47" s="2874" t="s">
        <v>2719</v>
      </c>
      <c r="B47" s="2875">
        <f ca="1">'预评函-2'!Q5</f>
        <v>7540</v>
      </c>
    </row>
    <row r="48" spans="1:2">
      <c r="A48" s="2874" t="s">
        <v>2720</v>
      </c>
      <c r="B48" s="2875">
        <f ca="1">'预评函-2'!R5</f>
        <v>535247</v>
      </c>
    </row>
    <row r="49" spans="1:2">
      <c r="A49" s="2874" t="s">
        <v>2736</v>
      </c>
      <c r="B49" s="2875" t="str">
        <f>'预评函-2'!A6</f>
        <v>——</v>
      </c>
    </row>
    <row r="50" spans="1:2">
      <c r="A50" s="2874" t="s">
        <v>2721</v>
      </c>
      <c r="B50" s="2875" t="str">
        <f>'预评函-2'!R6</f>
        <v>——</v>
      </c>
    </row>
    <row r="51" spans="1:2">
      <c r="A51" s="2874" t="s">
        <v>2737</v>
      </c>
      <c r="B51" s="2875" t="str">
        <f>'预评函-2'!A7</f>
        <v>——</v>
      </c>
    </row>
    <row r="52" spans="1:2">
      <c r="A52" s="2874" t="s">
        <v>2722</v>
      </c>
      <c r="B52" s="2875" t="str">
        <f>'预评函-2'!R7</f>
        <v>——</v>
      </c>
    </row>
    <row r="53" spans="1:2">
      <c r="A53" s="2874" t="s">
        <v>2738</v>
      </c>
      <c r="B53" s="2875" t="str">
        <f>'预评函-2'!A8</f>
        <v>——</v>
      </c>
    </row>
    <row r="54" spans="1:2" s="2889" customFormat="1" ht="15" thickBot="1">
      <c r="A54" s="2896" t="s">
        <v>2723</v>
      </c>
      <c r="B54" s="2897" t="str">
        <f>'预评函-2'!R8</f>
        <v>——</v>
      </c>
    </row>
    <row r="55" spans="1:2" ht="15" thickTop="1">
      <c r="A55" s="2885" t="s">
        <v>2673</v>
      </c>
      <c r="B55" s="2886" t="str">
        <f>'预评函-3'!A2</f>
        <v>1.权利限制：根据估价对象《不动产权证书》原件、《国有土地使用权》复印件，截至估价期日，估价对象抵押权未见登记。未设定租赁等其他他项权利。</v>
      </c>
    </row>
    <row r="56" spans="1:2">
      <c r="A56" s="2874" t="s">
        <v>2674</v>
      </c>
      <c r="B56" s="2875" t="str">
        <f>'预评函-3'!A3</f>
        <v>2.基础设施条件：估价对象实际开发程度为红线外七通、宗地红线内；本次评估设定开发程度为红线外七通、宗地红线内场地。</v>
      </c>
    </row>
    <row r="57" spans="1:2">
      <c r="A57" s="2874" t="s">
        <v>2675</v>
      </c>
      <c r="B57" s="2875" t="str">
        <f>'预评函-3'!A4</f>
        <v>3.估价规划限制条件：详见《建设工程规划许可证》[]、《出让合同》[]。</v>
      </c>
    </row>
    <row r="58" spans="1:2" s="2889" customFormat="1" ht="15" thickBot="1">
      <c r="A58" s="2896" t="s">
        <v>2724</v>
      </c>
      <c r="B58" s="2897" t="str">
        <f>'预评函-3'!A5</f>
        <v>4.影响价格的其他限定条件：无。</v>
      </c>
    </row>
    <row r="59" spans="1:2" ht="15" thickTop="1">
      <c r="A59" s="2885" t="s">
        <v>2676</v>
      </c>
      <c r="B59" s="2886" t="str">
        <f>'预评函-3'!A8</f>
        <v>2.本次评估设定估价对象宗地权属无争议，未被查封或者以其他形式限制其房地产权利，未设定抵押权等他项权利，不涉及第三方权利义务。</v>
      </c>
    </row>
    <row r="60" spans="1:2">
      <c r="A60" s="2874" t="s">
        <v>2677</v>
      </c>
      <c r="B60" s="2875" t="str">
        <f>'预评函-3'!A9</f>
        <v>——</v>
      </c>
    </row>
    <row r="61" spans="1:2">
      <c r="A61" s="2874" t="s">
        <v>2679</v>
      </c>
      <c r="B61" s="2875" t="str">
        <f>'预评函-3'!A10</f>
        <v>——</v>
      </c>
    </row>
    <row r="62" spans="1:2">
      <c r="A62" s="2874" t="s">
        <v>2678</v>
      </c>
      <c r="B62" s="2875" t="str">
        <f>'预评函-3'!A11</f>
        <v>——</v>
      </c>
    </row>
    <row r="63" spans="1:2">
      <c r="A63" s="2874" t="s">
        <v>2680</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2681</v>
      </c>
      <c r="B64" s="2880" t="str">
        <f>'预评函-3'!A13</f>
        <v>（3）。</v>
      </c>
    </row>
    <row r="65" spans="1:2">
      <c r="A65" s="2874" t="s">
        <v>2682</v>
      </c>
      <c r="B65" s="2881" t="str">
        <f>'预评函-3'!A14</f>
        <v>——</v>
      </c>
    </row>
    <row r="66" spans="1:2">
      <c r="A66" s="2874" t="s">
        <v>2683</v>
      </c>
      <c r="B66" s="28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2684</v>
      </c>
      <c r="B67" s="28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2687</v>
      </c>
      <c r="B68" s="2900">
        <f>'预评函-3'!D30</f>
        <v>42558</v>
      </c>
    </row>
    <row r="69" spans="1:2" ht="15" thickTop="1">
      <c r="A69" s="2885" t="s">
        <v>2685</v>
      </c>
      <c r="B69" s="2886" t="str">
        <f>'预评函-3'!A20</f>
        <v>叶凌</v>
      </c>
    </row>
    <row r="70" spans="1:2">
      <c r="A70" s="2874" t="s">
        <v>2685</v>
      </c>
      <c r="B70" s="2881">
        <f ca="1">'预评函-3'!B20</f>
        <v>94010078</v>
      </c>
    </row>
    <row r="71" spans="1:2">
      <c r="A71" s="2874" t="s">
        <v>2686</v>
      </c>
      <c r="B71" s="2875" t="str">
        <f>'预评函-3'!A21</f>
        <v>杨红英</v>
      </c>
    </row>
    <row r="72" spans="1:2" s="2889" customFormat="1" ht="15" thickBot="1">
      <c r="A72" s="2896" t="s">
        <v>2686</v>
      </c>
      <c r="B72" s="2902">
        <f>'预评函-3'!B21</f>
        <v>2004110128</v>
      </c>
    </row>
    <row r="73" spans="1:2" ht="15" thickTop="1">
      <c r="A73" s="2885" t="s">
        <v>2745</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2746</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2747</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2782</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A6" sqref="A6:XFD6"/>
    </sheetView>
  </sheetViews>
  <sheetFormatPr defaultColWidth="10" defaultRowHeight="14.25"/>
  <cols>
    <col min="1" max="1" width="15.375" style="1686" customWidth="1"/>
    <col min="2" max="2" width="11.375" style="1686" customWidth="1"/>
    <col min="3" max="3" width="12.625" style="1686" customWidth="1"/>
    <col min="4" max="4" width="13.62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1932</v>
      </c>
      <c r="B1" s="3341" t="str">
        <f>IF(B10="北京市","北京市",C10)&amp;F10&amp;B16&amp;"国有建设用地使用权"&amp;B9&amp;"预评估"</f>
        <v>北京市出让国有建设用地使用权市场价格预评估</v>
      </c>
      <c r="C1" s="3342"/>
      <c r="D1" s="3342"/>
      <c r="E1" s="3342"/>
      <c r="F1" s="3342"/>
      <c r="G1" s="3342"/>
      <c r="H1" s="3342"/>
      <c r="I1" s="3343"/>
      <c r="J1" s="1689"/>
      <c r="K1" s="2451" t="str">
        <f>IF(B10="北京市","北京市",C10)&amp;F10&amp;B16&amp;"国有建设用地使用权"&amp;B9</f>
        <v>北京市出让国有建设用地使用权市场价格</v>
      </c>
      <c r="L1" s="1718"/>
      <c r="M1" s="1718"/>
      <c r="N1" s="1689"/>
      <c r="O1" s="1690"/>
      <c r="P1" s="1689"/>
      <c r="Q1" s="1689"/>
      <c r="R1" s="1689"/>
      <c r="S1" s="1689"/>
      <c r="T1" s="1689"/>
      <c r="U1" s="1689"/>
    </row>
    <row r="2" spans="1:21">
      <c r="A2" s="1655" t="s">
        <v>1933</v>
      </c>
      <c r="B2" s="1837"/>
      <c r="D2" s="1689"/>
      <c r="E2" s="1689"/>
      <c r="F2" s="1689"/>
      <c r="G2" s="1689"/>
      <c r="H2" s="1655"/>
      <c r="I2" s="1690"/>
      <c r="J2" s="1689"/>
      <c r="K2" s="2451" t="str">
        <f>IF(B10="北京市","北京市",C10)&amp;F10&amp;B16&amp;"国有建设用地使用权"</f>
        <v>北京市出让国有建设用地使用权</v>
      </c>
      <c r="L2" s="1718"/>
      <c r="M2" s="1718"/>
      <c r="N2" s="1689"/>
      <c r="O2" s="1690"/>
      <c r="P2" s="1689"/>
      <c r="Q2" s="1689"/>
      <c r="R2" s="1689"/>
      <c r="S2" s="1689"/>
      <c r="T2" s="1689"/>
      <c r="U2" s="1689"/>
    </row>
    <row r="3" spans="1:21">
      <c r="A3" s="1656" t="s">
        <v>1934</v>
      </c>
      <c r="B3" s="1657">
        <v>43447</v>
      </c>
      <c r="C3" s="1658" t="s">
        <v>1990</v>
      </c>
      <c r="D3" s="1657">
        <v>43388</v>
      </c>
      <c r="E3" s="1689"/>
      <c r="F3" s="1689"/>
      <c r="G3" s="1689"/>
      <c r="H3" s="1655"/>
      <c r="I3" s="1690"/>
      <c r="J3" s="1689"/>
      <c r="K3" s="1769"/>
      <c r="L3" s="1718"/>
      <c r="M3" s="1718"/>
      <c r="N3" s="1689"/>
      <c r="O3" s="1690"/>
      <c r="P3" s="1689"/>
      <c r="Q3" s="1689"/>
      <c r="R3" s="1689"/>
      <c r="S3" s="1689"/>
      <c r="T3" s="1689"/>
      <c r="U3" s="1689"/>
    </row>
    <row r="4" spans="1:21" ht="15" thickBot="1">
      <c r="A4" s="1659" t="s">
        <v>1935</v>
      </c>
      <c r="B4" s="1838" t="s">
        <v>2990</v>
      </c>
      <c r="C4" s="1841">
        <f ca="1">SUMIF(土地估价师,B4,估价师及机构信息!E3:E24)</f>
        <v>94010078</v>
      </c>
      <c r="D4" s="1838" t="s">
        <v>2991</v>
      </c>
      <c r="E4" s="1841">
        <f>SUMIF(土地估价师,D4,估价师及机构信息!E3:E24)</f>
        <v>2004110128</v>
      </c>
      <c r="F4" s="1838" t="s">
        <v>946</v>
      </c>
      <c r="G4" s="1841">
        <f>SUMIF(土地估价师,F4,估价师及机构信息!E3:E24)</f>
        <v>0</v>
      </c>
      <c r="H4" s="1838" t="s">
        <v>946</v>
      </c>
      <c r="I4" s="1841">
        <f>SUMIF(土地估价师,H4,估价师及机构信息!E3:E24)</f>
        <v>0</v>
      </c>
      <c r="J4" s="1689"/>
      <c r="K4" s="2451" t="str">
        <f>IF(AND(F4="——",H4="——"),B4&amp;"、"&amp;D4,IF(AND(F4&lt;&gt;"——",H4="——"),B4&amp;"、"&amp;D4&amp;"、"&amp;F4,B4&amp;"、"&amp;D4&amp;"、"&amp;F4&amp;"、"&amp;H4))</f>
        <v>叶凌、杨红英</v>
      </c>
      <c r="L4" s="1718"/>
      <c r="M4" s="1718"/>
      <c r="N4" s="1689"/>
      <c r="O4" s="1690"/>
      <c r="P4" s="1689"/>
      <c r="Q4" s="1689"/>
      <c r="R4" s="1689"/>
      <c r="S4" s="1689"/>
      <c r="T4" s="1689"/>
      <c r="U4" s="1689"/>
    </row>
    <row r="5" spans="1:21" ht="15" thickTop="1">
      <c r="A5" s="1660" t="s">
        <v>1936</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2701</v>
      </c>
      <c r="B6" s="1784"/>
      <c r="C6" s="1756"/>
      <c r="D6" s="1663"/>
      <c r="E6" s="1689"/>
      <c r="F6" s="1689"/>
      <c r="G6" s="1689"/>
      <c r="H6" s="1655"/>
      <c r="I6" s="1690"/>
      <c r="J6" s="1689"/>
      <c r="K6" s="3049" t="str">
        <f>IF(COUNTIF(B6,"*上海银行*"),"上海银行","")</f>
        <v/>
      </c>
      <c r="L6" s="1718"/>
      <c r="M6" s="1718"/>
      <c r="N6" s="1689"/>
      <c r="O6" s="1690"/>
      <c r="P6" s="1689"/>
      <c r="Q6" s="1689"/>
      <c r="R6" s="1689"/>
      <c r="S6" s="1689"/>
      <c r="T6" s="1689"/>
      <c r="U6" s="1689"/>
    </row>
    <row r="7" spans="1:21">
      <c r="A7" s="1664" t="s">
        <v>2702</v>
      </c>
      <c r="B7" s="1784"/>
      <c r="C7" s="1756"/>
      <c r="D7" s="1663"/>
      <c r="E7" s="1689"/>
      <c r="F7" s="1689"/>
      <c r="G7" s="1689"/>
      <c r="H7" s="1655"/>
      <c r="I7" s="1690"/>
      <c r="J7" s="1689"/>
      <c r="K7" s="1769"/>
      <c r="L7" s="1718"/>
      <c r="M7" s="1718"/>
      <c r="N7" s="1689"/>
      <c r="O7" s="1690"/>
      <c r="P7" s="1689"/>
      <c r="Q7" s="1689"/>
      <c r="R7" s="1689"/>
      <c r="S7" s="1689"/>
      <c r="T7" s="1689"/>
      <c r="U7" s="1689"/>
    </row>
    <row r="8" spans="1:21" ht="15" customHeight="1">
      <c r="A8" s="1664" t="s">
        <v>1937</v>
      </c>
      <c r="B8" s="1665" t="s">
        <v>2992</v>
      </c>
      <c r="C8" s="1666"/>
      <c r="D8" s="3347" t="s">
        <v>1939</v>
      </c>
      <c r="E8" s="1839"/>
      <c r="F8" s="1667"/>
      <c r="G8" s="1655"/>
      <c r="H8" s="1655"/>
      <c r="I8" s="1702"/>
      <c r="J8" s="1689"/>
      <c r="K8" s="1769"/>
      <c r="L8" s="1718"/>
      <c r="M8" s="1718"/>
      <c r="N8" s="1689"/>
      <c r="O8" s="1690"/>
      <c r="P8" s="1689"/>
      <c r="Q8" s="1689"/>
      <c r="R8" s="1689"/>
      <c r="S8" s="1689"/>
      <c r="T8" s="1689"/>
      <c r="U8" s="1689"/>
    </row>
    <row r="9" spans="1:21" ht="15" customHeight="1" thickBot="1">
      <c r="A9" s="1668" t="s">
        <v>1938</v>
      </c>
      <c r="B9" s="1669" t="s">
        <v>2993</v>
      </c>
      <c r="C9" s="1670"/>
      <c r="D9" s="3348"/>
      <c r="E9" s="1669"/>
      <c r="F9" s="1742"/>
      <c r="G9" s="1737"/>
      <c r="H9" s="1737"/>
      <c r="I9" s="1738"/>
      <c r="J9" s="1689"/>
      <c r="K9" s="1769"/>
      <c r="L9" s="1718"/>
      <c r="M9" s="1718"/>
      <c r="N9" s="1689"/>
      <c r="O9" s="1690"/>
      <c r="P9" s="1689"/>
      <c r="Q9" s="1689"/>
      <c r="R9" s="1689"/>
      <c r="S9" s="1689"/>
      <c r="T9" s="1689"/>
      <c r="U9" s="1689"/>
    </row>
    <row r="10" spans="1:21" ht="15" customHeight="1" thickTop="1">
      <c r="A10" s="1739" t="s">
        <v>1994</v>
      </c>
      <c r="B10" s="1714" t="s">
        <v>1940</v>
      </c>
      <c r="C10" s="1671"/>
      <c r="D10" s="1662"/>
      <c r="E10" s="1672" t="s">
        <v>1941</v>
      </c>
      <c r="F10" s="1673"/>
      <c r="G10" s="1740"/>
      <c r="H10" s="1741"/>
      <c r="I10" s="1662"/>
      <c r="J10" s="1689"/>
      <c r="K10" s="1769"/>
      <c r="L10" s="1718"/>
      <c r="M10" s="1718"/>
      <c r="N10" s="1689"/>
      <c r="O10" s="1690"/>
      <c r="P10" s="1689"/>
      <c r="Q10" s="1689"/>
      <c r="R10" s="1689"/>
      <c r="S10" s="1689"/>
      <c r="T10" s="1689"/>
      <c r="U10" s="1689"/>
    </row>
    <row r="11" spans="1:21" ht="15" customHeight="1">
      <c r="A11" s="1692" t="s">
        <v>1995</v>
      </c>
      <c r="B11" s="1693"/>
      <c r="C11" s="1674"/>
      <c r="D11" s="1757"/>
      <c r="E11" s="1655"/>
      <c r="F11" s="1655"/>
      <c r="G11" s="1655"/>
      <c r="H11" s="1655"/>
      <c r="I11" s="1655"/>
      <c r="J11" s="1689"/>
      <c r="K11" s="1769"/>
      <c r="L11" s="1718"/>
      <c r="M11" s="1718"/>
      <c r="N11" s="1689"/>
      <c r="O11" s="1690"/>
      <c r="P11" s="1689"/>
      <c r="Q11" s="1689"/>
      <c r="R11" s="1689"/>
      <c r="S11" s="1689"/>
      <c r="T11" s="1689"/>
      <c r="U11" s="1689"/>
    </row>
    <row r="12" spans="1:21" ht="15" customHeight="1">
      <c r="A12" s="1780" t="s">
        <v>2053</v>
      </c>
      <c r="B12" s="3344"/>
      <c r="C12" s="3345"/>
      <c r="D12" s="3346"/>
      <c r="E12" s="1694" t="s">
        <v>2056</v>
      </c>
      <c r="F12" s="3362" t="s">
        <v>2884</v>
      </c>
      <c r="G12" s="3363"/>
      <c r="H12" s="3363"/>
      <c r="I12" s="3364"/>
      <c r="J12" s="1689"/>
      <c r="K12" s="1769"/>
      <c r="L12" s="1718"/>
      <c r="M12" s="1718"/>
      <c r="N12" s="1689"/>
      <c r="O12" s="1690"/>
      <c r="P12" s="1689"/>
      <c r="Q12" s="1689"/>
      <c r="R12" s="1689"/>
      <c r="S12" s="1689"/>
      <c r="T12" s="1689"/>
      <c r="U12" s="1689"/>
    </row>
    <row r="13" spans="1:21" ht="15" customHeight="1">
      <c r="A13" s="1682" t="s">
        <v>2054</v>
      </c>
      <c r="B13" s="3344"/>
      <c r="C13" s="3345"/>
      <c r="D13" s="3346"/>
      <c r="E13" s="1694" t="s">
        <v>2056</v>
      </c>
      <c r="F13" s="3362" t="s">
        <v>2885</v>
      </c>
      <c r="G13" s="3363"/>
      <c r="H13" s="3363"/>
      <c r="I13" s="3364"/>
      <c r="J13" s="1689"/>
      <c r="K13" s="1769"/>
      <c r="L13" s="1718"/>
      <c r="M13" s="1718"/>
      <c r="N13" s="1689"/>
      <c r="O13" s="1690"/>
      <c r="P13" s="1689"/>
      <c r="Q13" s="1689"/>
      <c r="R13" s="1689"/>
      <c r="S13" s="1689"/>
      <c r="T13" s="1689"/>
      <c r="U13" s="1689"/>
    </row>
    <row r="14" spans="1:21" ht="15" customHeight="1">
      <c r="A14" s="1656" t="s">
        <v>2057</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t="15" customHeight="1">
      <c r="A15" s="2641"/>
      <c r="B15" s="1658"/>
      <c r="C15" s="1658"/>
      <c r="D15" s="1761" t="s">
        <v>1944</v>
      </c>
      <c r="E15" s="1761" t="s">
        <v>1945</v>
      </c>
      <c r="F15" s="1761" t="s">
        <v>1946</v>
      </c>
      <c r="G15" s="1681" t="s">
        <v>1947</v>
      </c>
      <c r="H15" s="1681" t="s">
        <v>1948</v>
      </c>
      <c r="I15" s="1681" t="s">
        <v>1949</v>
      </c>
      <c r="J15" s="1689"/>
      <c r="K15" s="1769"/>
      <c r="L15" s="1718"/>
      <c r="M15" s="1718"/>
      <c r="N15" s="1689"/>
      <c r="O15" s="1690"/>
      <c r="P15" s="1689"/>
      <c r="Q15" s="1689"/>
      <c r="R15" s="1689"/>
      <c r="S15" s="1689"/>
      <c r="T15" s="1689"/>
      <c r="U15" s="1689"/>
    </row>
    <row r="16" spans="1:21" ht="15" customHeight="1">
      <c r="A16" s="1675" t="s">
        <v>1942</v>
      </c>
      <c r="B16" s="1676" t="s">
        <v>2994</v>
      </c>
      <c r="C16" s="1694" t="s">
        <v>1943</v>
      </c>
      <c r="D16" s="2642" t="s">
        <v>1944</v>
      </c>
      <c r="E16" s="1717" t="s">
        <v>2995</v>
      </c>
      <c r="F16" s="1717" t="s">
        <v>1672</v>
      </c>
      <c r="G16" s="1717"/>
      <c r="H16" s="1717"/>
      <c r="I16" s="1681" t="s">
        <v>1949</v>
      </c>
      <c r="J16" s="1689"/>
      <c r="K16" s="2452" t="str">
        <f>IF(D17="","",D16&amp;TEXT(D17,"yyyy年m月d日;;"))</f>
        <v>住宅2088年10月15日</v>
      </c>
      <c r="L16" s="1694" t="str">
        <f>IF(OR(K16="",M16=""),"","、")</f>
        <v>、</v>
      </c>
      <c r="M16" s="2452" t="str">
        <f>IF(E17="","",E16&amp;TEXT(E17,"yyyy年m月d日;;"))</f>
        <v>商业2058年10月15日</v>
      </c>
      <c r="N16" s="1694" t="str">
        <f>IF(OR(M16="",O16=""),"","、")</f>
        <v>、</v>
      </c>
      <c r="O16" s="2452" t="str">
        <f>IF(F17="","",F16&amp;TEXT(F17,"yyyy年m月d日;;"))</f>
        <v>办公2068年10月15日</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ht="15" customHeight="1">
      <c r="A17" s="1758"/>
      <c r="B17" s="1677"/>
      <c r="C17" s="1678" t="s">
        <v>1950</v>
      </c>
      <c r="D17" s="1695">
        <v>68956</v>
      </c>
      <c r="E17" s="1695">
        <v>57998</v>
      </c>
      <c r="F17" s="1695">
        <v>61651</v>
      </c>
      <c r="G17" s="1695"/>
      <c r="H17" s="1695"/>
      <c r="I17" s="1695"/>
      <c r="J17" s="1689"/>
      <c r="K17" s="2451" t="str">
        <f>CONCATENATE(K16,L16,M16,N16,O16,P16,Q16,R16,S16,T16,,U16)</f>
        <v>住宅2088年10月15日、商业2058年10月15日、办公2068年10月15日</v>
      </c>
      <c r="L17" s="1718"/>
      <c r="M17" s="1718"/>
      <c r="N17" s="1689"/>
      <c r="O17" s="1690"/>
      <c r="P17" s="1689"/>
      <c r="Q17" s="1689"/>
      <c r="R17" s="1689"/>
      <c r="S17" s="1689"/>
      <c r="T17" s="1689"/>
      <c r="U17" s="1689"/>
    </row>
    <row r="18" spans="1:21">
      <c r="A18" s="1758"/>
      <c r="B18" s="1677"/>
      <c r="C18" s="1678" t="s">
        <v>1951</v>
      </c>
      <c r="D18" s="1679">
        <v>70</v>
      </c>
      <c r="E18" s="1679">
        <v>40</v>
      </c>
      <c r="F18" s="1679">
        <v>50</v>
      </c>
      <c r="G18" s="1679"/>
      <c r="H18" s="1679"/>
      <c r="I18" s="1679"/>
      <c r="J18" s="1689"/>
      <c r="K18" s="1769"/>
      <c r="L18" s="1718"/>
      <c r="M18" s="1718"/>
      <c r="N18" s="1689"/>
      <c r="O18" s="1690"/>
      <c r="P18" s="1689"/>
      <c r="Q18" s="1689"/>
      <c r="R18" s="1689"/>
      <c r="S18" s="1689"/>
      <c r="T18" s="1689"/>
      <c r="U18" s="1689"/>
    </row>
    <row r="19" spans="1:21">
      <c r="A19" s="1758"/>
      <c r="B19" s="1677"/>
      <c r="C19" s="1655" t="s">
        <v>1952</v>
      </c>
      <c r="D19" s="1753">
        <f>IF(B16="出让",IF(D17="","",ROUNDDOWN(MIN((D17-$D$3)/365,D18),2)),D18)</f>
        <v>70</v>
      </c>
      <c r="E19" s="1680">
        <f>IF(B16="出让",IF(E17="","",ROUNDDOWN(MIN((E17-$D$3)/365,E18),2)),E18)</f>
        <v>40</v>
      </c>
      <c r="F19" s="1680">
        <f>IF(B16="出让",IF(F17="","",ROUNDDOWN(MIN((F17-$D$3)/365,F18),2)),F18)</f>
        <v>50</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2055</v>
      </c>
      <c r="D20" s="3359"/>
      <c r="E20" s="3360"/>
      <c r="F20" s="3360"/>
      <c r="G20" s="3360"/>
      <c r="H20" s="3360"/>
      <c r="I20" s="3361"/>
      <c r="J20" s="1689"/>
      <c r="K20" s="1769"/>
      <c r="L20" s="1718"/>
      <c r="M20" s="1718"/>
      <c r="N20" s="1689"/>
      <c r="O20" s="1690"/>
      <c r="P20" s="1689"/>
      <c r="Q20" s="1689"/>
      <c r="R20" s="1689"/>
      <c r="S20" s="1689"/>
      <c r="T20" s="1689"/>
      <c r="U20" s="1689"/>
    </row>
    <row r="21" spans="1:21">
      <c r="A21" s="1758" t="s">
        <v>1953</v>
      </c>
      <c r="B21" s="1759" t="s">
        <v>1954</v>
      </c>
      <c r="C21" s="1754">
        <f>'数据-汇总表'!E3</f>
        <v>709912</v>
      </c>
      <c r="D21" s="1755" t="s">
        <v>1955</v>
      </c>
      <c r="E21" s="3349" t="s">
        <v>1993</v>
      </c>
      <c r="F21" s="3350"/>
      <c r="G21" s="3350"/>
      <c r="H21" s="3350"/>
      <c r="I21" s="3351"/>
      <c r="J21" s="1689"/>
      <c r="K21" s="1769"/>
      <c r="L21" s="1718"/>
      <c r="M21" s="1718"/>
      <c r="N21" s="1689"/>
      <c r="O21" s="1690"/>
      <c r="P21" s="1689"/>
      <c r="Q21" s="1689"/>
      <c r="R21" s="1689"/>
      <c r="S21" s="1689"/>
      <c r="T21" s="1689"/>
      <c r="U21" s="1689"/>
    </row>
    <row r="22" spans="1:21">
      <c r="A22" s="3142" t="s">
        <v>946</v>
      </c>
      <c r="B22" s="1656" t="s">
        <v>1956</v>
      </c>
      <c r="C22" s="1681">
        <f>'数据-汇总表'!D3</f>
        <v>183040.85</v>
      </c>
      <c r="D22" s="1682" t="s">
        <v>1955</v>
      </c>
      <c r="E22" s="3349" t="s">
        <v>2886</v>
      </c>
      <c r="F22" s="3350"/>
      <c r="G22" s="3350"/>
      <c r="H22" s="3350"/>
      <c r="I22" s="3351"/>
      <c r="J22" s="1689"/>
      <c r="K22" s="1769"/>
      <c r="L22" s="1718"/>
      <c r="M22" s="1718"/>
      <c r="N22" s="1689"/>
      <c r="O22" s="1690"/>
      <c r="P22" s="1689"/>
      <c r="Q22" s="1689"/>
      <c r="R22" s="1689"/>
      <c r="S22" s="1689"/>
      <c r="T22" s="1689"/>
      <c r="U22" s="1689"/>
    </row>
    <row r="23" spans="1:21" ht="29.25" thickBot="1">
      <c r="A23" s="1760" t="s">
        <v>1957</v>
      </c>
      <c r="B23" s="1696" t="s">
        <v>1958</v>
      </c>
      <c r="C23" s="1697"/>
      <c r="D23" s="1698" t="s">
        <v>1959</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1960</v>
      </c>
      <c r="B24" s="3352" t="s">
        <v>1961</v>
      </c>
      <c r="C24" s="3353"/>
      <c r="D24" s="3354" t="s">
        <v>1962</v>
      </c>
      <c r="E24" s="3355"/>
      <c r="F24" s="1703" t="s">
        <v>1963</v>
      </c>
      <c r="G24" s="1689"/>
      <c r="H24" s="1689"/>
      <c r="I24" s="1702"/>
      <c r="J24" s="1689"/>
      <c r="K24" s="3340" t="s">
        <v>1964</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2320</v>
      </c>
      <c r="C25" s="1704" t="s">
        <v>1965</v>
      </c>
      <c r="D25" s="1705"/>
      <c r="E25" s="1706" t="s">
        <v>946</v>
      </c>
      <c r="F25" s="1707"/>
      <c r="G25" s="1689"/>
      <c r="H25" s="1689"/>
      <c r="I25" s="1702"/>
      <c r="J25" s="1689"/>
      <c r="K25" s="3340"/>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1966</v>
      </c>
      <c r="C26" s="1704" t="s">
        <v>2321</v>
      </c>
      <c r="D26" s="1655"/>
      <c r="E26" s="1655"/>
      <c r="F26" s="1683"/>
      <c r="G26" s="1689"/>
      <c r="H26" s="1689"/>
      <c r="I26" s="1702"/>
      <c r="J26" s="1689"/>
      <c r="K26" s="3340"/>
      <c r="L26" s="2453" t="str">
        <f>IF(E24="否","",IF('结果表-住宅'!H33="同一抵押权人同一抵押物续贷","由于本次评估为同一抵押权人的续贷土地抵押估价，故未将已抵押担保的债权数额（"&amp;C31&amp;"）作为法定优先受偿款予以扣减。",IF('结果表-住宅'!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1967</v>
      </c>
      <c r="B27" s="1748" t="s">
        <v>1968</v>
      </c>
      <c r="C27" s="1708"/>
      <c r="D27" s="2647" t="s">
        <v>1968</v>
      </c>
      <c r="E27" s="1709"/>
      <c r="F27" s="1683"/>
      <c r="G27" s="1689"/>
      <c r="H27" s="1689"/>
      <c r="I27" s="1702"/>
      <c r="J27" s="1689"/>
      <c r="K27" s="1769"/>
      <c r="L27" s="1718"/>
      <c r="M27" s="1718"/>
      <c r="N27" s="1689"/>
      <c r="O27" s="1690"/>
      <c r="P27" s="1689"/>
      <c r="Q27" s="1689"/>
      <c r="R27" s="1689"/>
      <c r="S27" s="1689"/>
      <c r="T27" s="1689"/>
      <c r="U27" s="1689"/>
    </row>
    <row r="28" spans="1:21">
      <c r="A28" s="1751"/>
      <c r="B28" s="1748" t="s">
        <v>1969</v>
      </c>
      <c r="C28" s="1710"/>
      <c r="D28" s="2648" t="s">
        <v>1969</v>
      </c>
      <c r="E28" s="1711"/>
      <c r="F28" s="1683"/>
      <c r="G28" s="1689"/>
      <c r="H28" s="1689"/>
      <c r="I28" s="1702"/>
      <c r="J28" s="1689"/>
      <c r="K28" s="1769"/>
      <c r="L28" s="1718"/>
      <c r="M28" s="1718"/>
      <c r="N28" s="1689"/>
      <c r="O28" s="1690"/>
      <c r="P28" s="1689"/>
      <c r="Q28" s="1689"/>
      <c r="R28" s="1689"/>
      <c r="S28" s="1689"/>
      <c r="T28" s="1689"/>
      <c r="U28" s="1689"/>
    </row>
    <row r="29" spans="1:21">
      <c r="A29" s="1751"/>
      <c r="B29" s="1748" t="s">
        <v>1970</v>
      </c>
      <c r="C29" s="1710"/>
      <c r="D29" s="2648" t="s">
        <v>1970</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1971</v>
      </c>
      <c r="C30" s="1712"/>
      <c r="D30" s="2649" t="s">
        <v>1971</v>
      </c>
      <c r="E30" s="1713"/>
      <c r="F30" s="1684"/>
      <c r="G30" s="1737"/>
      <c r="H30" s="1737"/>
      <c r="I30" s="1738"/>
      <c r="J30" s="1689"/>
      <c r="K30" s="1769"/>
      <c r="L30" s="1718"/>
      <c r="M30" s="1718"/>
      <c r="N30" s="1689"/>
      <c r="O30" s="1690"/>
      <c r="P30" s="1689"/>
      <c r="Q30" s="1689"/>
      <c r="R30" s="1689"/>
      <c r="S30" s="1689"/>
      <c r="T30" s="1689"/>
      <c r="U30" s="1689"/>
    </row>
    <row r="31" spans="1:21" ht="15" thickTop="1">
      <c r="A31" s="3367" t="s">
        <v>1996</v>
      </c>
      <c r="B31" s="1759" t="s">
        <v>1997</v>
      </c>
      <c r="C31" s="3365"/>
      <c r="D31" s="3366"/>
      <c r="E31" s="1689"/>
      <c r="F31" s="1689"/>
      <c r="G31" s="1689"/>
      <c r="H31" s="1689"/>
      <c r="I31" s="1702"/>
      <c r="J31" s="1689"/>
      <c r="K31" s="2454"/>
      <c r="L31" s="1689"/>
      <c r="M31" s="1689"/>
      <c r="N31" s="1689"/>
      <c r="O31" s="1689"/>
      <c r="P31" s="1689"/>
      <c r="Q31" s="1689"/>
      <c r="R31" s="1689"/>
      <c r="S31" s="1689"/>
      <c r="T31" s="1689"/>
      <c r="U31" s="1689"/>
    </row>
    <row r="32" spans="1:21">
      <c r="A32" s="3367"/>
      <c r="B32" s="1656" t="s">
        <v>1998</v>
      </c>
      <c r="C32" s="1714"/>
      <c r="D32" s="1715"/>
      <c r="E32" s="1689"/>
      <c r="F32" s="1689"/>
      <c r="G32" s="1689"/>
      <c r="H32" s="1689"/>
      <c r="I32" s="1702"/>
      <c r="J32" s="1689"/>
      <c r="K32" s="2454"/>
      <c r="L32" s="1689"/>
      <c r="M32" s="1689"/>
      <c r="N32" s="1689"/>
      <c r="O32" s="1689"/>
      <c r="P32" s="1689"/>
      <c r="Q32" s="1689"/>
      <c r="R32" s="1689"/>
      <c r="S32" s="1689"/>
      <c r="T32" s="1689"/>
      <c r="U32" s="1689"/>
    </row>
    <row r="33" spans="1:21">
      <c r="A33" s="3367"/>
      <c r="B33" s="1656" t="s">
        <v>1999</v>
      </c>
      <c r="C33" s="1716"/>
      <c r="D33" s="1833"/>
      <c r="E33" s="1689"/>
      <c r="F33" s="1689"/>
      <c r="G33" s="1689"/>
      <c r="H33" s="1689"/>
      <c r="I33" s="1702"/>
      <c r="J33" s="1689"/>
      <c r="K33" s="2454"/>
      <c r="L33" s="1689"/>
      <c r="M33" s="1689"/>
      <c r="N33" s="1689"/>
      <c r="O33" s="1689"/>
      <c r="P33" s="1689"/>
      <c r="Q33" s="1689"/>
      <c r="R33" s="1689"/>
      <c r="S33" s="1689"/>
      <c r="T33" s="1689"/>
      <c r="U33" s="1689"/>
    </row>
    <row r="34" spans="1:21">
      <c r="A34" s="3368"/>
      <c r="B34" s="1656" t="s">
        <v>2000</v>
      </c>
      <c r="C34" s="3369"/>
      <c r="D34" s="3370"/>
      <c r="E34" s="1689"/>
      <c r="F34" s="1689"/>
      <c r="G34" s="1689"/>
      <c r="H34" s="1689"/>
      <c r="I34" s="1702"/>
      <c r="J34" s="1689"/>
      <c r="K34" s="2454"/>
      <c r="L34" s="1689"/>
      <c r="M34" s="1689"/>
      <c r="N34" s="1689"/>
      <c r="O34" s="1689"/>
      <c r="P34" s="1689"/>
      <c r="Q34" s="1689"/>
      <c r="R34" s="1689"/>
      <c r="S34" s="1689"/>
      <c r="T34" s="1689"/>
      <c r="U34" s="1689"/>
    </row>
    <row r="35" spans="1:21">
      <c r="A35" s="3371" t="s">
        <v>841</v>
      </c>
      <c r="B35" s="1717"/>
      <c r="C35" s="1771" t="str">
        <f>IF(B35="场地平整","——","具体情况：")</f>
        <v>具体情况：</v>
      </c>
      <c r="D35" s="3373"/>
      <c r="E35" s="3374"/>
      <c r="F35" s="3374"/>
      <c r="G35" s="3374"/>
      <c r="H35" s="3374"/>
      <c r="I35" s="3375"/>
      <c r="J35" s="1689"/>
      <c r="K35" s="1770"/>
      <c r="L35" s="1718"/>
      <c r="M35" s="1718"/>
      <c r="N35" s="1689"/>
      <c r="O35" s="1690"/>
      <c r="P35" s="1689"/>
      <c r="Q35" s="1689"/>
      <c r="R35" s="1689"/>
      <c r="S35" s="1689"/>
      <c r="T35" s="1689"/>
      <c r="U35" s="1689"/>
    </row>
    <row r="36" spans="1:21">
      <c r="A36" s="3367"/>
      <c r="B36" s="3376" t="s">
        <v>2049</v>
      </c>
      <c r="C36" s="3377"/>
      <c r="D36" s="1787"/>
      <c r="E36" s="3378"/>
      <c r="F36" s="3378"/>
      <c r="G36" s="1682" t="str">
        <f>IF(B35="场地未平整","估价结果处理","")</f>
        <v/>
      </c>
      <c r="H36" s="3379"/>
      <c r="I36" s="3379"/>
      <c r="J36" s="1689"/>
      <c r="K36" s="1770"/>
      <c r="L36" s="1718"/>
      <c r="M36" s="1718"/>
      <c r="N36" s="1689"/>
      <c r="O36" s="1690"/>
      <c r="P36" s="1689"/>
      <c r="Q36" s="1689"/>
      <c r="R36" s="1689"/>
      <c r="S36" s="1689"/>
      <c r="T36" s="1689"/>
      <c r="U36" s="1689"/>
    </row>
    <row r="37" spans="1:21" ht="28.5">
      <c r="A37" s="3367"/>
      <c r="B37" s="3356" t="s">
        <v>842</v>
      </c>
      <c r="C37" s="1719" t="s">
        <v>843</v>
      </c>
      <c r="D37" s="1720"/>
      <c r="E37" s="1721"/>
      <c r="F37" s="1689"/>
      <c r="G37" s="1689"/>
      <c r="H37" s="1689"/>
      <c r="I37" s="1702"/>
      <c r="J37" s="1689"/>
      <c r="K37" s="1770"/>
      <c r="L37" s="1689"/>
      <c r="M37" s="1689"/>
      <c r="N37" s="1689"/>
      <c r="O37" s="1689"/>
      <c r="P37" s="1689"/>
      <c r="Q37" s="1689"/>
      <c r="R37" s="1689"/>
      <c r="S37" s="1689"/>
      <c r="T37" s="1689"/>
      <c r="U37" s="1689"/>
    </row>
    <row r="38" spans="1:21">
      <c r="A38" s="3367"/>
      <c r="B38" s="3357"/>
      <c r="C38" s="1664" t="s">
        <v>844</v>
      </c>
      <c r="D38" s="1786">
        <f>ROUNDDOWN(MIN(('数据-取费表'!$B$2-D37)/365,D34),1)</f>
        <v>118.8</v>
      </c>
      <c r="E38" s="1722" t="s">
        <v>845</v>
      </c>
      <c r="F38" s="1689"/>
      <c r="G38" s="1689"/>
      <c r="H38" s="1689"/>
      <c r="I38" s="1702"/>
      <c r="J38" s="1689"/>
      <c r="K38" s="1770"/>
      <c r="L38" s="1689"/>
      <c r="M38" s="1689"/>
      <c r="N38" s="1689"/>
      <c r="O38" s="1689"/>
      <c r="P38" s="1689"/>
      <c r="Q38" s="1689"/>
      <c r="R38" s="1689"/>
      <c r="S38" s="1689"/>
      <c r="T38" s="1689"/>
      <c r="U38" s="1689"/>
    </row>
    <row r="39" spans="1:21">
      <c r="A39" s="3368"/>
      <c r="B39" s="335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1972</v>
      </c>
      <c r="B40" s="1685"/>
      <c r="C40" s="1685"/>
      <c r="D40" s="1685"/>
      <c r="E40" s="1685"/>
      <c r="F40" s="1685"/>
      <c r="G40" s="1685"/>
      <c r="H40" s="1685"/>
      <c r="I40" s="1702"/>
      <c r="J40" s="1689"/>
      <c r="K40" s="1725">
        <f>COUNTIF(B40:H40,"——")</f>
        <v>0</v>
      </c>
      <c r="L40" s="1694" t="s">
        <v>1973</v>
      </c>
      <c r="M40" s="1691" t="s">
        <v>1974</v>
      </c>
      <c r="N40" s="1691" t="s">
        <v>1975</v>
      </c>
      <c r="O40" s="1691" t="s">
        <v>1976</v>
      </c>
      <c r="P40" s="1691" t="s">
        <v>1977</v>
      </c>
      <c r="Q40" s="1691" t="s">
        <v>1978</v>
      </c>
      <c r="R40" s="1691" t="s">
        <v>1979</v>
      </c>
      <c r="S40" s="3339" t="s">
        <v>1980</v>
      </c>
      <c r="T40" s="1726" t="str">
        <f>NUMBERSTRING(7-K40,1)&amp;"通"</f>
        <v>七通</v>
      </c>
      <c r="U40" s="1689"/>
    </row>
    <row r="41" spans="1:21">
      <c r="A41" s="1658"/>
      <c r="B41" s="3372" t="s">
        <v>1714</v>
      </c>
      <c r="C41" s="3372"/>
      <c r="D41" s="3372"/>
      <c r="E41" s="3372"/>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339"/>
      <c r="T41" s="1728" t="str">
        <f>IF(T40="一通",L41,IF(T40="二通",M41,IF(T40="三通",N41,IF(T40="四通",O41,IF(T40="五通",P41,IF(T40="六通",Q41,R41))))))</f>
        <v>、、、、、、</v>
      </c>
      <c r="U41" s="1689"/>
    </row>
    <row r="42" spans="1:21">
      <c r="A42" s="1730"/>
      <c r="B42" s="1761" t="s">
        <v>1890</v>
      </c>
      <c r="C42" s="1761" t="s">
        <v>1891</v>
      </c>
      <c r="D42" s="1761" t="s">
        <v>1892</v>
      </c>
      <c r="E42" s="1694" t="s">
        <v>1893</v>
      </c>
      <c r="F42" s="1731"/>
      <c r="G42" s="1689"/>
      <c r="H42" s="1689"/>
      <c r="I42" s="1702"/>
      <c r="J42" s="1689"/>
      <c r="K42" s="1769"/>
      <c r="L42" s="1718"/>
      <c r="M42" s="1718"/>
      <c r="N42" s="1689"/>
      <c r="O42" s="1690"/>
      <c r="P42" s="1689"/>
      <c r="Q42" s="1689"/>
      <c r="R42" s="1689"/>
      <c r="S42" s="1689"/>
      <c r="T42" s="1689"/>
      <c r="U42" s="1689"/>
    </row>
    <row r="43" spans="1:21">
      <c r="A43" s="1732" t="s">
        <v>1699</v>
      </c>
      <c r="B43" s="1733" t="s">
        <v>1410</v>
      </c>
      <c r="C43" s="1733" t="s">
        <v>1410</v>
      </c>
      <c r="D43" s="1733" t="s">
        <v>1410</v>
      </c>
      <c r="E43" s="1733"/>
      <c r="F43" s="1734"/>
      <c r="G43" s="1689"/>
      <c r="H43" s="1689"/>
      <c r="I43" s="1702"/>
      <c r="J43" s="1689"/>
      <c r="K43" s="1769"/>
      <c r="L43" s="1718"/>
      <c r="M43" s="1718"/>
      <c r="N43" s="1689"/>
      <c r="O43" s="1690"/>
      <c r="P43" s="1689"/>
      <c r="Q43" s="1689"/>
      <c r="R43" s="1689"/>
      <c r="S43" s="1689"/>
      <c r="T43" s="1689"/>
      <c r="U43" s="1689"/>
    </row>
    <row r="44" spans="1:21">
      <c r="A44" s="1732" t="s">
        <v>1700</v>
      </c>
      <c r="B44" s="1733" t="s">
        <v>3075</v>
      </c>
      <c r="C44" s="1733" t="s">
        <v>3075</v>
      </c>
      <c r="D44" s="1733" t="s">
        <v>3075</v>
      </c>
      <c r="E44" s="1787"/>
      <c r="F44" s="1734"/>
      <c r="G44" s="1689"/>
      <c r="H44" s="1689"/>
      <c r="I44" s="1702"/>
      <c r="J44" s="1689"/>
      <c r="K44" s="1769"/>
      <c r="L44" s="1718"/>
      <c r="M44" s="1718"/>
      <c r="N44" s="1689"/>
      <c r="O44" s="1690"/>
      <c r="P44" s="1689"/>
      <c r="Q44" s="1689"/>
      <c r="R44" s="1689"/>
      <c r="S44" s="1689"/>
      <c r="T44" s="1689"/>
      <c r="U44" s="1689"/>
    </row>
    <row r="45" spans="1:21" s="3066" customFormat="1" ht="21" thickBot="1">
      <c r="A45" s="3067" t="s">
        <v>2887</v>
      </c>
      <c r="B45" s="3062"/>
      <c r="C45" s="3062"/>
      <c r="D45" s="3062"/>
      <c r="E45" s="3062"/>
      <c r="F45" s="3062"/>
      <c r="G45" s="3062"/>
      <c r="H45" s="3062"/>
      <c r="I45" s="3063"/>
      <c r="J45" s="3062"/>
      <c r="K45" s="3064"/>
      <c r="L45" s="3065"/>
      <c r="M45" s="3065"/>
      <c r="N45" s="3062"/>
      <c r="O45" s="3063"/>
      <c r="P45" s="3062"/>
      <c r="Q45" s="3062"/>
      <c r="R45" s="3062"/>
      <c r="S45" s="3062"/>
      <c r="T45" s="3062"/>
      <c r="U45" s="3062"/>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2001</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2002</v>
      </c>
      <c r="B48" s="1681" t="s">
        <v>2003</v>
      </c>
      <c r="C48" s="1681" t="s">
        <v>2004</v>
      </c>
      <c r="D48" s="1681" t="s">
        <v>2005</v>
      </c>
      <c r="E48" s="1681" t="s">
        <v>2006</v>
      </c>
      <c r="F48" s="1681" t="s">
        <v>2007</v>
      </c>
      <c r="G48" s="1681" t="s">
        <v>2008</v>
      </c>
      <c r="H48" s="1681" t="s">
        <v>2009</v>
      </c>
      <c r="I48" s="1681" t="s">
        <v>2010</v>
      </c>
      <c r="J48" s="1767" t="s">
        <v>2011</v>
      </c>
      <c r="K48" s="1761" t="s">
        <v>2012</v>
      </c>
      <c r="L48" s="1761" t="s">
        <v>2013</v>
      </c>
      <c r="M48" s="1761" t="s">
        <v>2014</v>
      </c>
      <c r="N48" s="1681" t="s">
        <v>2015</v>
      </c>
      <c r="O48" s="1681" t="s">
        <v>2016</v>
      </c>
      <c r="P48" s="1681" t="s">
        <v>2017</v>
      </c>
      <c r="Q48" s="1694" t="s">
        <v>2018</v>
      </c>
      <c r="R48" s="1694" t="s">
        <v>2019</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6" sqref="H16"/>
    </sheetView>
  </sheetViews>
  <sheetFormatPr defaultColWidth="8.875" defaultRowHeight="14.25"/>
  <cols>
    <col min="1" max="1" width="13"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157</v>
      </c>
      <c r="B2" s="17" t="s">
        <v>158</v>
      </c>
      <c r="C2" s="17" t="s">
        <v>159</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161</v>
      </c>
      <c r="AZ2" s="2356" t="s">
        <v>2328</v>
      </c>
      <c r="BA2" s="2357" t="s">
        <v>2327</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183040.853</v>
      </c>
      <c r="B3" s="22">
        <f>IF(C3="否",G5-AT5,G5)</f>
        <v>709912</v>
      </c>
      <c r="C3" s="23" t="s">
        <v>946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162</v>
      </c>
      <c r="B5" s="985"/>
      <c r="C5" s="985"/>
      <c r="D5" s="992"/>
      <c r="E5" s="27" t="s">
        <v>1</v>
      </c>
      <c r="F5" s="27">
        <f>SUM(F13:F572)</f>
        <v>0</v>
      </c>
      <c r="G5" s="27">
        <f>SUM(G13:G572)</f>
        <v>709912</v>
      </c>
      <c r="H5" s="27">
        <f t="shared" ref="H5:AT5" si="0">SUM(H13:H641)</f>
        <v>709912</v>
      </c>
      <c r="I5" s="27">
        <f t="shared" si="0"/>
        <v>433886</v>
      </c>
      <c r="J5" s="27">
        <f t="shared" si="0"/>
        <v>0</v>
      </c>
      <c r="K5" s="27">
        <f t="shared" si="0"/>
        <v>9696</v>
      </c>
      <c r="L5" s="27">
        <f t="shared" si="0"/>
        <v>0</v>
      </c>
      <c r="M5" s="27">
        <f t="shared" si="0"/>
        <v>13877</v>
      </c>
      <c r="N5" s="27">
        <f t="shared" si="0"/>
        <v>0</v>
      </c>
      <c r="O5" s="27">
        <f t="shared" si="0"/>
        <v>115688.44</v>
      </c>
      <c r="P5" s="27">
        <f t="shared" si="0"/>
        <v>0</v>
      </c>
      <c r="Q5" s="27">
        <f t="shared" si="0"/>
        <v>32261</v>
      </c>
      <c r="R5" s="27">
        <f t="shared" si="0"/>
        <v>0</v>
      </c>
      <c r="S5" s="27">
        <f t="shared" si="0"/>
        <v>104503.56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162</v>
      </c>
      <c r="AW5" s="985"/>
      <c r="AX5" s="985"/>
      <c r="AY5" s="28" t="s">
        <v>3</v>
      </c>
      <c r="AZ5" s="29">
        <f t="shared" ref="AZ5:BT5" si="1">SUM(AZ13:AZ641)</f>
        <v>709912</v>
      </c>
      <c r="BA5" s="29">
        <f t="shared" si="1"/>
        <v>709912</v>
      </c>
      <c r="BB5" s="29">
        <f t="shared" si="1"/>
        <v>433886</v>
      </c>
      <c r="BC5" s="29">
        <f t="shared" si="1"/>
        <v>9696</v>
      </c>
      <c r="BD5" s="29">
        <f t="shared" si="1"/>
        <v>13877</v>
      </c>
      <c r="BE5" s="29">
        <f t="shared" si="1"/>
        <v>115688.44</v>
      </c>
      <c r="BF5" s="29">
        <f t="shared" si="1"/>
        <v>32261</v>
      </c>
      <c r="BG5" s="29">
        <f t="shared" si="1"/>
        <v>104503.56</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163</v>
      </c>
      <c r="B6" s="31"/>
      <c r="C6" s="31"/>
      <c r="D6" s="32"/>
      <c r="E6" s="27">
        <f>H6+AC6+AT6</f>
        <v>183040.86</v>
      </c>
      <c r="F6" s="27" t="s">
        <v>1</v>
      </c>
      <c r="G6" s="27" t="s">
        <v>2</v>
      </c>
      <c r="H6" s="33">
        <f>SUMIF(I$12:AB$12,"总值",I6:AB6)</f>
        <v>183040.86</v>
      </c>
      <c r="I6" s="27">
        <f t="shared" ref="I6:AB6" si="2">ROUND($A$3*I5/$B$3,2)</f>
        <v>111871.42</v>
      </c>
      <c r="J6" s="27">
        <f t="shared" si="2"/>
        <v>0</v>
      </c>
      <c r="K6" s="27">
        <f t="shared" si="2"/>
        <v>2499.98</v>
      </c>
      <c r="L6" s="27">
        <f t="shared" si="2"/>
        <v>0</v>
      </c>
      <c r="M6" s="27">
        <f t="shared" si="2"/>
        <v>3577.99</v>
      </c>
      <c r="N6" s="27">
        <f t="shared" si="2"/>
        <v>0</v>
      </c>
      <c r="O6" s="27">
        <f t="shared" si="2"/>
        <v>29828.639999999999</v>
      </c>
      <c r="P6" s="27">
        <f t="shared" si="2"/>
        <v>0</v>
      </c>
      <c r="Q6" s="27">
        <f t="shared" si="2"/>
        <v>8318.0499999999993</v>
      </c>
      <c r="R6" s="27">
        <f t="shared" si="2"/>
        <v>0</v>
      </c>
      <c r="S6" s="27">
        <f t="shared" si="2"/>
        <v>26944.78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163</v>
      </c>
      <c r="AW6" s="31"/>
      <c r="AX6" s="31"/>
      <c r="AY6" s="35">
        <f>IF(AY3&gt;0,AY3,ROUND($A$3*AZ5/$B$3,2))</f>
        <v>183040.85</v>
      </c>
      <c r="AZ6" s="27" t="s">
        <v>3</v>
      </c>
      <c r="BA6" s="27">
        <f>ROUND($AY$6*BA5/$AZ$5,2)</f>
        <v>183040.85</v>
      </c>
      <c r="BB6" s="27">
        <f>ROUND($AY$6*BB5/$AZ$5,2)</f>
        <v>111871.42</v>
      </c>
      <c r="BC6" s="27">
        <f t="shared" ref="BC6:BH6" si="4">ROUND($AY$6*BC5/$AZ$5,2)</f>
        <v>2499.98</v>
      </c>
      <c r="BD6" s="27">
        <f t="shared" si="4"/>
        <v>3577.99</v>
      </c>
      <c r="BE6" s="27">
        <f t="shared" si="4"/>
        <v>29828.639999999999</v>
      </c>
      <c r="BF6" s="27">
        <f t="shared" si="4"/>
        <v>8318.0499999999993</v>
      </c>
      <c r="BG6" s="27">
        <f t="shared" si="4"/>
        <v>26944.78</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164</v>
      </c>
      <c r="B7" s="38" t="s">
        <v>165</v>
      </c>
      <c r="C7" s="38" t="s">
        <v>166</v>
      </c>
      <c r="D7" s="38" t="s">
        <v>167</v>
      </c>
      <c r="E7" s="38" t="s">
        <v>168</v>
      </c>
      <c r="F7" s="38" t="s">
        <v>169</v>
      </c>
      <c r="G7" s="39" t="s">
        <v>170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171</v>
      </c>
      <c r="AV7" s="41" t="s">
        <v>172</v>
      </c>
      <c r="AW7" s="42" t="s">
        <v>173</v>
      </c>
      <c r="AX7" s="41" t="s">
        <v>174</v>
      </c>
      <c r="AY7" s="985" t="s">
        <v>175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176</v>
      </c>
      <c r="H8" s="47" t="s">
        <v>177</v>
      </c>
      <c r="I8" s="48"/>
      <c r="J8" s="997"/>
      <c r="K8" s="997"/>
      <c r="L8" s="997"/>
      <c r="M8" s="997"/>
      <c r="N8" s="997"/>
      <c r="O8" s="997"/>
      <c r="P8" s="997"/>
      <c r="Q8" s="997"/>
      <c r="R8" s="997"/>
      <c r="S8" s="997"/>
      <c r="T8" s="997"/>
      <c r="U8" s="997"/>
      <c r="V8" s="49"/>
      <c r="W8" s="997"/>
      <c r="X8" s="997"/>
      <c r="Y8" s="997"/>
      <c r="Z8" s="997"/>
      <c r="AA8" s="49"/>
      <c r="AB8" s="50"/>
      <c r="AC8" s="51" t="s">
        <v>178</v>
      </c>
      <c r="AD8" s="52"/>
      <c r="AE8" s="43"/>
      <c r="AF8" s="997"/>
      <c r="AG8" s="997"/>
      <c r="AH8" s="997"/>
      <c r="AI8" s="997"/>
      <c r="AJ8" s="997"/>
      <c r="AK8" s="997"/>
      <c r="AL8" s="997"/>
      <c r="AM8" s="997"/>
      <c r="AN8" s="997"/>
      <c r="AO8" s="997"/>
      <c r="AP8" s="997"/>
      <c r="AQ8" s="997"/>
      <c r="AR8" s="997"/>
      <c r="AS8" s="2293"/>
      <c r="AT8" s="2324" t="s">
        <v>849</v>
      </c>
      <c r="AU8" s="45" t="s">
        <v>179</v>
      </c>
      <c r="AV8" s="55"/>
      <c r="AW8" s="999"/>
      <c r="AX8" s="55"/>
      <c r="AY8" s="42" t="s">
        <v>180</v>
      </c>
      <c r="AZ8" s="996" t="s">
        <v>181</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182</v>
      </c>
      <c r="I9" s="3014" t="s">
        <v>2996</v>
      </c>
      <c r="J9" s="51"/>
      <c r="K9" s="3014" t="s">
        <v>2996</v>
      </c>
      <c r="L9" s="51"/>
      <c r="M9" s="3014" t="s">
        <v>2996</v>
      </c>
      <c r="N9" s="51"/>
      <c r="O9" s="59" t="s">
        <v>3060</v>
      </c>
      <c r="P9" s="51"/>
      <c r="Q9" s="59" t="s">
        <v>3060</v>
      </c>
      <c r="R9" s="51"/>
      <c r="S9" s="59" t="s">
        <v>3060</v>
      </c>
      <c r="T9" s="51"/>
      <c r="U9" s="59"/>
      <c r="V9" s="51"/>
      <c r="W9" s="59"/>
      <c r="X9" s="60"/>
      <c r="Y9" s="59"/>
      <c r="Z9" s="51"/>
      <c r="AA9" s="59"/>
      <c r="AB9" s="51"/>
      <c r="AC9" s="46" t="s">
        <v>182</v>
      </c>
      <c r="AD9" s="26" t="s">
        <v>183</v>
      </c>
      <c r="AE9" s="61"/>
      <c r="AF9" s="26" t="s">
        <v>184</v>
      </c>
      <c r="AG9" s="61"/>
      <c r="AH9" s="26" t="s">
        <v>185</v>
      </c>
      <c r="AI9" s="61"/>
      <c r="AJ9" s="26" t="s">
        <v>186</v>
      </c>
      <c r="AK9" s="61"/>
      <c r="AL9" s="26" t="s">
        <v>185</v>
      </c>
      <c r="AM9" s="61"/>
      <c r="AN9" s="26" t="s">
        <v>186</v>
      </c>
      <c r="AO9" s="61"/>
      <c r="AP9" s="1183" t="s">
        <v>185</v>
      </c>
      <c r="AQ9" s="1185"/>
      <c r="AR9" s="1183" t="s">
        <v>186</v>
      </c>
      <c r="AS9" s="2325"/>
      <c r="AT9" s="45"/>
      <c r="AU9" s="45" t="s">
        <v>188</v>
      </c>
      <c r="AV9" s="55"/>
      <c r="AW9" s="999"/>
      <c r="AX9" s="55"/>
      <c r="AY9" s="62"/>
      <c r="AZ9" s="62" t="s">
        <v>189</v>
      </c>
      <c r="BA9" s="63" t="s">
        <v>190</v>
      </c>
      <c r="BB9" s="64"/>
      <c r="BC9" s="991"/>
      <c r="BD9" s="991"/>
      <c r="BE9" s="991"/>
      <c r="BF9" s="991"/>
      <c r="BG9" s="991"/>
      <c r="BH9" s="991"/>
      <c r="BI9" s="991"/>
      <c r="BJ9" s="991"/>
      <c r="BK9" s="65"/>
      <c r="BL9" s="26" t="s">
        <v>191</v>
      </c>
      <c r="BM9" s="997"/>
      <c r="BN9" s="48"/>
      <c r="BO9" s="997"/>
      <c r="BP9" s="997"/>
      <c r="BQ9" s="997"/>
      <c r="BR9" s="997"/>
      <c r="BS9" s="997"/>
      <c r="BT9" s="56"/>
    </row>
    <row r="10" spans="1:72" s="57" customFormat="1" ht="12.75">
      <c r="A10" s="45"/>
      <c r="B10" s="45"/>
      <c r="C10" s="45"/>
      <c r="D10" s="45"/>
      <c r="E10" s="45"/>
      <c r="F10" s="45"/>
      <c r="G10" s="55"/>
      <c r="H10" s="62"/>
      <c r="I10" s="3014" t="s">
        <v>917</v>
      </c>
      <c r="J10" s="51"/>
      <c r="K10" s="3016" t="s">
        <v>2995</v>
      </c>
      <c r="L10" s="51"/>
      <c r="M10" s="3016" t="s">
        <v>1672</v>
      </c>
      <c r="N10" s="51"/>
      <c r="O10" s="66" t="s">
        <v>3061</v>
      </c>
      <c r="P10" s="51"/>
      <c r="Q10" s="66" t="s">
        <v>3062</v>
      </c>
      <c r="R10" s="51"/>
      <c r="S10" s="66" t="s">
        <v>946</v>
      </c>
      <c r="T10" s="51"/>
      <c r="U10" s="66"/>
      <c r="V10" s="51"/>
      <c r="W10" s="66"/>
      <c r="X10" s="51"/>
      <c r="Y10" s="66"/>
      <c r="Z10" s="51"/>
      <c r="AA10" s="66"/>
      <c r="AB10" s="51"/>
      <c r="AC10" s="55"/>
      <c r="AD10" s="2310" t="s">
        <v>2312</v>
      </c>
      <c r="AE10" s="2332"/>
      <c r="AF10" s="2310" t="s">
        <v>2312</v>
      </c>
      <c r="AG10" s="2332"/>
      <c r="AH10" s="2310" t="s">
        <v>2313</v>
      </c>
      <c r="AI10" s="2332"/>
      <c r="AJ10" s="26" t="s">
        <v>2326</v>
      </c>
      <c r="AK10" s="2329"/>
      <c r="AL10" s="2310" t="s">
        <v>2314</v>
      </c>
      <c r="AM10" s="2311"/>
      <c r="AN10" s="26" t="s">
        <v>192</v>
      </c>
      <c r="AO10" s="61"/>
      <c r="AP10" s="1183" t="s">
        <v>193</v>
      </c>
      <c r="AQ10" s="1185"/>
      <c r="AR10" s="1183" t="s">
        <v>193</v>
      </c>
      <c r="AS10" s="1185"/>
      <c r="AT10" s="45"/>
      <c r="AU10" s="45"/>
      <c r="AV10" s="55"/>
      <c r="AW10" s="999"/>
      <c r="AX10" s="55"/>
      <c r="AY10" s="62"/>
      <c r="AZ10" s="62"/>
      <c r="BA10" s="67" t="s">
        <v>187</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187</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15"/>
      <c r="J11" s="71"/>
      <c r="K11" s="3015"/>
      <c r="L11" s="71"/>
      <c r="M11" s="70"/>
      <c r="N11" s="71"/>
      <c r="O11" s="70"/>
      <c r="P11" s="71"/>
      <c r="Q11" s="70"/>
      <c r="R11" s="71"/>
      <c r="S11" s="70"/>
      <c r="T11" s="71"/>
      <c r="U11" s="70"/>
      <c r="V11" s="71"/>
      <c r="W11" s="70"/>
      <c r="X11" s="71"/>
      <c r="Y11" s="70"/>
      <c r="Z11" s="71"/>
      <c r="AA11" s="70"/>
      <c r="AB11" s="71"/>
      <c r="AC11" s="55"/>
      <c r="AD11" s="2330" t="s">
        <v>2325</v>
      </c>
      <c r="AE11" s="998"/>
      <c r="AF11" s="2330" t="s">
        <v>2325</v>
      </c>
      <c r="AG11" s="998"/>
      <c r="AH11" s="2330" t="s">
        <v>2324</v>
      </c>
      <c r="AI11" s="2331"/>
      <c r="AJ11" s="2330" t="s">
        <v>2324</v>
      </c>
      <c r="AK11" s="2329"/>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办公</v>
      </c>
      <c r="BE11" s="50" t="str">
        <f>O10</f>
        <v>车库—商业</v>
      </c>
      <c r="BF11" s="50" t="str">
        <f>Q10</f>
        <v>仓储</v>
      </c>
      <c r="BG11" s="50" t="str">
        <f>S10</f>
        <v>——</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194</v>
      </c>
      <c r="J12" s="17" t="s">
        <v>195</v>
      </c>
      <c r="K12" s="17" t="s">
        <v>194</v>
      </c>
      <c r="L12" s="17" t="s">
        <v>195</v>
      </c>
      <c r="M12" s="17" t="s">
        <v>194</v>
      </c>
      <c r="N12" s="17" t="s">
        <v>195</v>
      </c>
      <c r="O12" s="17" t="s">
        <v>194</v>
      </c>
      <c r="P12" s="17" t="s">
        <v>195</v>
      </c>
      <c r="Q12" s="17" t="s">
        <v>194</v>
      </c>
      <c r="R12" s="17" t="s">
        <v>195</v>
      </c>
      <c r="S12" s="17" t="s">
        <v>194</v>
      </c>
      <c r="T12" s="17" t="s">
        <v>195</v>
      </c>
      <c r="U12" s="17" t="s">
        <v>194</v>
      </c>
      <c r="V12" s="984" t="s">
        <v>195</v>
      </c>
      <c r="W12" s="17" t="s">
        <v>194</v>
      </c>
      <c r="X12" s="17" t="s">
        <v>195</v>
      </c>
      <c r="Y12" s="17" t="s">
        <v>194</v>
      </c>
      <c r="Z12" s="17" t="s">
        <v>195</v>
      </c>
      <c r="AA12" s="17" t="s">
        <v>194</v>
      </c>
      <c r="AB12" s="17" t="s">
        <v>195</v>
      </c>
      <c r="AC12" s="75"/>
      <c r="AD12" s="992" t="s">
        <v>194</v>
      </c>
      <c r="AE12" s="17" t="s">
        <v>195</v>
      </c>
      <c r="AF12" s="17" t="s">
        <v>194</v>
      </c>
      <c r="AG12" s="17" t="s">
        <v>195</v>
      </c>
      <c r="AH12" s="17" t="s">
        <v>194</v>
      </c>
      <c r="AI12" s="17" t="s">
        <v>195</v>
      </c>
      <c r="AJ12" s="17" t="s">
        <v>194</v>
      </c>
      <c r="AK12" s="17" t="s">
        <v>195</v>
      </c>
      <c r="AL12" s="17" t="s">
        <v>194</v>
      </c>
      <c r="AM12" s="17" t="s">
        <v>195</v>
      </c>
      <c r="AN12" s="17" t="s">
        <v>194</v>
      </c>
      <c r="AO12" s="17" t="s">
        <v>195</v>
      </c>
      <c r="AP12" s="1182" t="s">
        <v>194</v>
      </c>
      <c r="AQ12" s="1182" t="s">
        <v>195</v>
      </c>
      <c r="AR12" s="1188" t="s">
        <v>194</v>
      </c>
      <c r="AS12" s="1187" t="s">
        <v>195</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10"/>
      <c r="B13" s="3010"/>
      <c r="C13" s="3010"/>
      <c r="D13" s="3011" t="s">
        <v>1673</v>
      </c>
      <c r="E13" s="27">
        <f t="shared" ref="E13:E20" si="6">IF($C$3="是",ROUND($A$3*G13/$B$3,2),ROUND($A$3*(G13-AT13)/$B$3,2))</f>
        <v>111871.42</v>
      </c>
      <c r="F13" s="81"/>
      <c r="G13" s="82">
        <f t="shared" ref="G13:G20" si="7">H13+AC13+AT13</f>
        <v>433886</v>
      </c>
      <c r="H13" s="33">
        <f t="shared" ref="H13:H20" si="8">SUMIF(I$12:AB$12,"总值",I13:AB13)</f>
        <v>433886</v>
      </c>
      <c r="I13" s="81">
        <v>433886</v>
      </c>
      <c r="J13" s="3013"/>
      <c r="K13" s="81"/>
      <c r="L13" s="3013"/>
      <c r="M13" s="81"/>
      <c r="N13" s="83"/>
      <c r="O13" s="83"/>
      <c r="P13" s="83"/>
      <c r="Q13" s="83"/>
      <c r="R13" s="83"/>
      <c r="S13" s="83"/>
      <c r="T13" s="83"/>
      <c r="U13" s="83"/>
      <c r="V13" s="83"/>
      <c r="W13" s="83"/>
      <c r="X13" s="83"/>
      <c r="Y13" s="83"/>
      <c r="Z13" s="83"/>
      <c r="AA13" s="83"/>
      <c r="AB13" s="83"/>
      <c r="AC13" s="27">
        <f t="shared" ref="AC13:AC20" si="9">SUMIF(AD$12:AS$12,"总值",AD13:AS13)</f>
        <v>0</v>
      </c>
      <c r="AD13" s="3017"/>
      <c r="AE13" s="3017"/>
      <c r="AF13" s="3017"/>
      <c r="AG13" s="3017"/>
      <c r="AH13" s="3017"/>
      <c r="AI13" s="3017"/>
      <c r="AJ13" s="3017"/>
      <c r="AK13" s="3017"/>
      <c r="AL13" s="3017"/>
      <c r="AM13" s="3017"/>
      <c r="AN13" s="3017"/>
      <c r="AO13" s="3017"/>
      <c r="AP13" s="3017"/>
      <c r="AQ13" s="3017"/>
      <c r="AR13" s="3017"/>
      <c r="AS13" s="3017"/>
      <c r="AT13" s="3018"/>
      <c r="AU13" s="3019"/>
      <c r="AV13" s="17">
        <f t="shared" ref="AV13:AX20" si="10">A13</f>
        <v>0</v>
      </c>
      <c r="AW13" s="17">
        <f t="shared" si="10"/>
        <v>0</v>
      </c>
      <c r="AX13" s="17">
        <f t="shared" si="10"/>
        <v>0</v>
      </c>
      <c r="AY13" s="992">
        <f t="shared" ref="AY13:AY20" si="11">ROUND($AY$6*AZ13/$AZ$5,2)</f>
        <v>111871.42</v>
      </c>
      <c r="AZ13" s="27">
        <f t="shared" ref="AZ13:AZ20" si="12">BA13+BL13</f>
        <v>433886</v>
      </c>
      <c r="BA13" s="27">
        <f t="shared" ref="BA13:BA20" si="13">SUM(BB13:BK13)</f>
        <v>433886</v>
      </c>
      <c r="BB13" s="27">
        <f t="shared" ref="BB13:BB20" si="14">IF($D13="是",I13-J13,0)</f>
        <v>433886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010"/>
      <c r="D14" s="3011" t="s">
        <v>1673</v>
      </c>
      <c r="E14" s="27">
        <f t="shared" si="6"/>
        <v>2499.98</v>
      </c>
      <c r="F14" s="81"/>
      <c r="G14" s="82">
        <f t="shared" si="7"/>
        <v>9696</v>
      </c>
      <c r="H14" s="33">
        <f t="shared" si="8"/>
        <v>9696</v>
      </c>
      <c r="I14" s="81"/>
      <c r="J14" s="3013"/>
      <c r="K14" s="81">
        <v>9696</v>
      </c>
      <c r="L14" s="3013"/>
      <c r="M14" s="81"/>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f t="shared" si="10"/>
        <v>0</v>
      </c>
      <c r="AY14" s="992">
        <f t="shared" si="11"/>
        <v>2499.98</v>
      </c>
      <c r="AZ14" s="27">
        <f t="shared" si="12"/>
        <v>9696</v>
      </c>
      <c r="BA14" s="27">
        <f t="shared" si="13"/>
        <v>9696</v>
      </c>
      <c r="BB14" s="27">
        <f t="shared" si="14"/>
        <v>0</v>
      </c>
      <c r="BC14" s="27">
        <f t="shared" si="15"/>
        <v>9696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t="s">
        <v>1673</v>
      </c>
      <c r="E15" s="27">
        <f t="shared" si="6"/>
        <v>3577.99</v>
      </c>
      <c r="F15" s="81"/>
      <c r="G15" s="82">
        <f t="shared" si="7"/>
        <v>13877</v>
      </c>
      <c r="H15" s="33">
        <f t="shared" si="8"/>
        <v>13877</v>
      </c>
      <c r="I15" s="3013"/>
      <c r="J15" s="3013"/>
      <c r="K15" s="3013"/>
      <c r="L15" s="3013"/>
      <c r="M15" s="3013">
        <v>13877</v>
      </c>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f t="shared" si="10"/>
        <v>0</v>
      </c>
      <c r="AY15" s="992">
        <f t="shared" si="11"/>
        <v>3577.99</v>
      </c>
      <c r="AZ15" s="27">
        <f t="shared" si="12"/>
        <v>13877</v>
      </c>
      <c r="BA15" s="27">
        <f t="shared" si="13"/>
        <v>13877</v>
      </c>
      <c r="BB15" s="27">
        <f t="shared" si="14"/>
        <v>0</v>
      </c>
      <c r="BC15" s="27">
        <f t="shared" si="15"/>
        <v>0</v>
      </c>
      <c r="BD15" s="27">
        <f t="shared" si="16"/>
        <v>13877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t="s">
        <v>1673</v>
      </c>
      <c r="E16" s="27">
        <f t="shared" si="6"/>
        <v>29828.639999999999</v>
      </c>
      <c r="F16" s="81"/>
      <c r="G16" s="82">
        <f t="shared" si="7"/>
        <v>115688.44</v>
      </c>
      <c r="H16" s="33">
        <f t="shared" si="8"/>
        <v>115688.44</v>
      </c>
      <c r="I16" s="3013"/>
      <c r="J16" s="3013"/>
      <c r="K16" s="3013"/>
      <c r="L16" s="3013"/>
      <c r="M16" s="3013"/>
      <c r="N16" s="83"/>
      <c r="O16" s="83">
        <v>115688.44</v>
      </c>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f t="shared" si="10"/>
        <v>0</v>
      </c>
      <c r="AY16" s="992">
        <f t="shared" si="11"/>
        <v>29828.639999999999</v>
      </c>
      <c r="AZ16" s="27">
        <f t="shared" si="12"/>
        <v>115688.44</v>
      </c>
      <c r="BA16" s="27">
        <f t="shared" si="13"/>
        <v>115688.44</v>
      </c>
      <c r="BB16" s="27">
        <f t="shared" si="14"/>
        <v>0</v>
      </c>
      <c r="BC16" s="27">
        <f t="shared" si="15"/>
        <v>0</v>
      </c>
      <c r="BD16" s="27">
        <f t="shared" si="16"/>
        <v>0</v>
      </c>
      <c r="BE16" s="27">
        <f t="shared" si="17"/>
        <v>115688.44</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t="s">
        <v>1673</v>
      </c>
      <c r="E17" s="27">
        <f t="shared" si="6"/>
        <v>8318.0499999999993</v>
      </c>
      <c r="F17" s="81"/>
      <c r="G17" s="82">
        <f t="shared" si="7"/>
        <v>32261</v>
      </c>
      <c r="H17" s="33">
        <f t="shared" si="8"/>
        <v>32261</v>
      </c>
      <c r="I17" s="3013"/>
      <c r="J17" s="3013"/>
      <c r="K17" s="3013"/>
      <c r="L17" s="3013"/>
      <c r="M17" s="3013"/>
      <c r="N17" s="83"/>
      <c r="O17" s="83"/>
      <c r="P17" s="83"/>
      <c r="Q17" s="83">
        <v>32261</v>
      </c>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f t="shared" si="10"/>
        <v>0</v>
      </c>
      <c r="AY17" s="992">
        <f t="shared" si="11"/>
        <v>8318.0499999999993</v>
      </c>
      <c r="AZ17" s="27">
        <f t="shared" si="12"/>
        <v>32261</v>
      </c>
      <c r="BA17" s="27">
        <f t="shared" si="13"/>
        <v>32261</v>
      </c>
      <c r="BB17" s="27">
        <f t="shared" si="14"/>
        <v>0</v>
      </c>
      <c r="BC17" s="27">
        <f t="shared" si="15"/>
        <v>0</v>
      </c>
      <c r="BD17" s="27">
        <f t="shared" si="16"/>
        <v>0</v>
      </c>
      <c r="BE17" s="27">
        <f t="shared" si="17"/>
        <v>0</v>
      </c>
      <c r="BF17" s="27">
        <f t="shared" si="18"/>
        <v>32261</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1" t="s">
        <v>1673</v>
      </c>
      <c r="E18" s="87">
        <f t="shared" si="6"/>
        <v>26944.78</v>
      </c>
      <c r="F18" s="88"/>
      <c r="G18" s="89">
        <f t="shared" si="7"/>
        <v>104503.56</v>
      </c>
      <c r="H18" s="90">
        <f t="shared" si="8"/>
        <v>104503.56</v>
      </c>
      <c r="I18" s="1390"/>
      <c r="J18" s="91"/>
      <c r="K18" s="1390"/>
      <c r="L18" s="91"/>
      <c r="M18" s="91"/>
      <c r="N18" s="91"/>
      <c r="O18" s="91"/>
      <c r="P18" s="91"/>
      <c r="Q18" s="91"/>
      <c r="R18" s="91"/>
      <c r="S18" s="91">
        <f>252453-O16-Q17</f>
        <v>104503.56</v>
      </c>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26944.78</v>
      </c>
      <c r="AZ18" s="87">
        <f t="shared" si="12"/>
        <v>104503.56</v>
      </c>
      <c r="BA18" s="87">
        <f t="shared" si="13"/>
        <v>104503.56</v>
      </c>
      <c r="BB18" s="87">
        <f t="shared" si="14"/>
        <v>0</v>
      </c>
      <c r="BC18" s="87">
        <f t="shared" si="15"/>
        <v>0</v>
      </c>
      <c r="BD18" s="87">
        <f t="shared" si="16"/>
        <v>0</v>
      </c>
      <c r="BE18" s="87">
        <f t="shared" si="17"/>
        <v>0</v>
      </c>
      <c r="BF18" s="87">
        <f t="shared" si="18"/>
        <v>0</v>
      </c>
      <c r="BG18" s="87">
        <f t="shared" si="19"/>
        <v>104503.56</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3011" t="s">
        <v>1673</v>
      </c>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0" t="s">
        <v>0</v>
      </c>
      <c r="B1" s="3380" t="s">
        <v>4</v>
      </c>
      <c r="C1" s="3380" t="s">
        <v>5</v>
      </c>
      <c r="D1" s="3381" t="s">
        <v>40</v>
      </c>
      <c r="E1" s="3381" t="s">
        <v>41</v>
      </c>
      <c r="F1" s="3381"/>
      <c r="G1" s="3381"/>
      <c r="H1" s="3381"/>
      <c r="I1" s="3381"/>
      <c r="J1" s="3381"/>
      <c r="K1" s="3381"/>
      <c r="L1" s="3381"/>
      <c r="M1" s="3381"/>
    </row>
    <row r="2" spans="1:13" ht="27" customHeight="1">
      <c r="A2" s="3380"/>
      <c r="B2" s="3380"/>
      <c r="C2" s="3380"/>
      <c r="D2" s="3381"/>
      <c r="E2" s="3381" t="s">
        <v>24</v>
      </c>
      <c r="F2" s="3381" t="s">
        <v>25</v>
      </c>
      <c r="G2" s="3381"/>
      <c r="H2" s="3381"/>
      <c r="I2" s="3381"/>
      <c r="J2" s="3381" t="s">
        <v>26</v>
      </c>
      <c r="K2" s="3381"/>
      <c r="L2" s="3381"/>
      <c r="M2" s="3381"/>
    </row>
    <row r="3" spans="1:13" ht="28.5">
      <c r="A3" s="3380"/>
      <c r="B3" s="3380"/>
      <c r="C3" s="3380"/>
      <c r="D3" s="3381"/>
      <c r="E3" s="33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1" t="s">
        <v>42</v>
      </c>
      <c r="B9" s="3381"/>
      <c r="C9" s="33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E27" sqref="E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196</v>
      </c>
      <c r="B1" s="1980"/>
      <c r="C1" s="1980"/>
      <c r="D1" s="1980"/>
      <c r="E1" s="1980"/>
      <c r="F1" s="1980"/>
      <c r="G1" s="1980"/>
      <c r="H1" s="1980"/>
      <c r="I1" s="1980"/>
      <c r="J1" s="1980"/>
      <c r="K1" s="1980"/>
      <c r="L1" s="1980"/>
    </row>
    <row r="2" spans="1:16" ht="15">
      <c r="A2" s="3391" t="s">
        <v>197</v>
      </c>
      <c r="B2" s="3391"/>
      <c r="C2" s="3391"/>
      <c r="D2" s="1971" t="s">
        <v>198</v>
      </c>
      <c r="E2" s="106" t="s">
        <v>199</v>
      </c>
      <c r="F2" s="1980"/>
      <c r="G2" s="1194"/>
      <c r="H2" s="1195"/>
      <c r="I2" s="1196" t="s">
        <v>851</v>
      </c>
      <c r="J2" s="1980"/>
      <c r="K2" s="1980"/>
      <c r="L2" s="1980"/>
    </row>
    <row r="3" spans="1:16" ht="15.75" thickBot="1">
      <c r="A3" s="3392" t="s">
        <v>200</v>
      </c>
      <c r="B3" s="3392"/>
      <c r="C3" s="3392"/>
      <c r="D3" s="107">
        <f>'数据-基础表'!AY6</f>
        <v>183040.85</v>
      </c>
      <c r="E3" s="107">
        <f>'数据-基础表'!AZ5</f>
        <v>709912</v>
      </c>
      <c r="F3" s="1980"/>
      <c r="G3" s="276" t="s">
        <v>852</v>
      </c>
      <c r="H3" s="274" t="s">
        <v>853</v>
      </c>
      <c r="I3" s="1972">
        <f>ROUND('数据-基础表'!B3/'数据-基础表'!A3,1)</f>
        <v>3.9</v>
      </c>
      <c r="J3" s="1980"/>
      <c r="K3" s="1980"/>
      <c r="L3" s="1980"/>
    </row>
    <row r="4" spans="1:16" ht="15">
      <c r="A4" s="3393"/>
      <c r="B4" s="3394"/>
      <c r="C4" s="3395"/>
      <c r="D4" s="108" t="s">
        <v>198</v>
      </c>
      <c r="E4" s="109" t="s">
        <v>199</v>
      </c>
      <c r="F4" s="1980"/>
      <c r="G4" s="1197"/>
      <c r="H4" s="274" t="s">
        <v>854</v>
      </c>
      <c r="I4" s="1972">
        <f>ROUND(SUMIF('数据-基础表'!I9:AS9,"地上",'数据-基础表'!I5:AS5)/'数据-基础表'!A3,1)</f>
        <v>2.5</v>
      </c>
      <c r="J4" s="1980"/>
      <c r="K4" s="1980"/>
      <c r="L4" s="1980"/>
    </row>
    <row r="5" spans="1:16">
      <c r="A5" s="110" t="s">
        <v>201</v>
      </c>
      <c r="B5" s="3396" t="s">
        <v>224</v>
      </c>
      <c r="C5" s="3396"/>
      <c r="D5" s="111">
        <f>ROUND($D$3*E5/$E$3,2)</f>
        <v>111871.42</v>
      </c>
      <c r="E5" s="112">
        <f>SUMIF('数据-基础表'!$11:$11,"住宅",'数据-基础表'!$5:$5)</f>
        <v>433886</v>
      </c>
      <c r="F5" s="1980"/>
      <c r="G5" s="276" t="s">
        <v>855</v>
      </c>
      <c r="H5" s="274" t="s">
        <v>853</v>
      </c>
      <c r="I5" s="1972">
        <f>ROUND(E31/D31,1)</f>
        <v>3.9</v>
      </c>
      <c r="J5" s="1980"/>
      <c r="K5" s="1980"/>
      <c r="L5" s="1980"/>
    </row>
    <row r="6" spans="1:16" ht="15" thickBot="1">
      <c r="A6" s="113"/>
      <c r="B6" s="3396" t="s">
        <v>202</v>
      </c>
      <c r="C6" s="3396"/>
      <c r="D6" s="111">
        <f>ROUND($D$3*E6/$E$3,2)</f>
        <v>71169.429999999993</v>
      </c>
      <c r="E6" s="112">
        <f>E3-E5</f>
        <v>276026</v>
      </c>
      <c r="F6" s="1980"/>
      <c r="G6" s="1197"/>
      <c r="H6" s="274" t="s">
        <v>854</v>
      </c>
      <c r="I6" s="1972">
        <f>ROUND(F31/D31,1)</f>
        <v>2.5</v>
      </c>
      <c r="J6" s="1980"/>
      <c r="K6" s="1980"/>
      <c r="L6" s="1980"/>
    </row>
    <row r="7" spans="1:16" ht="15">
      <c r="A7" s="3388"/>
      <c r="B7" s="3389"/>
      <c r="C7" s="3390"/>
      <c r="D7" s="108" t="s">
        <v>198</v>
      </c>
      <c r="E7" s="114" t="s">
        <v>225</v>
      </c>
      <c r="F7" s="1980"/>
      <c r="G7" s="1152" t="s">
        <v>1640</v>
      </c>
      <c r="H7" s="1153"/>
      <c r="I7" s="1842"/>
      <c r="J7" s="1980"/>
      <c r="K7" s="1980"/>
      <c r="L7" s="1980"/>
    </row>
    <row r="8" spans="1:16">
      <c r="A8" s="110" t="s">
        <v>203</v>
      </c>
      <c r="B8" s="115" t="s">
        <v>204</v>
      </c>
      <c r="C8" s="111" t="s">
        <v>205</v>
      </c>
      <c r="D8" s="111">
        <f t="shared" ref="D8:D15" si="0">ROUND($D$3*E8/$E$3,2)</f>
        <v>117949.39</v>
      </c>
      <c r="E8" s="116">
        <f>SUMIF('数据-基础表'!BB10:BK10,"地上",'数据-基础表'!BB5:BK5)</f>
        <v>457459</v>
      </c>
      <c r="F8" s="1980"/>
      <c r="G8" s="1982"/>
      <c r="H8" s="1982"/>
      <c r="I8" s="1980"/>
      <c r="J8" s="1980"/>
      <c r="K8" s="1980"/>
      <c r="L8" s="1980"/>
    </row>
    <row r="9" spans="1:16">
      <c r="A9" s="117"/>
      <c r="B9" s="118"/>
      <c r="C9" s="111" t="s">
        <v>206</v>
      </c>
      <c r="D9" s="111">
        <f t="shared" si="0"/>
        <v>0</v>
      </c>
      <c r="E9" s="119">
        <v>0</v>
      </c>
      <c r="F9" s="1980"/>
      <c r="G9" s="1982"/>
      <c r="H9" s="1982"/>
      <c r="I9" s="1980"/>
      <c r="J9" s="1980"/>
      <c r="K9" s="1980"/>
      <c r="L9" s="1980"/>
    </row>
    <row r="10" spans="1:16">
      <c r="A10" s="117"/>
      <c r="B10" s="118"/>
      <c r="C10" s="111" t="s">
        <v>207</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2322</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208</v>
      </c>
      <c r="D12" s="111">
        <f t="shared" si="0"/>
        <v>8318.0499999999993</v>
      </c>
      <c r="E12" s="116">
        <f>SUMPRODUCT(('数据-基础表'!BB10:BK10="地下")*('数据-基础表'!BB11:BK11="仓储")*('数据-基础表'!BB5:BK5))</f>
        <v>32261</v>
      </c>
      <c r="F12" s="1980"/>
      <c r="G12" s="1982"/>
      <c r="H12" s="1982"/>
      <c r="I12" s="1980"/>
      <c r="J12" s="1980"/>
      <c r="K12" s="1980"/>
      <c r="L12" s="1980"/>
    </row>
    <row r="13" spans="1:16">
      <c r="A13" s="117"/>
      <c r="B13" s="118"/>
      <c r="C13" s="2327" t="s">
        <v>2329</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226</v>
      </c>
      <c r="D14" s="111">
        <f t="shared" si="0"/>
        <v>29828.639999999999</v>
      </c>
      <c r="E14" s="116">
        <f>SUMPRODUCT(('数据-基础表'!BB10:BK10="地下")*('数据-基础表'!BB11:BK11="车库—商业")*('数据-基础表'!BB5:BK5))</f>
        <v>115688.44</v>
      </c>
      <c r="F14" s="1980"/>
      <c r="G14" s="1982"/>
      <c r="H14" s="1982"/>
      <c r="I14" s="1980"/>
      <c r="J14" s="1980"/>
      <c r="K14" s="1980"/>
      <c r="L14" s="1980"/>
    </row>
    <row r="15" spans="1:16" ht="15" thickBot="1">
      <c r="A15" s="117"/>
      <c r="B15" s="118"/>
      <c r="C15" s="111" t="s">
        <v>227</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209</v>
      </c>
      <c r="D16" s="115">
        <f>SUM(D8:D15)</f>
        <v>156096.08000000002</v>
      </c>
      <c r="E16" s="120">
        <f>SUM(E8:E15)</f>
        <v>605408.43999999994</v>
      </c>
      <c r="F16" s="1980"/>
      <c r="G16" s="1982"/>
      <c r="H16" s="964" t="s">
        <v>213</v>
      </c>
      <c r="I16" s="965"/>
      <c r="J16" s="1980"/>
      <c r="K16" s="3382" t="s">
        <v>2561</v>
      </c>
      <c r="L16" s="3383"/>
      <c r="M16" s="3383"/>
      <c r="N16" s="3383"/>
      <c r="O16" s="3383"/>
      <c r="P16" s="3384"/>
    </row>
    <row r="17" spans="1:19" ht="15">
      <c r="A17" s="121" t="s">
        <v>210</v>
      </c>
      <c r="B17" s="122" t="s">
        <v>211</v>
      </c>
      <c r="C17" s="2294" t="s">
        <v>2308</v>
      </c>
      <c r="D17" s="108" t="s">
        <v>198</v>
      </c>
      <c r="E17" s="124" t="s">
        <v>199</v>
      </c>
      <c r="F17" s="125"/>
      <c r="G17" s="1361"/>
      <c r="H17" s="966" t="s">
        <v>212</v>
      </c>
      <c r="I17" s="967" t="s">
        <v>2307</v>
      </c>
      <c r="J17" s="1980"/>
      <c r="K17" s="3385" t="s">
        <v>2562</v>
      </c>
      <c r="L17" s="3386"/>
      <c r="M17" s="3387"/>
      <c r="N17" s="3385" t="s">
        <v>2563</v>
      </c>
      <c r="O17" s="3386"/>
      <c r="P17" s="3387"/>
      <c r="R17" s="2295" t="s">
        <v>2306</v>
      </c>
      <c r="S17" s="143"/>
    </row>
    <row r="18" spans="1:19" ht="15">
      <c r="A18" s="117"/>
      <c r="B18" s="128"/>
      <c r="C18" s="129"/>
      <c r="D18" s="2638"/>
      <c r="E18" s="130" t="s">
        <v>214</v>
      </c>
      <c r="F18" s="131" t="s">
        <v>215</v>
      </c>
      <c r="G18" s="1362" t="s">
        <v>216</v>
      </c>
      <c r="H18" s="968" t="s">
        <v>217</v>
      </c>
      <c r="I18" s="969" t="s">
        <v>218</v>
      </c>
      <c r="J18" s="1980"/>
      <c r="K18" s="2601" t="s">
        <v>2564</v>
      </c>
      <c r="L18" s="2602" t="s">
        <v>2565</v>
      </c>
      <c r="M18" s="2603" t="s">
        <v>2566</v>
      </c>
      <c r="N18" s="2601" t="s">
        <v>2564</v>
      </c>
      <c r="O18" s="2602" t="s">
        <v>2565</v>
      </c>
      <c r="P18" s="2603" t="s">
        <v>2566</v>
      </c>
      <c r="R18" s="2296" t="s">
        <v>2304</v>
      </c>
      <c r="S18" s="2296" t="s">
        <v>2305</v>
      </c>
    </row>
    <row r="19" spans="1:19" ht="23.25" customHeight="1">
      <c r="A19" s="133"/>
      <c r="B19" s="115" t="s">
        <v>219</v>
      </c>
      <c r="C19" s="3249" t="s">
        <v>3063</v>
      </c>
      <c r="D19" s="111">
        <f t="shared" ref="D19:D26" si="1">ROUND($D$3*E19/$E$3,2)</f>
        <v>111871.42</v>
      </c>
      <c r="E19" s="134">
        <f t="shared" ref="E19:E26" si="2">SUM(F19:G19)</f>
        <v>433886</v>
      </c>
      <c r="F19" s="135">
        <f>'数据-基础表'!I13</f>
        <v>433886</v>
      </c>
      <c r="G19" s="1363"/>
      <c r="H19" s="970">
        <f>ROUND($D$3*I19/$E$3,2)</f>
        <v>0</v>
      </c>
      <c r="I19" s="116">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111871.42</v>
      </c>
      <c r="S19" s="2297">
        <f t="shared" si="5"/>
        <v>433886</v>
      </c>
    </row>
    <row r="20" spans="1:19" ht="21.75">
      <c r="A20" s="138"/>
      <c r="B20" s="115" t="s">
        <v>220</v>
      </c>
      <c r="C20" s="3249" t="s">
        <v>3064</v>
      </c>
      <c r="D20" s="111">
        <f t="shared" si="1"/>
        <v>2499.98</v>
      </c>
      <c r="E20" s="134">
        <f t="shared" si="2"/>
        <v>9696</v>
      </c>
      <c r="F20" s="135">
        <f>'数据-基础表'!K14</f>
        <v>9696</v>
      </c>
      <c r="G20" s="1363"/>
      <c r="H20" s="970">
        <f t="shared" ref="H20:H26" si="6">ROUND($D$3*I20/$E$3,2)</f>
        <v>0</v>
      </c>
      <c r="I20" s="116">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2499.98</v>
      </c>
      <c r="S20" s="2297">
        <f t="shared" si="5"/>
        <v>9696</v>
      </c>
    </row>
    <row r="21" spans="1:19" ht="21.75">
      <c r="A21" s="138"/>
      <c r="B21" s="115" t="s">
        <v>220</v>
      </c>
      <c r="C21" s="3250" t="s">
        <v>3065</v>
      </c>
      <c r="D21" s="111">
        <f t="shared" si="1"/>
        <v>3577.99</v>
      </c>
      <c r="E21" s="134">
        <f t="shared" si="2"/>
        <v>13877</v>
      </c>
      <c r="F21" s="135">
        <f>'数据-基础表'!M15</f>
        <v>13877</v>
      </c>
      <c r="G21" s="1363"/>
      <c r="H21" s="970">
        <f t="shared" si="6"/>
        <v>0</v>
      </c>
      <c r="I21" s="116">
        <f t="shared" si="7"/>
        <v>0</v>
      </c>
      <c r="J21" s="1980"/>
      <c r="K21" s="2604">
        <f t="shared" si="3"/>
        <v>0</v>
      </c>
      <c r="L21" s="274">
        <f t="shared" si="4"/>
        <v>0</v>
      </c>
      <c r="M21" s="2605">
        <f t="shared" si="8"/>
        <v>0</v>
      </c>
      <c r="N21" s="2606"/>
      <c r="O21" s="2607"/>
      <c r="P21" s="2608">
        <f t="shared" si="9"/>
        <v>0</v>
      </c>
      <c r="R21" s="274">
        <f t="shared" si="5"/>
        <v>3577.99</v>
      </c>
      <c r="S21" s="2297">
        <f t="shared" si="5"/>
        <v>13877</v>
      </c>
    </row>
    <row r="22" spans="1:19" ht="21.75">
      <c r="A22" s="138"/>
      <c r="B22" s="115" t="s">
        <v>220</v>
      </c>
      <c r="C22" s="3251" t="s">
        <v>3067</v>
      </c>
      <c r="D22" s="111">
        <f t="shared" si="1"/>
        <v>29828.639999999999</v>
      </c>
      <c r="E22" s="134">
        <f t="shared" si="2"/>
        <v>115688.44</v>
      </c>
      <c r="F22" s="139"/>
      <c r="G22" s="1364">
        <f>'数据-基础表'!O16</f>
        <v>115688.44</v>
      </c>
      <c r="H22" s="970">
        <f t="shared" si="6"/>
        <v>0</v>
      </c>
      <c r="I22" s="116">
        <f t="shared" si="7"/>
        <v>0</v>
      </c>
      <c r="J22" s="1980"/>
      <c r="K22" s="2604">
        <f t="shared" si="3"/>
        <v>0</v>
      </c>
      <c r="L22" s="274">
        <f t="shared" si="4"/>
        <v>0</v>
      </c>
      <c r="M22" s="2605">
        <f t="shared" si="8"/>
        <v>0</v>
      </c>
      <c r="N22" s="2606"/>
      <c r="O22" s="2607"/>
      <c r="P22" s="2608">
        <f t="shared" si="9"/>
        <v>0</v>
      </c>
      <c r="R22" s="274">
        <f t="shared" si="5"/>
        <v>29828.639999999999</v>
      </c>
      <c r="S22" s="2297">
        <f t="shared" si="5"/>
        <v>115688.44</v>
      </c>
    </row>
    <row r="23" spans="1:19" ht="21.75">
      <c r="A23" s="138"/>
      <c r="B23" s="115" t="s">
        <v>220</v>
      </c>
      <c r="C23" s="3251" t="s">
        <v>3068</v>
      </c>
      <c r="D23" s="111">
        <f>ROUND($D$3*E23/$E$3,2)</f>
        <v>8318.0499999999993</v>
      </c>
      <c r="E23" s="134">
        <f>SUM(F23:G23)</f>
        <v>32261</v>
      </c>
      <c r="F23" s="139"/>
      <c r="G23" s="1364">
        <f>'数据-基础表'!Q17</f>
        <v>32261</v>
      </c>
      <c r="H23" s="970">
        <f>ROUND($D$3*I23/$E$3,2)</f>
        <v>0</v>
      </c>
      <c r="I23" s="116">
        <f t="shared" si="7"/>
        <v>0</v>
      </c>
      <c r="J23" s="1980"/>
      <c r="K23" s="2604">
        <f t="shared" si="3"/>
        <v>0</v>
      </c>
      <c r="L23" s="274">
        <f t="shared" si="4"/>
        <v>0</v>
      </c>
      <c r="M23" s="2605">
        <f t="shared" si="8"/>
        <v>0</v>
      </c>
      <c r="N23" s="2606"/>
      <c r="O23" s="2607"/>
      <c r="P23" s="2608">
        <f t="shared" si="9"/>
        <v>0</v>
      </c>
      <c r="R23" s="274">
        <f t="shared" si="5"/>
        <v>8318.0499999999993</v>
      </c>
      <c r="S23" s="2297">
        <f t="shared" si="5"/>
        <v>32261</v>
      </c>
    </row>
    <row r="24" spans="1:19" ht="21.75">
      <c r="A24" s="138"/>
      <c r="B24" s="115" t="s">
        <v>220</v>
      </c>
      <c r="C24" s="3251" t="s">
        <v>3069</v>
      </c>
      <c r="D24" s="111">
        <f>ROUND($D$3*E24/$E$3,2)</f>
        <v>26944.78</v>
      </c>
      <c r="E24" s="134">
        <f>SUM(F24:G24)</f>
        <v>104503.56</v>
      </c>
      <c r="F24" s="139"/>
      <c r="G24" s="1364">
        <f>'数据-基础表'!S18</f>
        <v>104503.56</v>
      </c>
      <c r="H24" s="970">
        <f>ROUND($D$3*I24/$E$3,2)</f>
        <v>0</v>
      </c>
      <c r="I24" s="116">
        <f t="shared" si="7"/>
        <v>0</v>
      </c>
      <c r="J24" s="1980"/>
      <c r="K24" s="2604">
        <f t="shared" si="3"/>
        <v>0</v>
      </c>
      <c r="L24" s="274">
        <f t="shared" si="4"/>
        <v>0</v>
      </c>
      <c r="M24" s="2605">
        <f t="shared" si="8"/>
        <v>0</v>
      </c>
      <c r="N24" s="2606"/>
      <c r="O24" s="2607"/>
      <c r="P24" s="2608">
        <f t="shared" si="9"/>
        <v>0</v>
      </c>
      <c r="R24" s="274">
        <f t="shared" si="5"/>
        <v>26944.78</v>
      </c>
      <c r="S24" s="2297">
        <f t="shared" si="5"/>
        <v>104503.56</v>
      </c>
    </row>
    <row r="25" spans="1:19" ht="21.75">
      <c r="A25" s="138"/>
      <c r="B25" s="115" t="s">
        <v>220</v>
      </c>
      <c r="C25" s="3251"/>
      <c r="D25" s="111">
        <f t="shared" si="1"/>
        <v>0</v>
      </c>
      <c r="E25" s="134">
        <f t="shared" si="2"/>
        <v>0</v>
      </c>
      <c r="F25" s="139"/>
      <c r="G25" s="1364"/>
      <c r="H25" s="110">
        <f t="shared" si="6"/>
        <v>0</v>
      </c>
      <c r="I25" s="116">
        <f t="shared" si="7"/>
        <v>0</v>
      </c>
      <c r="J25" s="1980"/>
      <c r="K25" s="2604">
        <f t="shared" si="3"/>
        <v>0</v>
      </c>
      <c r="L25" s="274">
        <f t="shared" si="4"/>
        <v>0</v>
      </c>
      <c r="M25" s="2605">
        <f t="shared" si="8"/>
        <v>0</v>
      </c>
      <c r="N25" s="2606"/>
      <c r="O25" s="2607"/>
      <c r="P25" s="2608">
        <f t="shared" si="9"/>
        <v>0</v>
      </c>
      <c r="R25" s="274">
        <f t="shared" si="5"/>
        <v>0</v>
      </c>
      <c r="S25" s="2297">
        <f t="shared" si="5"/>
        <v>0</v>
      </c>
    </row>
    <row r="26" spans="1:19">
      <c r="A26" s="138"/>
      <c r="B26" s="115" t="s">
        <v>220</v>
      </c>
      <c r="C26" s="141"/>
      <c r="D26" s="111">
        <f t="shared" si="1"/>
        <v>0</v>
      </c>
      <c r="E26" s="134">
        <f t="shared" si="2"/>
        <v>0</v>
      </c>
      <c r="F26" s="139"/>
      <c r="G26" s="1364"/>
      <c r="H26" s="110">
        <f t="shared" si="6"/>
        <v>0</v>
      </c>
      <c r="I26" s="116">
        <f t="shared" si="7"/>
        <v>0</v>
      </c>
      <c r="J26" s="1980"/>
      <c r="K26" s="2609">
        <f t="shared" si="3"/>
        <v>0</v>
      </c>
      <c r="L26" s="276">
        <f t="shared" si="4"/>
        <v>0</v>
      </c>
      <c r="M26" s="145">
        <f t="shared" si="8"/>
        <v>0</v>
      </c>
      <c r="N26" s="2610"/>
      <c r="O26" s="2611"/>
      <c r="P26" s="2612">
        <f t="shared" si="9"/>
        <v>0</v>
      </c>
      <c r="R26" s="274">
        <f t="shared" si="5"/>
        <v>0</v>
      </c>
      <c r="S26" s="2297">
        <f t="shared" si="5"/>
        <v>0</v>
      </c>
    </row>
    <row r="27" spans="1:19" ht="29.25" thickBot="1">
      <c r="A27" s="138"/>
      <c r="B27" s="111"/>
      <c r="C27" s="127" t="s">
        <v>209</v>
      </c>
      <c r="D27" s="134">
        <f>SUM(D19:D26)</f>
        <v>183040.86</v>
      </c>
      <c r="E27" s="142">
        <f>IF(SUM(E19:E26)='数据-基础表'!BA5,SUM(E19:E26),IF(F27="地上面积有误","面积有误","地下面积有误"))</f>
        <v>709912</v>
      </c>
      <c r="F27" s="134">
        <f>IF(SUM(F19:F26)=E8,SUM(F19:F26),"地上面积有误")</f>
        <v>457459</v>
      </c>
      <c r="G27" s="112">
        <f>SUM(G19:G26)</f>
        <v>252453</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t="str">
        <f>IF(SUM(R19:R26)=$D$3,SUM(R19:R26),SUM(R19:R26)&amp;"误差"&amp;ROUND(SUM(R19:R26)-$D$3,2))</f>
        <v>183040.86误差0.01</v>
      </c>
      <c r="S27" s="274">
        <f>IF(SUM(S19:S26)=$E$3,SUM(S19:S26),SUM(S19:S26)&amp;"误差"&amp;ROUND(SUM(S19:S26)-E3,2))</f>
        <v>709912</v>
      </c>
    </row>
    <row r="28" spans="1:19">
      <c r="A28" s="138"/>
      <c r="B28" s="115" t="s">
        <v>221</v>
      </c>
      <c r="C28" s="136" t="s">
        <v>222</v>
      </c>
      <c r="D28" s="111">
        <f>ROUND($D$3*E28/$E$3,2)</f>
        <v>0</v>
      </c>
      <c r="E28" s="134">
        <f>SUM(F28:G28)</f>
        <v>0</v>
      </c>
      <c r="F28" s="143">
        <f>'数据-基础表'!BQ5+'数据-基础表'!BS5</f>
        <v>0</v>
      </c>
      <c r="G28" s="144">
        <f>'数据-基础表'!BR5+'数据-基础表'!BT5</f>
        <v>0</v>
      </c>
      <c r="H28" s="1980"/>
      <c r="I28" s="1980"/>
      <c r="J28" s="1980"/>
      <c r="K28" s="1980"/>
      <c r="L28" s="1980"/>
    </row>
    <row r="29" spans="1:19">
      <c r="A29" s="138"/>
      <c r="B29" s="115" t="s">
        <v>221</v>
      </c>
      <c r="C29" s="2309" t="s">
        <v>2315</v>
      </c>
      <c r="D29" s="111">
        <f>ROUND($D$3*E29/$E$3,2)</f>
        <v>0</v>
      </c>
      <c r="E29" s="134">
        <f>SUM(F29:G29)</f>
        <v>0</v>
      </c>
      <c r="F29" s="143">
        <f>'数据-基础表'!BM5+'数据-基础表'!BO5</f>
        <v>0</v>
      </c>
      <c r="G29" s="145">
        <f>'数据-基础表'!BN5+'数据-基础表'!BP5</f>
        <v>0</v>
      </c>
      <c r="H29" s="1980"/>
      <c r="I29" s="1980"/>
      <c r="J29" s="1980"/>
      <c r="K29" s="1980"/>
      <c r="L29" s="1980"/>
    </row>
    <row r="30" spans="1:19">
      <c r="A30" s="138"/>
      <c r="B30" s="111"/>
      <c r="C30" s="146" t="s">
        <v>209</v>
      </c>
      <c r="D30" s="134">
        <f>SUM(D28:D29)</f>
        <v>0</v>
      </c>
      <c r="E30" s="134">
        <f>SUM(E28:E29)</f>
        <v>0</v>
      </c>
      <c r="F30" s="134">
        <f>SUM(F28:F29)</f>
        <v>0</v>
      </c>
      <c r="G30" s="112">
        <f>SUM(G28:G29)</f>
        <v>0</v>
      </c>
      <c r="H30" s="1980"/>
      <c r="I30" s="1980"/>
      <c r="J30" s="1980"/>
      <c r="K30" s="1980"/>
      <c r="L30" s="1980"/>
    </row>
    <row r="31" spans="1:19" ht="32.25" customHeight="1" thickBot="1">
      <c r="A31" s="1365"/>
      <c r="B31" s="1366" t="s">
        <v>223</v>
      </c>
      <c r="C31" s="2326" t="s">
        <v>2317</v>
      </c>
      <c r="D31" s="1367">
        <f>D27+D30</f>
        <v>183040.86</v>
      </c>
      <c r="E31" s="1367">
        <f>E27+E30</f>
        <v>709912</v>
      </c>
      <c r="F31" s="1368">
        <f>F27+F30</f>
        <v>457459</v>
      </c>
      <c r="G31" s="1369">
        <f>G27+G30</f>
        <v>252453</v>
      </c>
      <c r="H31" s="1980"/>
      <c r="I31" s="1980"/>
      <c r="J31" s="1980"/>
      <c r="K31" s="1980"/>
      <c r="L31" s="1980"/>
    </row>
    <row r="32" spans="1:19">
      <c r="A32" s="1980"/>
      <c r="B32" s="2359" t="s">
        <v>2316</v>
      </c>
      <c r="C32" s="2643"/>
      <c r="D32" s="1197"/>
      <c r="E32" s="1197">
        <f>SUMIF(C19:C26,"*住宅*",E19:E26)</f>
        <v>433886</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4"/>
    <col min="42" max="42" width="0" style="1994" hidden="1" customWidth="1"/>
    <col min="43" max="83" width="13.75" style="1994"/>
    <col min="84" max="16384" width="13.75" style="1199"/>
  </cols>
  <sheetData>
    <row r="1" spans="1:83" ht="19.5" thickBot="1">
      <c r="A1" s="147" t="s">
        <v>228</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75" thickBot="1">
      <c r="A2" s="148" t="s">
        <v>229</v>
      </c>
      <c r="B2" s="2334">
        <f>项目基本情况!D3</f>
        <v>43388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5"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858</v>
      </c>
      <c r="B4" s="151"/>
      <c r="C4" s="152"/>
      <c r="D4" s="1204"/>
      <c r="E4" s="1205" t="s">
        <v>859</v>
      </c>
      <c r="F4" s="152"/>
      <c r="G4" s="152"/>
      <c r="H4" s="152"/>
      <c r="I4" s="152"/>
      <c r="J4" s="153"/>
      <c r="K4" s="1206"/>
      <c r="L4" s="1207"/>
      <c r="M4" s="152"/>
      <c r="N4" s="1205" t="s">
        <v>860</v>
      </c>
      <c r="O4" s="152"/>
      <c r="P4" s="152"/>
      <c r="Q4" s="152"/>
      <c r="R4" s="152"/>
      <c r="S4" s="153"/>
      <c r="T4" s="973" t="str">
        <f>'数据-汇总表'!I17</f>
        <v>按面积比例</v>
      </c>
      <c r="U4" s="151" t="s">
        <v>861</v>
      </c>
      <c r="V4" s="152"/>
      <c r="W4" s="152"/>
      <c r="X4" s="152"/>
      <c r="Y4" s="153"/>
      <c r="Z4" s="123" t="s">
        <v>862</v>
      </c>
      <c r="AA4" s="123"/>
      <c r="AB4" s="123"/>
      <c r="AC4" s="123"/>
      <c r="AD4" s="123"/>
      <c r="AE4" s="121" t="s">
        <v>863</v>
      </c>
      <c r="AF4" s="123"/>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4">
      <c r="A5" s="2300" t="s">
        <v>2319</v>
      </c>
      <c r="B5" s="155" t="s">
        <v>230</v>
      </c>
      <c r="C5" s="156" t="s">
        <v>231</v>
      </c>
      <c r="D5" s="157" t="s">
        <v>232</v>
      </c>
      <c r="E5" s="158" t="s">
        <v>233</v>
      </c>
      <c r="F5" s="159" t="s">
        <v>234</v>
      </c>
      <c r="G5" s="158" t="s">
        <v>235</v>
      </c>
      <c r="H5" s="158" t="s">
        <v>856</v>
      </c>
      <c r="I5" s="158" t="s">
        <v>857</v>
      </c>
      <c r="J5" s="160" t="s">
        <v>236</v>
      </c>
      <c r="K5" s="161" t="s">
        <v>237</v>
      </c>
      <c r="L5" s="162" t="s">
        <v>238</v>
      </c>
      <c r="M5" s="163" t="s">
        <v>239</v>
      </c>
      <c r="N5" s="1215" t="s">
        <v>2823</v>
      </c>
      <c r="O5" s="162" t="s">
        <v>240</v>
      </c>
      <c r="P5" s="164" t="s">
        <v>241</v>
      </c>
      <c r="Q5" s="165" t="s">
        <v>242</v>
      </c>
      <c r="R5" s="166" t="s">
        <v>243</v>
      </c>
      <c r="S5" s="2617" t="s">
        <v>2567</v>
      </c>
      <c r="T5" s="167" t="s">
        <v>244</v>
      </c>
      <c r="U5" s="168" t="s">
        <v>245</v>
      </c>
      <c r="V5" s="158" t="s">
        <v>246</v>
      </c>
      <c r="W5" s="158" t="s">
        <v>247</v>
      </c>
      <c r="X5" s="1814"/>
      <c r="Y5" s="169" t="s">
        <v>248</v>
      </c>
      <c r="Z5" s="170" t="s">
        <v>249</v>
      </c>
      <c r="AA5" s="158" t="s">
        <v>246</v>
      </c>
      <c r="AB5" s="158" t="s">
        <v>247</v>
      </c>
      <c r="AC5" s="1815"/>
      <c r="AD5" s="171" t="s">
        <v>248</v>
      </c>
      <c r="AE5" s="1" t="s">
        <v>864</v>
      </c>
      <c r="AF5" s="158" t="s">
        <v>250</v>
      </c>
      <c r="AG5" s="169" t="s">
        <v>251</v>
      </c>
      <c r="AH5" s="1815" t="s">
        <v>2318</v>
      </c>
      <c r="AI5" s="170" t="s">
        <v>2287</v>
      </c>
      <c r="AJ5" s="170" t="s">
        <v>252</v>
      </c>
      <c r="AK5" s="158" t="s">
        <v>253</v>
      </c>
      <c r="AL5" s="158" t="s">
        <v>254</v>
      </c>
      <c r="AM5" s="171" t="s">
        <v>255</v>
      </c>
      <c r="AN5" s="2387" t="s">
        <v>2368</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25">
      <c r="A6" s="2298" t="str">
        <f>'数据-汇总表'!C19</f>
        <v>住宅</v>
      </c>
      <c r="B6" s="2333" t="str">
        <f>IF(A6=0,"","经营性")</f>
        <v>经营性</v>
      </c>
      <c r="C6" s="172" t="s">
        <v>917</v>
      </c>
      <c r="D6" s="2304">
        <f>SUMIF(项目基本情况!D$15:I$15,C6,项目基本情况!D$18:I$18)</f>
        <v>70</v>
      </c>
      <c r="E6" s="2305">
        <f>IF(B6="","",SUMIF(项目基本情况!D$15:I$15,C6,项目基本情况!D$17:I$17))</f>
        <v>68956</v>
      </c>
      <c r="F6" s="173">
        <f>SUMIF(项目基本情况!D$15:I$15,C6,项目基本情况!D$19:I$19)</f>
        <v>70</v>
      </c>
      <c r="G6" s="174">
        <f>IF(ISERROR(ROUND(POWER(1+H6,D6-F6)*(POWER(1+H6,F6)-1)/(POWER(1+H6,D6)-1),3)),0,ROUND(POWER(1+H6,D6-F6)*(POWER(1+H6,F6)-1)/(POWER(1+H6,D6)-1),3))</f>
        <v>1</v>
      </c>
      <c r="H6" s="3020">
        <v>0.05</v>
      </c>
      <c r="I6" s="3020">
        <v>4.4999999999999998E-2</v>
      </c>
      <c r="J6" s="175">
        <v>8.5000000000000006E-2</v>
      </c>
      <c r="K6" s="178">
        <f>SUMIF('数据-汇总表'!C$19:C$33,'数据-取费表'!A6,'数据-汇总表'!E$19:E$33)</f>
        <v>433886</v>
      </c>
      <c r="L6" s="3021">
        <v>4250</v>
      </c>
      <c r="M6" s="176">
        <f t="shared" ref="M6:M14" si="0">ROUND(K6*L6/10000,0)</f>
        <v>184402</v>
      </c>
      <c r="N6" s="3022">
        <v>0</v>
      </c>
      <c r="O6" s="176">
        <f>IF($N$5="成新度","——",ROUND(M6*N6,0))</f>
        <v>0</v>
      </c>
      <c r="P6" s="177">
        <f>IF($N$5="成新度","——",M6-O6)</f>
        <v>184402</v>
      </c>
      <c r="Q6" s="3307">
        <v>0.2</v>
      </c>
      <c r="R6" s="178">
        <f>SUMIF('数据-汇总表'!C$19:C$33,A6,'数据-汇总表'!R$19:R$33)</f>
        <v>111871.42</v>
      </c>
      <c r="S6" s="132">
        <f>IF('数据-汇总表'!$I$17="按面积比例",SUMIF('数据-汇总表'!C$19:C$33,A6,'数据-汇总表'!K$19:K$33),SUMIF('数据-汇总表'!C$19:C$33,A6,'数据-汇总表'!N$19:N$33))</f>
        <v>0</v>
      </c>
      <c r="T6" s="2230" t="str">
        <f>IF($T$4="按面积比例",IF(ISERROR(ROUND($M$14*S6/S$16,0)),"0",ROUND($M$14*S6/S$16,0)),"需自行计算录入")</f>
        <v>0</v>
      </c>
      <c r="U6" s="179"/>
      <c r="V6" s="180">
        <v>0</v>
      </c>
      <c r="W6" s="180">
        <v>0.1</v>
      </c>
      <c r="X6" s="2317"/>
      <c r="Y6" s="181">
        <v>1</v>
      </c>
      <c r="Z6" s="182"/>
      <c r="AA6" s="175"/>
      <c r="AB6" s="175"/>
      <c r="AC6" s="2320"/>
      <c r="AD6" s="183"/>
      <c r="AE6" s="968">
        <f ca="1">IF(AN6="",0,SUMIF(INDIRECT("'"&amp;AN6&amp;"'"&amp;"!E:E"),$AE$5,INDIRECT("'"&amp;AN6&amp;"'"&amp;"!F:F")))</f>
        <v>179</v>
      </c>
      <c r="AF6" s="140">
        <v>70</v>
      </c>
      <c r="AG6" s="1209">
        <f ca="1">IF(AF6="",0,AE6-AF6)</f>
        <v>109</v>
      </c>
      <c r="AH6" s="140"/>
      <c r="AI6" s="186">
        <v>365</v>
      </c>
      <c r="AJ6" s="187"/>
      <c r="AK6" s="188">
        <v>1.4999999999999999E-2</v>
      </c>
      <c r="AL6" s="189">
        <v>1.5E-3</v>
      </c>
      <c r="AM6" s="3033">
        <v>1.4999999999999999E-2</v>
      </c>
      <c r="AN6" s="2388" t="s">
        <v>3011</v>
      </c>
      <c r="AO6" s="1996"/>
      <c r="AP6" s="1200">
        <f>ROUND(1-1/(1+H6)^F6,3)</f>
        <v>0.96699999999999997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25">
      <c r="A7" s="2298" t="str">
        <f>'数据-汇总表'!C20</f>
        <v>商业</v>
      </c>
      <c r="B7" s="2333" t="str">
        <f t="shared" ref="B7:B13" si="1">IF(A7=0,"","经营性")</f>
        <v>经营性</v>
      </c>
      <c r="C7" s="172" t="s">
        <v>2995</v>
      </c>
      <c r="D7" s="2304">
        <f>SUMIF(项目基本情况!D$15:I$15,C7,项目基本情况!D$18:I$18)</f>
        <v>40</v>
      </c>
      <c r="E7" s="2305">
        <f>IF(B7="","",SUMIF(项目基本情况!D$15:I$15,C7,项目基本情况!D$17:I$17))</f>
        <v>57998</v>
      </c>
      <c r="F7" s="173">
        <f>SUMIF(项目基本情况!D$15:I$15,C7,项目基本情况!D$19:I$19)</f>
        <v>40</v>
      </c>
      <c r="G7" s="174">
        <f t="shared" ref="G7:G11" si="2">IF(ISERROR(ROUND(POWER(1+H7,D7-F7)*(POWER(1+H7,F7)-1)/(POWER(1+H7,D7)-1),3)),0,ROUND(POWER(1+H7,D7-F7)*(POWER(1+H7,F7)-1)/(POWER(1+H7,D7)-1),3))</f>
        <v>1</v>
      </c>
      <c r="H7" s="3020">
        <v>5.3999999999999999E-2</v>
      </c>
      <c r="I7" s="3020">
        <v>4.4999999999999998E-2</v>
      </c>
      <c r="J7" s="175">
        <v>8.5000000000000006E-2</v>
      </c>
      <c r="K7" s="178">
        <f>SUMIF('数据-汇总表'!C$19:C$33,'数据-取费表'!A7,'数据-汇总表'!E$19:E$33)</f>
        <v>9696</v>
      </c>
      <c r="L7" s="3021">
        <v>3500</v>
      </c>
      <c r="M7" s="176">
        <f t="shared" si="0"/>
        <v>3394</v>
      </c>
      <c r="N7" s="3022">
        <v>0</v>
      </c>
      <c r="O7" s="176">
        <f t="shared" ref="O7:O14" si="3">IF($N$5="成新度","——",ROUND(M7*N7,0))</f>
        <v>0</v>
      </c>
      <c r="P7" s="177">
        <f t="shared" ref="P7:P14" si="4">IF($N$5="成新度","——",M7-O7)</f>
        <v>3394</v>
      </c>
      <c r="Q7" s="3307">
        <f>Q6</f>
        <v>0.2</v>
      </c>
      <c r="R7" s="178">
        <f>SUMIF('数据-汇总表'!C$19:C$33,A7,'数据-汇总表'!R$19:R$33)</f>
        <v>2499.98</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79">
        <f>租金商业!C48</f>
        <v>3</v>
      </c>
      <c r="V7" s="180">
        <v>0</v>
      </c>
      <c r="W7" s="180">
        <v>0.05</v>
      </c>
      <c r="X7" s="2317"/>
      <c r="Y7" s="181">
        <v>1</v>
      </c>
      <c r="Z7" s="182"/>
      <c r="AA7" s="175"/>
      <c r="AB7" s="175"/>
      <c r="AC7" s="2320"/>
      <c r="AD7" s="183"/>
      <c r="AE7" s="968">
        <f t="shared" ref="AE7:AE13" ca="1" si="6">IF(AN7="",0,SUMIF(INDIRECT("'"&amp;AN7&amp;"'"&amp;"!E:E"),$AE$5,INDIRECT("'"&amp;AN7&amp;"'"&amp;"!F:F")))</f>
        <v>37</v>
      </c>
      <c r="AF7" s="140">
        <v>40</v>
      </c>
      <c r="AG7" s="1209">
        <f t="shared" ref="AG7:AG13" ca="1" si="7">IF(AF7="",0,AE7-AF7)</f>
        <v>-3</v>
      </c>
      <c r="AH7" s="140"/>
      <c r="AI7" s="186">
        <v>365</v>
      </c>
      <c r="AJ7" s="187"/>
      <c r="AK7" s="188">
        <v>8.0000000000000002E-3</v>
      </c>
      <c r="AL7" s="189">
        <v>8.0000000000000004E-4</v>
      </c>
      <c r="AM7" s="3033">
        <v>8.0000000000000002E-3</v>
      </c>
      <c r="AN7" s="2388" t="s">
        <v>3241</v>
      </c>
      <c r="AO7" s="1996"/>
      <c r="AP7" s="1200">
        <f t="shared" ref="AP7:AP13" si="8">ROUND(1-1/(1+H7)^F7,3)</f>
        <v>0.878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25">
      <c r="A8" s="2298" t="str">
        <f>'数据-汇总表'!C21</f>
        <v>办公</v>
      </c>
      <c r="B8" s="2333" t="str">
        <f t="shared" si="1"/>
        <v>经营性</v>
      </c>
      <c r="C8" s="172" t="s">
        <v>1672</v>
      </c>
      <c r="D8" s="2304">
        <f>SUMIF(项目基本情况!D$15:I$15,C8,项目基本情况!D$18:I$18)</f>
        <v>50</v>
      </c>
      <c r="E8" s="2305">
        <f>IF(B8="","",SUMIF(项目基本情况!D$15:I$15,C8,项目基本情况!D$17:I$17))</f>
        <v>61651</v>
      </c>
      <c r="F8" s="173">
        <f>SUMIF(项目基本情况!D$15:I$15,C8,项目基本情况!D$19:I$19)</f>
        <v>50</v>
      </c>
      <c r="G8" s="174">
        <f t="shared" si="2"/>
        <v>1</v>
      </c>
      <c r="H8" s="3020">
        <v>5.1999999999999998E-2</v>
      </c>
      <c r="I8" s="3020">
        <v>4.8000000000000001E-2</v>
      </c>
      <c r="J8" s="175">
        <v>8.5000000000000006E-2</v>
      </c>
      <c r="K8" s="178">
        <f>SUMIF('数据-汇总表'!C$19:C$33,'数据-取费表'!A8,'数据-汇总表'!E$19:E$33)</f>
        <v>13877</v>
      </c>
      <c r="L8" s="3021">
        <v>3500</v>
      </c>
      <c r="M8" s="176">
        <f>ROUND(K8*L8/10000,0)</f>
        <v>4857</v>
      </c>
      <c r="N8" s="3022">
        <v>0</v>
      </c>
      <c r="O8" s="176">
        <f t="shared" si="3"/>
        <v>0</v>
      </c>
      <c r="P8" s="177">
        <f t="shared" si="4"/>
        <v>4857</v>
      </c>
      <c r="Q8" s="3307">
        <f>Q6</f>
        <v>0.2</v>
      </c>
      <c r="R8" s="178">
        <f>SUMIF('数据-汇总表'!C$19:C$33,A8,'数据-汇总表'!R$19:R$33)</f>
        <v>3577.99</v>
      </c>
      <c r="S8" s="132">
        <f>IF('数据-汇总表'!$I$17="按面积比例",SUMIF('数据-汇总表'!C$19:C$33,A8,'数据-汇总表'!K$19:K$33),SUMIF('数据-汇总表'!C$19:C$33,A8,'数据-汇总表'!N$19:N$33))</f>
        <v>0</v>
      </c>
      <c r="T8" s="2230" t="str">
        <f t="shared" si="5"/>
        <v>0</v>
      </c>
      <c r="U8" s="179">
        <f>租金办公!C50</f>
        <v>3</v>
      </c>
      <c r="V8" s="180">
        <v>0</v>
      </c>
      <c r="W8" s="180">
        <v>0.08</v>
      </c>
      <c r="X8" s="2317"/>
      <c r="Y8" s="181">
        <v>1</v>
      </c>
      <c r="Z8" s="182"/>
      <c r="AA8" s="175"/>
      <c r="AB8" s="175"/>
      <c r="AC8" s="2320"/>
      <c r="AD8" s="183"/>
      <c r="AE8" s="968">
        <f t="shared" ca="1" si="6"/>
        <v>47</v>
      </c>
      <c r="AF8" s="140">
        <v>50</v>
      </c>
      <c r="AG8" s="1209">
        <f t="shared" ca="1" si="7"/>
        <v>-3</v>
      </c>
      <c r="AH8" s="140"/>
      <c r="AI8" s="186">
        <v>365</v>
      </c>
      <c r="AJ8" s="187"/>
      <c r="AK8" s="188">
        <v>0.01</v>
      </c>
      <c r="AL8" s="189">
        <v>1E-3</v>
      </c>
      <c r="AM8" s="3033">
        <v>0.01</v>
      </c>
      <c r="AN8" s="2388" t="s">
        <v>3237</v>
      </c>
      <c r="AO8" s="1996"/>
      <c r="AP8" s="1200">
        <f t="shared" si="8"/>
        <v>0.92100000000000004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25">
      <c r="A9" s="2298" t="str">
        <f>'数据-汇总表'!C22</f>
        <v>车库</v>
      </c>
      <c r="B9" s="2333" t="str">
        <f t="shared" si="1"/>
        <v>经营性</v>
      </c>
      <c r="C9" s="172" t="s">
        <v>3066</v>
      </c>
      <c r="D9" s="2304">
        <f>SUMIF(项目基本情况!D$15:I$15,C9,项目基本情况!D$18:I$18)</f>
        <v>0</v>
      </c>
      <c r="E9" s="2305">
        <f>IF(B9="","",SUMIF(项目基本情况!D$15:I$15,C9,项目基本情况!D$17:I$17))</f>
        <v>0</v>
      </c>
      <c r="F9" s="173">
        <f>SUMIF(项目基本情况!D$15:I$15,C9,项目基本情况!D$19:I$19)</f>
        <v>0</v>
      </c>
      <c r="G9" s="174">
        <f t="shared" si="2"/>
        <v>0</v>
      </c>
      <c r="H9" s="3020">
        <v>0.04</v>
      </c>
      <c r="I9" s="3020">
        <v>4.4999999999999998E-2</v>
      </c>
      <c r="J9" s="175">
        <v>8.5000000000000006E-2</v>
      </c>
      <c r="K9" s="178">
        <f>SUMIF('数据-汇总表'!C$19:C$33,'数据-取费表'!A9,'数据-汇总表'!E$19:E$33)</f>
        <v>115688.44</v>
      </c>
      <c r="L9" s="3021">
        <v>3500</v>
      </c>
      <c r="M9" s="176">
        <f t="shared" si="0"/>
        <v>40491</v>
      </c>
      <c r="N9" s="193">
        <v>0</v>
      </c>
      <c r="O9" s="176">
        <f t="shared" si="3"/>
        <v>0</v>
      </c>
      <c r="P9" s="177">
        <f t="shared" si="4"/>
        <v>40491</v>
      </c>
      <c r="Q9" s="3308">
        <f>Q8</f>
        <v>0.2</v>
      </c>
      <c r="R9" s="178">
        <f>SUMIF('数据-汇总表'!C$19:C$33,A9,'数据-汇总表'!R$19:R$33)</f>
        <v>29828.639999999999</v>
      </c>
      <c r="S9" s="132">
        <f>IF('数据-汇总表'!$I$17="按面积比例",SUMIF('数据-汇总表'!C$19:C$33,A9,'数据-汇总表'!K$19:K$33),SUMIF('数据-汇总表'!C$19:C$33,A9,'数据-汇总表'!N$19:N$33))</f>
        <v>0</v>
      </c>
      <c r="T9" s="2230" t="str">
        <f t="shared" si="5"/>
        <v>0</v>
      </c>
      <c r="U9" s="179"/>
      <c r="V9" s="180">
        <v>0</v>
      </c>
      <c r="W9" s="180">
        <v>0.2</v>
      </c>
      <c r="X9" s="2317"/>
      <c r="Y9" s="181">
        <v>1</v>
      </c>
      <c r="Z9" s="182"/>
      <c r="AA9" s="175"/>
      <c r="AB9" s="175"/>
      <c r="AC9" s="2320"/>
      <c r="AD9" s="183"/>
      <c r="AE9" s="968">
        <f t="shared" ca="1" si="6"/>
        <v>0</v>
      </c>
      <c r="AF9" s="140">
        <v>50</v>
      </c>
      <c r="AG9" s="1209">
        <f t="shared" ca="1" si="7"/>
        <v>-50</v>
      </c>
      <c r="AH9" s="140"/>
      <c r="AI9" s="186">
        <v>365</v>
      </c>
      <c r="AJ9" s="187"/>
      <c r="AK9" s="188">
        <v>1.4999999999999999E-2</v>
      </c>
      <c r="AL9" s="189">
        <v>1.5E-3</v>
      </c>
      <c r="AM9" s="3033">
        <v>1.4999999999999999E-2</v>
      </c>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25">
      <c r="A10" s="2298" t="str">
        <f>'数据-汇总表'!C23</f>
        <v>仓储</v>
      </c>
      <c r="B10" s="2333" t="str">
        <f t="shared" si="1"/>
        <v>经营性</v>
      </c>
      <c r="C10" s="172" t="s">
        <v>3062</v>
      </c>
      <c r="D10" s="2304">
        <f>SUMIF(项目基本情况!D$15:I$15,C10,项目基本情况!D$18:I$18)</f>
        <v>0</v>
      </c>
      <c r="E10" s="2305">
        <f>IF(B10="","",SUMIF(项目基本情况!D$15:I$15,C10,项目基本情况!D$17:I$17))</f>
        <v>0</v>
      </c>
      <c r="F10" s="173">
        <f>SUMIF(项目基本情况!D$15:I$15,C10,项目基本情况!D$19:I$19)</f>
        <v>0</v>
      </c>
      <c r="G10" s="174">
        <f t="shared" si="2"/>
        <v>0</v>
      </c>
      <c r="H10" s="3020">
        <v>3.5000000000000003E-2</v>
      </c>
      <c r="I10" s="3020">
        <v>0.04</v>
      </c>
      <c r="J10" s="175">
        <v>8.5000000000000006E-2</v>
      </c>
      <c r="K10" s="178">
        <f>SUMIF('数据-汇总表'!C$19:C$33,'数据-取费表'!A10,'数据-汇总表'!E$19:E$33)</f>
        <v>32261</v>
      </c>
      <c r="L10" s="3021">
        <v>3500</v>
      </c>
      <c r="M10" s="176">
        <f t="shared" si="0"/>
        <v>11291</v>
      </c>
      <c r="N10" s="193">
        <v>0</v>
      </c>
      <c r="O10" s="176">
        <f t="shared" si="3"/>
        <v>0</v>
      </c>
      <c r="P10" s="177">
        <f t="shared" si="4"/>
        <v>11291</v>
      </c>
      <c r="Q10" s="3308">
        <f>Q9</f>
        <v>0.2</v>
      </c>
      <c r="R10" s="178">
        <f>SUMIF('数据-汇总表'!C$19:C$33,A10,'数据-汇总表'!R$19:R$33)</f>
        <v>8318.0499999999993</v>
      </c>
      <c r="S10" s="132">
        <f>IF('数据-汇总表'!$I$17="按面积比例",SUMIF('数据-汇总表'!C$19:C$33,A10,'数据-汇总表'!K$19:K$33),SUMIF('数据-汇总表'!C$19:C$33,A10,'数据-汇总表'!N$19:N$33))</f>
        <v>0</v>
      </c>
      <c r="T10" s="2230" t="str">
        <f t="shared" si="5"/>
        <v>0</v>
      </c>
      <c r="U10" s="179"/>
      <c r="V10" s="180">
        <v>0</v>
      </c>
      <c r="W10" s="180">
        <v>0.2</v>
      </c>
      <c r="X10" s="2317"/>
      <c r="Y10" s="181">
        <v>1</v>
      </c>
      <c r="Z10" s="182"/>
      <c r="AA10" s="175"/>
      <c r="AB10" s="175"/>
      <c r="AC10" s="2320"/>
      <c r="AD10" s="183"/>
      <c r="AE10" s="968">
        <f t="shared" ca="1" si="6"/>
        <v>0</v>
      </c>
      <c r="AF10" s="140">
        <v>50</v>
      </c>
      <c r="AG10" s="1209">
        <f t="shared" ca="1" si="7"/>
        <v>-50</v>
      </c>
      <c r="AH10" s="140"/>
      <c r="AI10" s="186">
        <v>365</v>
      </c>
      <c r="AJ10" s="187"/>
      <c r="AK10" s="188">
        <v>1.4999999999999999E-2</v>
      </c>
      <c r="AL10" s="189">
        <v>1.5E-3</v>
      </c>
      <c r="AM10" s="3033">
        <v>1.4999999999999999E-2</v>
      </c>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25">
      <c r="A11" s="2298" t="str">
        <f>'数据-汇总表'!C24</f>
        <v>其它</v>
      </c>
      <c r="B11" s="2333" t="str">
        <f t="shared" si="1"/>
        <v>经营性</v>
      </c>
      <c r="C11" s="172"/>
      <c r="D11" s="2304">
        <f>SUMIF(项目基本情况!D$15:I$15,C11,项目基本情况!D$18:I$18)</f>
        <v>0</v>
      </c>
      <c r="E11" s="2305">
        <f>IF(B11="","",SUMIF(项目基本情况!D$15:I$15,C11,项目基本情况!D$17:I$17))</f>
        <v>0</v>
      </c>
      <c r="F11" s="173">
        <f>SUMIF(项目基本情况!D$15:I$15,C11,项目基本情况!D$19:I$19)</f>
        <v>0</v>
      </c>
      <c r="G11" s="174">
        <f t="shared" si="2"/>
        <v>0</v>
      </c>
      <c r="H11" s="175"/>
      <c r="I11" s="175"/>
      <c r="J11" s="175"/>
      <c r="K11" s="178">
        <f>SUMIF('数据-汇总表'!C$19:C$33,'数据-取费表'!A11,'数据-汇总表'!E$19:E$33)</f>
        <v>104503.56</v>
      </c>
      <c r="L11" s="192"/>
      <c r="M11" s="176">
        <f t="shared" si="0"/>
        <v>0</v>
      </c>
      <c r="N11" s="193"/>
      <c r="O11" s="176">
        <f t="shared" si="3"/>
        <v>0</v>
      </c>
      <c r="P11" s="177">
        <f t="shared" si="4"/>
        <v>0</v>
      </c>
      <c r="Q11" s="191"/>
      <c r="R11" s="178">
        <f>SUMIF('数据-汇总表'!C$19:C$33,A11,'数据-汇总表'!R$19:R$33)</f>
        <v>26944.78</v>
      </c>
      <c r="S11" s="132">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v>365</v>
      </c>
      <c r="AJ11" s="187"/>
      <c r="AK11" s="188">
        <v>1.4999999999999999E-2</v>
      </c>
      <c r="AL11" s="189">
        <v>1.5E-3</v>
      </c>
      <c r="AM11" s="3033">
        <v>1.4999999999999999E-2</v>
      </c>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25" hidden="1">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25" hidden="1">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4.25">
      <c r="A14" s="2299" t="s">
        <v>2309</v>
      </c>
      <c r="B14" s="2302" t="s">
        <v>1674</v>
      </c>
      <c r="C14" s="2303" t="s">
        <v>2309</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2"/>
      <c r="T14" s="2313"/>
      <c r="U14" s="970"/>
      <c r="V14" s="2316"/>
      <c r="W14" s="2316"/>
      <c r="X14" s="2317"/>
      <c r="Y14" s="2318"/>
      <c r="Z14" s="136"/>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9.25" customHeight="1">
      <c r="A15" s="2308" t="s">
        <v>2311</v>
      </c>
      <c r="B15" s="2302" t="s">
        <v>1674</v>
      </c>
      <c r="C15" s="2303" t="s">
        <v>2310</v>
      </c>
      <c r="D15" s="2304"/>
      <c r="E15" s="2305"/>
      <c r="F15" s="173"/>
      <c r="G15" s="174"/>
      <c r="H15" s="2306"/>
      <c r="I15" s="2306"/>
      <c r="J15" s="2306"/>
      <c r="K15" s="178">
        <f>SUMIF('数据-汇总表'!C$19:C$33,'数据-取费表'!A15,'数据-汇总表'!E$19:E$33)</f>
        <v>0</v>
      </c>
      <c r="L15" s="2312"/>
      <c r="M15" s="176"/>
      <c r="N15" s="2315"/>
      <c r="O15" s="176"/>
      <c r="P15" s="177"/>
      <c r="Q15" s="2314"/>
      <c r="R15" s="178"/>
      <c r="S15" s="132"/>
      <c r="T15" s="2313"/>
      <c r="U15" s="970"/>
      <c r="V15" s="2316"/>
      <c r="W15" s="2316"/>
      <c r="X15" s="2317"/>
      <c r="Y15" s="2318"/>
      <c r="Z15" s="136"/>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75" thickBot="1">
      <c r="A16" s="197" t="s">
        <v>256</v>
      </c>
      <c r="B16" s="198"/>
      <c r="C16" s="199"/>
      <c r="D16" s="200"/>
      <c r="E16" s="198"/>
      <c r="F16" s="198"/>
      <c r="G16" s="201">
        <f>ROUND(SUMPRODUCT(G6:G13,K6:K13)/SUMPRODUCT((G6:G13&gt;0)*(K6:K13)),3)</f>
        <v>1</v>
      </c>
      <c r="H16" s="202">
        <f>ROUND(SUMPRODUCT(H6:H13,K6:K13)/SUMPRODUCT((H6:H13&gt;0)*(K6:K13)),3)</f>
        <v>4.7E-2</v>
      </c>
      <c r="I16" s="203"/>
      <c r="J16" s="203"/>
      <c r="K16" s="204">
        <f>SUM(K6:K15)</f>
        <v>709912</v>
      </c>
      <c r="L16" s="205">
        <f>ROUND(M16*10000/SUM(K6:K14),0)</f>
        <v>3443</v>
      </c>
      <c r="M16" s="205">
        <f>SUM(M6:M14)</f>
        <v>244435</v>
      </c>
      <c r="N16" s="206">
        <f>ROUND(SUMPRODUCT(M6:M14,N6:N14)/M16,3)</f>
        <v>0</v>
      </c>
      <c r="O16" s="205">
        <f>SUM(O6:O14)</f>
        <v>0</v>
      </c>
      <c r="P16" s="205">
        <f>SUM(P6:P14)</f>
        <v>244435</v>
      </c>
      <c r="Q16" s="207">
        <f>ROUND(SUMPRODUCT(Q6:Q13,K6:K13)/SUMPRODUCT((Q6:Q13&gt;0)*(K6:K13)),2)</f>
        <v>0.2</v>
      </c>
      <c r="R16" s="2307">
        <f>SUM(R6:R13)</f>
        <v>183040.86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0.96399999999999997</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0"/>
      <c r="B17" s="1198"/>
      <c r="C17" s="1985"/>
      <c r="D17" s="1986"/>
      <c r="E17" s="1986"/>
      <c r="F17" s="1985"/>
      <c r="G17" s="3187"/>
      <c r="H17" s="3188"/>
      <c r="I17" s="3190"/>
      <c r="J17" s="3191"/>
      <c r="K17" s="1987"/>
      <c r="L17" s="1987"/>
      <c r="M17" s="1985"/>
      <c r="N17" s="1985"/>
      <c r="O17" s="1985"/>
      <c r="P17" s="1985"/>
      <c r="Q17" s="3192"/>
      <c r="R17" s="1985"/>
      <c r="S17" s="1985"/>
      <c r="T17" s="1985"/>
      <c r="U17" s="1985"/>
      <c r="V17" s="3192"/>
      <c r="W17" s="3192"/>
      <c r="X17" s="1985"/>
      <c r="Y17" s="1985"/>
      <c r="Z17" s="1985"/>
      <c r="AA17" s="1985"/>
      <c r="AB17" s="1985"/>
      <c r="AC17" s="1985"/>
      <c r="AD17" s="1985"/>
      <c r="AE17" s="1985"/>
      <c r="AF17" s="1985"/>
      <c r="AG17" s="1985"/>
      <c r="AH17" s="1985"/>
      <c r="AI17" s="1985"/>
      <c r="AJ17" s="1985"/>
      <c r="AK17" s="1985"/>
      <c r="AL17" s="1985"/>
      <c r="AM17" s="1985"/>
    </row>
    <row r="18" spans="1:83" ht="15" thickBot="1">
      <c r="A18" s="149" t="s">
        <v>257</v>
      </c>
      <c r="B18" s="1200"/>
      <c r="C18" s="1988"/>
      <c r="D18" s="1989"/>
      <c r="E18" s="1988"/>
      <c r="F18" s="1988"/>
      <c r="G18" s="2360"/>
      <c r="H18" s="3189"/>
      <c r="I18" s="3189"/>
      <c r="J18" s="3189"/>
      <c r="K18" s="1987"/>
      <c r="L18" s="1987"/>
      <c r="M18" s="1985"/>
      <c r="N18" s="1985"/>
      <c r="O18" s="1985"/>
      <c r="P18" s="1985"/>
      <c r="Q18" s="3192"/>
      <c r="R18" s="1985"/>
      <c r="S18" s="1985"/>
      <c r="T18" s="1985"/>
      <c r="U18" s="1985"/>
      <c r="V18" s="3192"/>
      <c r="W18" s="3192"/>
      <c r="X18" s="1985"/>
      <c r="Y18" s="1985"/>
      <c r="Z18" s="1985"/>
      <c r="AA18" s="1985"/>
      <c r="AB18" s="1985"/>
      <c r="AC18" s="1985"/>
      <c r="AD18" s="1985"/>
      <c r="AE18" s="1985"/>
      <c r="AF18" s="1985"/>
      <c r="AG18" s="1985"/>
      <c r="AH18" s="1985"/>
      <c r="AI18" s="1985"/>
      <c r="AJ18" s="1985"/>
      <c r="AK18" s="1985"/>
      <c r="AL18" s="1985"/>
      <c r="AM18" s="1985"/>
    </row>
    <row r="19" spans="1:83" ht="14.25">
      <c r="A19" s="216" t="s">
        <v>258</v>
      </c>
      <c r="B19" s="217">
        <v>0</v>
      </c>
      <c r="C19" s="2360" t="s">
        <v>2331</v>
      </c>
      <c r="D19" s="1989"/>
      <c r="E19" s="1988"/>
      <c r="F19" s="1988"/>
      <c r="G19" s="1988"/>
      <c r="H19" s="1988"/>
      <c r="I19" s="1988"/>
      <c r="J19" s="1988"/>
      <c r="K19" s="1987"/>
      <c r="L19" s="1987"/>
      <c r="M19" s="1985"/>
      <c r="N19" s="1985"/>
      <c r="O19" s="1985"/>
      <c r="P19" s="1985"/>
      <c r="Q19" s="1985"/>
      <c r="R19" s="1985"/>
      <c r="S19" s="1985"/>
      <c r="T19" s="1985"/>
      <c r="U19" s="1985"/>
      <c r="V19" s="3192"/>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259</v>
      </c>
      <c r="B20" s="219">
        <v>3</v>
      </c>
      <c r="C20" s="2360" t="s">
        <v>2330</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260</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261</v>
      </c>
      <c r="B22" s="221">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262</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263</v>
      </c>
      <c r="B24" s="223">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264</v>
      </c>
      <c r="B26" s="224" t="s">
        <v>265</v>
      </c>
      <c r="C26" s="1991" t="s">
        <v>266</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7.75">
      <c r="A27" s="225" t="s">
        <v>2333</v>
      </c>
      <c r="B27" s="226">
        <v>160</v>
      </c>
      <c r="C27" s="2363" t="s">
        <v>2337</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7.75">
      <c r="A28" s="227" t="s">
        <v>2334</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8.5" thickBot="1">
      <c r="A29" s="230" t="s">
        <v>2332</v>
      </c>
      <c r="B29" s="231">
        <v>0</v>
      </c>
      <c r="C29" s="1548" t="s">
        <v>2335</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7">
      <c r="A30" s="234" t="s">
        <v>267</v>
      </c>
      <c r="B30" s="974">
        <v>150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7">
      <c r="A31" s="227" t="s">
        <v>268</v>
      </c>
      <c r="B31" s="229">
        <f>B30-B32</f>
        <v>150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7.75" thickBot="1">
      <c r="A32" s="236" t="s">
        <v>269</v>
      </c>
      <c r="B32" s="1373">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25">
      <c r="A33" s="225" t="s">
        <v>272</v>
      </c>
      <c r="B33" s="1374">
        <v>0.03</v>
      </c>
      <c r="C33" s="2361" t="s">
        <v>2888</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273</v>
      </c>
      <c r="B34" s="3186">
        <v>0.15</v>
      </c>
      <c r="C34" s="2361" t="s">
        <v>2889</v>
      </c>
      <c r="D34" s="1989" t="s">
        <v>865</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270</v>
      </c>
      <c r="B35" s="228">
        <v>200</v>
      </c>
      <c r="C35" s="2361" t="s">
        <v>2890</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271</v>
      </c>
      <c r="B36" s="233">
        <v>1.4999999999999999E-2</v>
      </c>
      <c r="C36" s="2361" t="s">
        <v>2891</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274</v>
      </c>
      <c r="B37" s="235">
        <v>0.03</v>
      </c>
      <c r="C37" s="2361" t="s">
        <v>2892</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275</v>
      </c>
      <c r="B38" s="232">
        <v>0.03</v>
      </c>
      <c r="C38" s="2361" t="s">
        <v>2892</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2451</v>
      </c>
      <c r="B39" s="796">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2452</v>
      </c>
      <c r="B40" s="2477">
        <f ca="1">存贷款利率!E2</f>
        <v>4.7500000000000001E-2</v>
      </c>
      <c r="C40" s="2361" t="s">
        <v>2336</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276</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5" t="s">
        <v>277</v>
      </c>
      <c r="B42" s="239">
        <v>0.05</v>
      </c>
      <c r="C42" s="3094">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5" t="s">
        <v>278</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279</v>
      </c>
      <c r="B44" s="241">
        <v>7.0000000000000007E-2</v>
      </c>
      <c r="C44" s="2361" t="s">
        <v>2893</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280</v>
      </c>
      <c r="B45" s="239">
        <v>0.03</v>
      </c>
      <c r="C45" s="2363" t="s">
        <v>2894</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281</v>
      </c>
      <c r="B46" s="239">
        <v>0.02</v>
      </c>
      <c r="C46" s="2363" t="s">
        <v>2895</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282</v>
      </c>
      <c r="B47" s="243"/>
      <c r="C47" s="3068" t="s">
        <v>2896</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283</v>
      </c>
      <c r="B48" s="245">
        <v>0.03</v>
      </c>
      <c r="C48" s="3069" t="s">
        <v>2897</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284</v>
      </c>
      <c r="B49" s="239">
        <v>5.0000000000000001E-4</v>
      </c>
      <c r="C49" s="3069" t="s">
        <v>2898</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285</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286</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287</v>
      </c>
      <c r="B52" s="249">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288</v>
      </c>
      <c r="B53" s="250" t="s">
        <v>1404</v>
      </c>
      <c r="C53" s="3070" t="s">
        <v>2899</v>
      </c>
      <c r="D53" s="3071" t="s">
        <v>2900</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3" t="s">
        <v>2901</v>
      </c>
      <c r="B54" s="185">
        <v>30</v>
      </c>
      <c r="C54" s="1990">
        <v>30</v>
      </c>
      <c r="D54" s="3072"/>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3" t="s">
        <v>2902</v>
      </c>
      <c r="B55" s="185">
        <v>24</v>
      </c>
      <c r="C55" s="1990">
        <v>24</v>
      </c>
      <c r="D55" s="3072"/>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3" t="s">
        <v>2903</v>
      </c>
      <c r="B56" s="185">
        <v>18</v>
      </c>
      <c r="C56" s="1990">
        <v>18</v>
      </c>
      <c r="D56" s="3072"/>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3" t="s">
        <v>2904</v>
      </c>
      <c r="B57" s="185">
        <v>12</v>
      </c>
      <c r="C57" s="1990">
        <v>12</v>
      </c>
      <c r="D57" s="3072"/>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3" t="s">
        <v>2905</v>
      </c>
      <c r="B58" s="185">
        <v>3</v>
      </c>
      <c r="C58" s="1990">
        <v>3</v>
      </c>
      <c r="D58" s="3072"/>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3" t="s">
        <v>2906</v>
      </c>
      <c r="B59" s="185">
        <v>1.5</v>
      </c>
      <c r="C59" s="1990">
        <v>1.5</v>
      </c>
      <c r="D59" s="3072"/>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3" t="s">
        <v>2907</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3" t="s">
        <v>2908</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3" t="s">
        <v>2909</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4" t="s">
        <v>2910</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4" stopIfTrue="1" operator="containsText" text="自行计算">
      <formula>NOT(ISERROR(SEARCH("自行计算",T12)))</formula>
    </cfRule>
    <cfRule type="containsText" dxfId="209" priority="5" stopIfTrue="1" operator="containsText" text="自行计算">
      <formula>NOT(ISERROR(SEARCH("自行计算",T12)))</formula>
    </cfRule>
  </conditionalFormatting>
  <conditionalFormatting sqref="T12:T13">
    <cfRule type="containsText" dxfId="208" priority="2" stopIfTrue="1" operator="containsText" text="自行计算">
      <formula>NOT(ISERROR(SEARCH("自行计算",T12)))</formula>
    </cfRule>
    <cfRule type="containsText" dxfId="207" priority="3" stopIfTrue="1" operator="containsText" text="自行计算">
      <formula>NOT(ISERROR(SEARCH("自行计算",T12)))</formula>
    </cfRule>
  </conditionalFormatting>
  <conditionalFormatting sqref="T6:T15">
    <cfRule type="expression" dxfId="20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97" t="s">
        <v>1658</v>
      </c>
      <c r="B1" s="3398"/>
      <c r="C1" s="3398"/>
      <c r="D1" s="3398"/>
      <c r="E1" s="3398"/>
      <c r="F1" s="3398"/>
      <c r="G1" s="3398"/>
      <c r="H1" s="1998"/>
      <c r="I1" s="1999"/>
      <c r="J1" s="2000"/>
      <c r="K1" s="1998"/>
      <c r="L1" s="1999"/>
      <c r="M1" s="2000"/>
      <c r="N1" s="1998"/>
      <c r="O1" s="1999"/>
      <c r="P1" s="2000"/>
      <c r="Q1" s="2001"/>
      <c r="R1" s="2002"/>
    </row>
    <row r="2" spans="1:18" ht="14.25" thickBot="1">
      <c r="A2" s="1217"/>
      <c r="B2" s="1218"/>
      <c r="C2" s="1219" t="s">
        <v>1659</v>
      </c>
      <c r="D2" s="1220"/>
      <c r="E2" s="1221"/>
      <c r="F2" s="1222"/>
      <c r="G2" s="1219" t="s">
        <v>1660</v>
      </c>
      <c r="H2" s="2004"/>
      <c r="I2" s="2004"/>
      <c r="J2" s="2004"/>
      <c r="K2" s="2004"/>
      <c r="L2" s="2004"/>
      <c r="M2" s="2004"/>
      <c r="N2" s="2004"/>
      <c r="O2" s="2004"/>
      <c r="P2" s="2004"/>
      <c r="Q2" s="2004"/>
      <c r="R2" s="2004"/>
    </row>
    <row r="3" spans="1:18" ht="54">
      <c r="A3" s="1223" t="s">
        <v>1661</v>
      </c>
      <c r="B3" s="1224" t="s">
        <v>1648</v>
      </c>
      <c r="C3" s="3075" t="s">
        <v>2917</v>
      </c>
      <c r="D3" s="2005"/>
      <c r="E3" s="1225" t="s">
        <v>1661</v>
      </c>
      <c r="F3" s="1226" t="s">
        <v>1649</v>
      </c>
      <c r="G3" s="3079" t="s">
        <v>2916</v>
      </c>
      <c r="H3" s="2004"/>
      <c r="I3" s="2004"/>
      <c r="J3" s="2004"/>
      <c r="K3" s="2004"/>
      <c r="L3" s="2004"/>
      <c r="M3" s="2004"/>
      <c r="N3" s="2004"/>
      <c r="O3" s="2004"/>
      <c r="P3" s="2004"/>
      <c r="Q3" s="2004"/>
      <c r="R3" s="2004"/>
    </row>
    <row r="4" spans="1:18" ht="41.25">
      <c r="A4" s="1225"/>
      <c r="B4" s="1227" t="s">
        <v>1662</v>
      </c>
      <c r="C4" s="3076" t="s">
        <v>2918</v>
      </c>
      <c r="D4" s="2005"/>
      <c r="E4" s="1228"/>
      <c r="F4" s="1229" t="s">
        <v>1663</v>
      </c>
      <c r="G4" s="3077" t="s">
        <v>2913</v>
      </c>
      <c r="H4" s="2004"/>
      <c r="I4" s="2004"/>
      <c r="J4" s="2004"/>
      <c r="K4" s="2004"/>
      <c r="L4" s="2004"/>
      <c r="M4" s="2004"/>
      <c r="N4" s="2004"/>
      <c r="O4" s="2004"/>
      <c r="P4" s="2004"/>
      <c r="Q4" s="2004"/>
      <c r="R4" s="2004"/>
    </row>
    <row r="5" spans="1:18" ht="41.25">
      <c r="A5" s="1225"/>
      <c r="B5" s="1227" t="s">
        <v>1664</v>
      </c>
      <c r="C5" s="3076" t="s">
        <v>2919</v>
      </c>
      <c r="D5" s="2005"/>
      <c r="E5" s="1228"/>
      <c r="F5" s="1227" t="s">
        <v>2541</v>
      </c>
      <c r="G5" s="3077" t="s">
        <v>2914</v>
      </c>
      <c r="H5" s="2004"/>
      <c r="I5" s="2004"/>
      <c r="J5" s="2004"/>
      <c r="K5" s="2004"/>
      <c r="L5" s="2004"/>
      <c r="M5" s="2004"/>
      <c r="N5" s="2004"/>
      <c r="O5" s="2004"/>
      <c r="P5" s="2004"/>
      <c r="Q5" s="2004"/>
      <c r="R5" s="2004"/>
    </row>
    <row r="6" spans="1:18" ht="54">
      <c r="A6" s="1225"/>
      <c r="B6" s="1227" t="s">
        <v>1650</v>
      </c>
      <c r="C6" s="3077" t="s">
        <v>2913</v>
      </c>
      <c r="D6" s="2005"/>
      <c r="E6" s="1228"/>
      <c r="F6" s="1227" t="s">
        <v>2542</v>
      </c>
      <c r="G6" s="3077" t="s">
        <v>2911</v>
      </c>
      <c r="H6" s="2004"/>
      <c r="I6" s="2004"/>
      <c r="J6" s="2004"/>
      <c r="K6" s="2004"/>
      <c r="L6" s="2004"/>
      <c r="M6" s="2004"/>
      <c r="N6" s="2004"/>
      <c r="O6" s="2004"/>
      <c r="P6" s="2004"/>
      <c r="Q6" s="2004"/>
      <c r="R6" s="2004"/>
    </row>
    <row r="7" spans="1:18" ht="41.25" thickBot="1">
      <c r="A7" s="1225"/>
      <c r="B7" s="1227" t="s">
        <v>2541</v>
      </c>
      <c r="C7" s="3077" t="s">
        <v>2914</v>
      </c>
      <c r="D7" s="2006"/>
      <c r="E7" s="1230"/>
      <c r="F7" s="1231" t="s">
        <v>1665</v>
      </c>
      <c r="G7" s="3080" t="s">
        <v>2915</v>
      </c>
      <c r="H7" s="2004"/>
      <c r="I7" s="2004"/>
      <c r="J7" s="2004"/>
      <c r="K7" s="2004"/>
      <c r="L7" s="2004"/>
      <c r="M7" s="2004"/>
      <c r="N7" s="2004"/>
      <c r="O7" s="2004"/>
      <c r="P7" s="2004"/>
      <c r="Q7" s="2004"/>
      <c r="R7" s="2004"/>
    </row>
    <row r="8" spans="1:18" ht="27">
      <c r="A8" s="1225"/>
      <c r="B8" s="1227" t="s">
        <v>2542</v>
      </c>
      <c r="C8" s="3077" t="s">
        <v>2911</v>
      </c>
      <c r="D8" s="2006"/>
      <c r="E8" s="2006"/>
      <c r="F8" s="1549"/>
      <c r="G8" s="1549"/>
      <c r="H8" s="2004"/>
      <c r="I8" s="2004"/>
      <c r="J8" s="2004"/>
      <c r="K8" s="2004"/>
      <c r="L8" s="2004"/>
      <c r="M8" s="2004"/>
      <c r="N8" s="2004"/>
      <c r="O8" s="2004"/>
      <c r="P8" s="2004"/>
      <c r="Q8" s="2004"/>
      <c r="R8" s="2004"/>
    </row>
    <row r="9" spans="1:18" ht="40.5">
      <c r="A9" s="1225"/>
      <c r="B9" s="1227" t="s">
        <v>1651</v>
      </c>
      <c r="C9" s="3076" t="s">
        <v>2912</v>
      </c>
      <c r="D9" s="2005"/>
      <c r="E9" s="2006"/>
      <c r="F9" s="1549"/>
      <c r="G9" s="1549"/>
      <c r="H9" s="2004"/>
      <c r="I9" s="2004"/>
      <c r="J9" s="2004"/>
      <c r="K9" s="2004"/>
      <c r="L9" s="2004"/>
      <c r="M9" s="2004"/>
      <c r="N9" s="2004"/>
      <c r="O9" s="2004"/>
      <c r="P9" s="2004"/>
      <c r="Q9" s="2004"/>
      <c r="R9" s="2004"/>
    </row>
    <row r="10" spans="1:18" s="2012" customFormat="1" ht="15" thickBot="1">
      <c r="A10" s="1232"/>
      <c r="B10" s="1233" t="s">
        <v>1666</v>
      </c>
      <c r="C10" s="3078"/>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1667</v>
      </c>
      <c r="B13" s="2574"/>
      <c r="C13" s="2574"/>
      <c r="D13" s="1220"/>
      <c r="E13" s="2574"/>
      <c r="F13" s="2574"/>
      <c r="G13" s="2574"/>
    </row>
    <row r="14" spans="1:18" ht="14.25" thickBot="1">
      <c r="A14" s="1234"/>
      <c r="B14" s="1235"/>
      <c r="C14" s="1236" t="s">
        <v>1659</v>
      </c>
      <c r="D14" s="2005"/>
      <c r="E14" s="1237"/>
      <c r="F14" s="1237"/>
      <c r="G14" s="1219" t="s">
        <v>1660</v>
      </c>
    </row>
    <row r="15" spans="1:18" ht="54">
      <c r="A15" s="2584" t="s">
        <v>1652</v>
      </c>
      <c r="B15" s="1238" t="s">
        <v>1648</v>
      </c>
      <c r="C15" s="1239" t="str">
        <f>C3</f>
        <v>估价对象周边居住用地比例、居住小区规模和社区发展完善程度，综合评价居住社区成熟度一般</v>
      </c>
      <c r="D15" s="2005"/>
      <c r="E15" s="2581" t="s">
        <v>1653</v>
      </c>
      <c r="F15" s="1238" t="s">
        <v>1668</v>
      </c>
      <c r="G15" s="1240" t="str">
        <f>G3</f>
        <v>估价对象位于XX开发区，园区建设成熟度XX，产业集聚程度XX</v>
      </c>
    </row>
    <row r="16" spans="1:18" ht="40.5">
      <c r="A16" s="2585"/>
      <c r="B16" s="1241" t="s">
        <v>1662</v>
      </c>
      <c r="C16" s="1242" t="str">
        <f>C4</f>
        <v>估价对象位于XX商圈，周边商业氛围成熟，人流量大，商业繁华度好</v>
      </c>
      <c r="D16" s="2005"/>
      <c r="E16" s="2582"/>
      <c r="F16" s="1243" t="s">
        <v>1663</v>
      </c>
      <c r="G16" s="1001" t="str">
        <f>G4</f>
        <v>估价对象周边道路状况、公共交通通达情况、停车便捷程度，综合评价交通便捷度较好</v>
      </c>
    </row>
    <row r="17" spans="1:7" ht="40.5">
      <c r="A17" s="2585"/>
      <c r="B17" s="1241" t="s">
        <v>1664</v>
      </c>
      <c r="C17" s="1242" t="str">
        <f>C5</f>
        <v>估价对象位于XX商圈，周边办公楼项目较多，入驻率高，办公集聚程度较好</v>
      </c>
      <c r="D17" s="2006"/>
      <c r="E17" s="2582"/>
      <c r="F17" s="1243" t="s">
        <v>1669</v>
      </c>
      <c r="G17" s="2790"/>
    </row>
    <row r="18" spans="1:7" ht="54">
      <c r="A18" s="2585"/>
      <c r="B18" s="1243" t="s">
        <v>1650</v>
      </c>
      <c r="C18" s="1001" t="str">
        <f>C6</f>
        <v>估价对象周边道路状况、公共交通通达情况、停车便捷程度，综合评价交通便捷度较好</v>
      </c>
      <c r="D18" s="2006"/>
      <c r="E18" s="2582"/>
      <c r="F18" s="1243" t="s">
        <v>1665</v>
      </c>
      <c r="G18" s="1001" t="str">
        <f>G7</f>
        <v>该园区内是否有污染型企业，绿化情况，卫生条件，整体环境状况判断</v>
      </c>
    </row>
    <row r="19" spans="1:7" ht="27">
      <c r="A19" s="2585"/>
      <c r="B19" s="1243" t="s">
        <v>1654</v>
      </c>
      <c r="C19" s="2790"/>
      <c r="D19" s="2005"/>
      <c r="E19" s="2582"/>
      <c r="F19" s="1227" t="s">
        <v>2541</v>
      </c>
      <c r="G19" s="1001" t="str">
        <f>G5</f>
        <v>估价对象所在区域公共配套设施齐备情况</v>
      </c>
    </row>
    <row r="20" spans="1:7" ht="40.5">
      <c r="A20" s="2585"/>
      <c r="B20" s="1243" t="s">
        <v>1655</v>
      </c>
      <c r="C20" s="1242" t="str">
        <f>C9</f>
        <v>区域自然环境：；人文环境；综合评价环境状况一般</v>
      </c>
      <c r="D20" s="2006"/>
      <c r="E20" s="2582"/>
      <c r="F20" s="1227" t="s">
        <v>2542</v>
      </c>
      <c r="G20" s="1001" t="str">
        <f>G6</f>
        <v>估价对象所在区域基础设施水平</v>
      </c>
    </row>
    <row r="21" spans="1:7" ht="27">
      <c r="A21" s="2585"/>
      <c r="B21" s="1227" t="s">
        <v>2541</v>
      </c>
      <c r="C21" s="1001" t="str">
        <f>C7</f>
        <v>估价对象所在区域公共配套设施齐备情况</v>
      </c>
      <c r="D21" s="2005"/>
      <c r="E21" s="2582"/>
      <c r="F21" s="1243" t="s">
        <v>1656</v>
      </c>
      <c r="G21" s="3081"/>
    </row>
    <row r="22" spans="1:7" ht="27">
      <c r="A22" s="2585"/>
      <c r="B22" s="1227" t="s">
        <v>2542</v>
      </c>
      <c r="C22" s="1001" t="str">
        <f>C8</f>
        <v>估价对象所在区域基础设施水平</v>
      </c>
      <c r="D22" s="2005"/>
      <c r="E22" s="2582"/>
      <c r="F22" s="1243" t="s">
        <v>1666</v>
      </c>
      <c r="G22" s="2790"/>
    </row>
    <row r="23" spans="1:7" ht="15" thickBot="1">
      <c r="A23" s="2585"/>
      <c r="B23" s="1243" t="s">
        <v>1656</v>
      </c>
      <c r="C23" s="3081"/>
      <c r="E23" s="2583"/>
      <c r="F23" s="1244" t="s">
        <v>1670</v>
      </c>
      <c r="G23" s="3082"/>
    </row>
    <row r="24" spans="1:7" ht="14.25" thickBot="1">
      <c r="A24" s="2586"/>
      <c r="B24" s="1244" t="s">
        <v>1657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0" sqref="D10"/>
    </sheetView>
  </sheetViews>
  <sheetFormatPr defaultColWidth="14.625" defaultRowHeight="13.5"/>
  <cols>
    <col min="1" max="1" width="24.375" customWidth="1"/>
  </cols>
  <sheetData>
    <row r="1" spans="1:9" ht="16.5">
      <c r="A1" s="3039" t="s">
        <v>2839</v>
      </c>
      <c r="B1" s="3039">
        <f>SUM(B14:B23)</f>
        <v>709912</v>
      </c>
      <c r="C1" s="3040"/>
      <c r="D1" s="3040"/>
      <c r="E1" s="3040"/>
      <c r="F1" s="3040"/>
    </row>
    <row r="2" spans="1:9" ht="16.5">
      <c r="A2" s="3039" t="s">
        <v>2840</v>
      </c>
      <c r="B2" s="3039">
        <f>SUM(C14:C23)</f>
        <v>183040.85</v>
      </c>
      <c r="C2" s="3040"/>
      <c r="D2" s="3040"/>
      <c r="E2" s="3040"/>
      <c r="F2" s="3040"/>
    </row>
    <row r="3" spans="1:9" ht="16.5">
      <c r="A3" s="3039" t="s">
        <v>2841</v>
      </c>
      <c r="B3" s="3041">
        <f>项目基本情况!D3</f>
        <v>43388</v>
      </c>
      <c r="C3" s="3040"/>
      <c r="D3" s="3040"/>
      <c r="E3" s="3040"/>
      <c r="F3" s="3040"/>
    </row>
    <row r="4" spans="1:9" ht="33">
      <c r="A4" s="3039" t="s">
        <v>2842</v>
      </c>
      <c r="B4" s="3039" t="s">
        <v>2843</v>
      </c>
      <c r="C4" s="3039" t="s">
        <v>2844</v>
      </c>
      <c r="D4" s="3039" t="s">
        <v>2845</v>
      </c>
      <c r="E4" s="3040"/>
      <c r="F4" s="3040"/>
    </row>
    <row r="5" spans="1:9" ht="16.5">
      <c r="A5" s="3039" t="s">
        <v>2846</v>
      </c>
      <c r="B5" s="3039">
        <f ca="1">SUM(D14:D23)</f>
        <v>535247</v>
      </c>
      <c r="C5" s="3039">
        <f ca="1">ROUND(B5*10000/$B$1,0)</f>
        <v>7540</v>
      </c>
      <c r="D5" s="3039">
        <f ca="1">ROUND(B5*10000/$B$2,0)</f>
        <v>29242</v>
      </c>
      <c r="E5" s="3040"/>
      <c r="F5" s="3040"/>
    </row>
    <row r="6" spans="1:9" ht="16.5">
      <c r="A6" s="3039" t="s">
        <v>2847</v>
      </c>
      <c r="B6" s="3039">
        <f>SUM(G14:G23)</f>
        <v>0</v>
      </c>
      <c r="C6" s="3039">
        <f t="shared" ref="C6:C8" si="0">ROUND(B6*10000/$B$1,0)</f>
        <v>0</v>
      </c>
      <c r="D6" s="3039">
        <f t="shared" ref="D6:D8" si="1">ROUND(B6*10000/$B$2,0)</f>
        <v>0</v>
      </c>
      <c r="E6" s="3040"/>
      <c r="F6" s="3040"/>
    </row>
    <row r="7" spans="1:9" ht="16.5">
      <c r="A7" s="3039" t="s">
        <v>2848</v>
      </c>
      <c r="B7" s="3039">
        <f>SUM(H14:H23)</f>
        <v>0</v>
      </c>
      <c r="C7" s="3039">
        <f t="shared" si="0"/>
        <v>0</v>
      </c>
      <c r="D7" s="3039">
        <f t="shared" si="1"/>
        <v>0</v>
      </c>
      <c r="E7" s="3040"/>
      <c r="F7" s="3040"/>
    </row>
    <row r="8" spans="1:9" ht="16.5">
      <c r="A8" s="3039" t="s">
        <v>2849</v>
      </c>
      <c r="B8" s="3039">
        <f>SUM(I14:I23)</f>
        <v>0</v>
      </c>
      <c r="C8" s="3039">
        <f t="shared" si="0"/>
        <v>0</v>
      </c>
      <c r="D8" s="3039">
        <f t="shared" si="1"/>
        <v>0</v>
      </c>
      <c r="E8" s="3040"/>
      <c r="F8" s="3040"/>
    </row>
    <row r="9" spans="1:9" ht="16.5">
      <c r="A9" s="3039" t="s">
        <v>2850</v>
      </c>
      <c r="B9" s="3042"/>
      <c r="C9" s="3040"/>
      <c r="D9" s="3040"/>
      <c r="E9" s="3040"/>
      <c r="F9" s="3040"/>
    </row>
    <row r="10" spans="1:9" ht="16.5">
      <c r="A10" s="3039" t="s">
        <v>2851</v>
      </c>
      <c r="B10" s="3042"/>
      <c r="C10" s="3040"/>
      <c r="D10" s="3040"/>
      <c r="E10" s="3040"/>
      <c r="F10" s="3040"/>
    </row>
    <row r="11" spans="1:9" ht="16.5">
      <c r="A11" s="3039" t="s">
        <v>2868</v>
      </c>
      <c r="B11" s="3042"/>
      <c r="C11" s="3040"/>
      <c r="D11" s="3040"/>
      <c r="E11" s="3040"/>
      <c r="F11" s="3040"/>
    </row>
    <row r="12" spans="1:9" ht="16.5">
      <c r="A12" s="3040"/>
      <c r="B12" s="3040"/>
      <c r="C12" s="3040"/>
      <c r="D12" s="3040"/>
      <c r="E12" s="3040"/>
      <c r="F12" s="3040"/>
    </row>
    <row r="13" spans="1:9" ht="33">
      <c r="A13" s="3045" t="s">
        <v>2867</v>
      </c>
      <c r="B13" s="3043" t="s">
        <v>2839</v>
      </c>
      <c r="C13" s="3043" t="s">
        <v>2840</v>
      </c>
      <c r="D13" s="3043" t="s">
        <v>2852</v>
      </c>
      <c r="E13" s="3039" t="s">
        <v>2866</v>
      </c>
      <c r="F13" s="3039" t="s">
        <v>2845</v>
      </c>
      <c r="G13" s="3043" t="s">
        <v>2853</v>
      </c>
      <c r="H13" s="3043" t="s">
        <v>2854</v>
      </c>
      <c r="I13" s="3043" t="s">
        <v>2855</v>
      </c>
    </row>
    <row r="14" spans="1:9" ht="16.5">
      <c r="A14" s="3046" t="s">
        <v>2865</v>
      </c>
      <c r="B14" s="3043">
        <f>'结果表-住宅'!L38</f>
        <v>709912</v>
      </c>
      <c r="C14" s="3043">
        <f>'结果表-住宅'!K38</f>
        <v>183040.85</v>
      </c>
      <c r="D14" s="3043">
        <f ca="1">'结果表-住宅'!C42</f>
        <v>535247</v>
      </c>
      <c r="E14" s="3043">
        <f ca="1">ROUND(D14*10000/B14,0)</f>
        <v>7540</v>
      </c>
      <c r="F14" s="3043">
        <f ca="1">ROUND(D14*10000/C14,0)</f>
        <v>29242</v>
      </c>
      <c r="G14" s="3043" t="str">
        <f>'结果表-住宅'!C44</f>
        <v>——</v>
      </c>
      <c r="H14" s="3043" t="str">
        <f>'结果表-住宅'!C45</f>
        <v>——</v>
      </c>
      <c r="I14" s="3043" t="str">
        <f>'结果表-住宅'!C46</f>
        <v>——</v>
      </c>
    </row>
    <row r="15" spans="1:9" ht="16.5">
      <c r="A15" s="3046" t="s">
        <v>2856</v>
      </c>
      <c r="B15" s="3047"/>
      <c r="C15" s="3047"/>
      <c r="D15" s="3047"/>
      <c r="E15" s="3043" t="e">
        <f t="shared" ref="E15:E23" si="2">ROUND(D15*10000/B15,0)</f>
        <v>#DIV/0!</v>
      </c>
      <c r="F15" s="3043" t="e">
        <f t="shared" ref="F15:F23" si="3">ROUND(D15*10000/C15,0)</f>
        <v>#DIV/0!</v>
      </c>
      <c r="G15" s="3044"/>
      <c r="H15" s="3044"/>
      <c r="I15" s="3047"/>
    </row>
    <row r="16" spans="1:9" ht="16.5">
      <c r="A16" s="3046" t="s">
        <v>2857</v>
      </c>
      <c r="B16" s="3047"/>
      <c r="C16" s="3047"/>
      <c r="D16" s="3047"/>
      <c r="E16" s="3043" t="e">
        <f t="shared" si="2"/>
        <v>#DIV/0!</v>
      </c>
      <c r="F16" s="3043" t="e">
        <f t="shared" si="3"/>
        <v>#DIV/0!</v>
      </c>
      <c r="G16" s="3044"/>
      <c r="H16" s="3044"/>
      <c r="I16" s="3047"/>
    </row>
    <row r="17" spans="1:9" ht="16.5">
      <c r="A17" s="3046" t="s">
        <v>2858</v>
      </c>
      <c r="B17" s="3047"/>
      <c r="C17" s="3047"/>
      <c r="D17" s="3047"/>
      <c r="E17" s="3043" t="e">
        <f t="shared" si="2"/>
        <v>#DIV/0!</v>
      </c>
      <c r="F17" s="3043" t="e">
        <f t="shared" si="3"/>
        <v>#DIV/0!</v>
      </c>
      <c r="G17" s="3044"/>
      <c r="H17" s="3044"/>
      <c r="I17" s="3047"/>
    </row>
    <row r="18" spans="1:9" ht="16.5">
      <c r="A18" s="3046" t="s">
        <v>2859</v>
      </c>
      <c r="B18" s="3047"/>
      <c r="C18" s="3047"/>
      <c r="D18" s="3047"/>
      <c r="E18" s="3043" t="e">
        <f t="shared" si="2"/>
        <v>#DIV/0!</v>
      </c>
      <c r="F18" s="3043" t="e">
        <f t="shared" si="3"/>
        <v>#DIV/0!</v>
      </c>
      <c r="G18" s="3047"/>
      <c r="H18" s="3047"/>
      <c r="I18" s="3047"/>
    </row>
    <row r="19" spans="1:9" ht="16.5">
      <c r="A19" s="3046" t="s">
        <v>2860</v>
      </c>
      <c r="B19" s="3047"/>
      <c r="C19" s="3047"/>
      <c r="D19" s="3047"/>
      <c r="E19" s="3043" t="e">
        <f t="shared" si="2"/>
        <v>#DIV/0!</v>
      </c>
      <c r="F19" s="3043" t="e">
        <f t="shared" si="3"/>
        <v>#DIV/0!</v>
      </c>
      <c r="G19" s="3047"/>
      <c r="H19" s="3047"/>
      <c r="I19" s="3047"/>
    </row>
    <row r="20" spans="1:9" ht="16.5">
      <c r="A20" s="3046" t="s">
        <v>2861</v>
      </c>
      <c r="B20" s="3047"/>
      <c r="C20" s="3047"/>
      <c r="D20" s="3047"/>
      <c r="E20" s="3043" t="e">
        <f t="shared" si="2"/>
        <v>#DIV/0!</v>
      </c>
      <c r="F20" s="3043" t="e">
        <f t="shared" si="3"/>
        <v>#DIV/0!</v>
      </c>
      <c r="G20" s="3047"/>
      <c r="H20" s="3047"/>
      <c r="I20" s="3047"/>
    </row>
    <row r="21" spans="1:9" ht="16.5">
      <c r="A21" s="3046" t="s">
        <v>2862</v>
      </c>
      <c r="B21" s="3047"/>
      <c r="C21" s="3047"/>
      <c r="D21" s="3047"/>
      <c r="E21" s="3043" t="e">
        <f t="shared" si="2"/>
        <v>#DIV/0!</v>
      </c>
      <c r="F21" s="3043" t="e">
        <f t="shared" si="3"/>
        <v>#DIV/0!</v>
      </c>
      <c r="G21" s="3047"/>
      <c r="H21" s="3047"/>
      <c r="I21" s="3047"/>
    </row>
    <row r="22" spans="1:9" ht="16.5">
      <c r="A22" s="3046" t="s">
        <v>2863</v>
      </c>
      <c r="B22" s="3047"/>
      <c r="C22" s="3047"/>
      <c r="D22" s="3047"/>
      <c r="E22" s="3043" t="e">
        <f t="shared" si="2"/>
        <v>#DIV/0!</v>
      </c>
      <c r="F22" s="3043" t="e">
        <f t="shared" si="3"/>
        <v>#DIV/0!</v>
      </c>
      <c r="G22" s="3047"/>
      <c r="H22" s="3047"/>
      <c r="I22" s="3047"/>
    </row>
    <row r="23" spans="1:9" ht="16.5">
      <c r="A23" s="3046" t="s">
        <v>2864</v>
      </c>
      <c r="B23" s="3047"/>
      <c r="C23" s="3047"/>
      <c r="D23" s="3047"/>
      <c r="E23" s="3039" t="e">
        <f t="shared" si="2"/>
        <v>#DIV/0!</v>
      </c>
      <c r="F23" s="3039" t="e">
        <f t="shared" si="3"/>
        <v>#DIV/0!</v>
      </c>
      <c r="G23" s="3047"/>
      <c r="H23" s="3047"/>
      <c r="I23" s="304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topLeftCell="B16" workbookViewId="0">
      <selection activeCell="B4" sqref="B4:K29"/>
    </sheetView>
  </sheetViews>
  <sheetFormatPr defaultRowHeight="13.5"/>
  <cols>
    <col min="1" max="1" width="3.875" hidden="1" customWidth="1"/>
    <col min="2" max="2" width="16" customWidth="1"/>
    <col min="3" max="3" width="24.25" customWidth="1"/>
    <col min="4" max="4" width="20.875" customWidth="1"/>
    <col min="5" max="5" width="20.125" customWidth="1"/>
    <col min="8" max="8" width="16.125" customWidth="1"/>
    <col min="10" max="10" width="12" bestFit="1" customWidth="1"/>
    <col min="12" max="12" width="15.375" customWidth="1"/>
    <col min="13" max="13" width="11.625" bestFit="1" customWidth="1"/>
  </cols>
  <sheetData>
    <row r="1" spans="2:13" hidden="1"/>
    <row r="2" spans="2:13" hidden="1"/>
    <row r="3" spans="2:13" hidden="1"/>
    <row r="4" spans="2:13" ht="14.25">
      <c r="D4" s="3203"/>
      <c r="E4" s="3203"/>
      <c r="G4" s="3215" t="s">
        <v>3054</v>
      </c>
      <c r="H4" s="3205" t="s">
        <v>3038</v>
      </c>
      <c r="I4" s="3205" t="s">
        <v>3039</v>
      </c>
      <c r="J4" s="3205" t="s">
        <v>3040</v>
      </c>
      <c r="K4" s="3205" t="s">
        <v>3039</v>
      </c>
      <c r="L4" s="3205" t="s">
        <v>3055</v>
      </c>
      <c r="M4" s="3203"/>
    </row>
    <row r="5" spans="2:13">
      <c r="D5" s="3204" t="s">
        <v>3051</v>
      </c>
      <c r="E5" s="3204" t="s">
        <v>3050</v>
      </c>
      <c r="G5" s="3216" t="s">
        <v>3042</v>
      </c>
      <c r="H5" s="3217">
        <f ca="1">'结果表-住宅'!C20</f>
        <v>8053</v>
      </c>
      <c r="I5" s="3218">
        <v>0.3</v>
      </c>
      <c r="J5" s="3217">
        <f ca="1">'结果表-住宅'!D20</f>
        <v>14172</v>
      </c>
      <c r="K5" s="3218">
        <f>1-I5</f>
        <v>0.7</v>
      </c>
      <c r="L5" s="3217">
        <f ca="1">ROUND(H5*I5+J5*K5,0)</f>
        <v>12336</v>
      </c>
      <c r="M5" s="3203"/>
    </row>
    <row r="6" spans="2:13">
      <c r="D6" s="3203">
        <f>'数据-汇总表'!D3</f>
        <v>183040.85</v>
      </c>
      <c r="E6" s="3203">
        <v>100957</v>
      </c>
      <c r="G6" s="3216" t="s">
        <v>3043</v>
      </c>
      <c r="H6" s="3217">
        <f>[1]结果表!$C$20</f>
        <v>6945</v>
      </c>
      <c r="I6" s="3218">
        <v>0.3</v>
      </c>
      <c r="J6" s="3217">
        <f>[1]结果表!$D$20</f>
        <v>20725</v>
      </c>
      <c r="K6" s="3218">
        <f>1-I6</f>
        <v>0.7</v>
      </c>
      <c r="L6" s="3217">
        <f>ROUND(H6*I6+J6*K6,0)</f>
        <v>16591</v>
      </c>
      <c r="M6" s="3203"/>
    </row>
    <row r="7" spans="2:13">
      <c r="D7" s="3203"/>
      <c r="E7" s="3203"/>
      <c r="G7" s="3216" t="s">
        <v>3044</v>
      </c>
      <c r="H7" s="3217">
        <f>[2]结果表!$C$20</f>
        <v>6949</v>
      </c>
      <c r="I7" s="3218">
        <v>0.3</v>
      </c>
      <c r="J7" s="3217">
        <f>[2]结果表!$D$20</f>
        <v>16373</v>
      </c>
      <c r="K7" s="3218">
        <f>1-I7</f>
        <v>0.7</v>
      </c>
      <c r="L7" s="3217">
        <f>ROUND(H7*I7+J7*K7,0)</f>
        <v>13546</v>
      </c>
      <c r="M7" s="3203"/>
    </row>
    <row r="8" spans="2:13">
      <c r="D8" s="3203"/>
      <c r="E8" s="3203"/>
      <c r="G8" s="3203"/>
      <c r="H8" s="3203"/>
      <c r="I8" s="3203"/>
      <c r="J8" s="3203"/>
      <c r="K8" s="3203"/>
      <c r="L8" s="3203"/>
      <c r="M8" s="3203"/>
    </row>
    <row r="9" spans="2:13" ht="14.25">
      <c r="D9" s="3203"/>
      <c r="E9" s="3203"/>
      <c r="G9" s="3215" t="s">
        <v>3056</v>
      </c>
      <c r="H9" s="3205" t="s">
        <v>3038</v>
      </c>
      <c r="I9" s="3205" t="s">
        <v>3039</v>
      </c>
      <c r="J9" s="3205" t="s">
        <v>3040</v>
      </c>
      <c r="K9" s="3205" t="s">
        <v>3039</v>
      </c>
      <c r="L9" s="3210" t="s">
        <v>3041</v>
      </c>
      <c r="M9" s="3203"/>
    </row>
    <row r="10" spans="2:13">
      <c r="G10" s="3219" t="s">
        <v>3042</v>
      </c>
      <c r="H10" s="3217">
        <f ca="1">'结果表-住宅'!C19</f>
        <v>349408</v>
      </c>
      <c r="I10" s="3218">
        <v>0.3</v>
      </c>
      <c r="J10" s="3217">
        <f ca="1">'结果表-住宅'!D19</f>
        <v>614892</v>
      </c>
      <c r="K10" s="3218">
        <f>1-I10</f>
        <v>0.7</v>
      </c>
      <c r="L10" s="3231">
        <f ca="1">E16</f>
        <v>564321.42000000004</v>
      </c>
      <c r="M10" s="3203"/>
    </row>
    <row r="11" spans="2:13">
      <c r="G11" s="3219" t="s">
        <v>3043</v>
      </c>
      <c r="H11" s="3217">
        <f>[1]结果表!$C$19</f>
        <v>70115</v>
      </c>
      <c r="I11" s="3218">
        <v>0.3</v>
      </c>
      <c r="J11" s="3217">
        <f>[1]结果表!$D$19</f>
        <v>209236</v>
      </c>
      <c r="K11" s="3218">
        <f>1-I11</f>
        <v>0.7</v>
      </c>
      <c r="L11" s="3231">
        <f>ROUND(H11*I11+J11*K11,2)</f>
        <v>167499.70000000001</v>
      </c>
      <c r="M11" s="3203"/>
    </row>
    <row r="12" spans="2:13">
      <c r="G12" s="3219" t="s">
        <v>3044</v>
      </c>
      <c r="H12" s="3217">
        <f>[2]结果表!$C$19</f>
        <v>70155</v>
      </c>
      <c r="I12" s="3218">
        <v>0.3</v>
      </c>
      <c r="J12" s="3217">
        <f>[2]结果表!$D$19</f>
        <v>165296</v>
      </c>
      <c r="K12" s="3218">
        <f>1-I12</f>
        <v>0.7</v>
      </c>
      <c r="L12" s="3231">
        <f>ROUND(H12*I12+J12*K12,2)</f>
        <v>136753.70000000001</v>
      </c>
      <c r="M12" s="3203"/>
    </row>
    <row r="13" spans="2:13">
      <c r="B13" s="3399" t="s">
        <v>3026</v>
      </c>
      <c r="C13" s="3400"/>
      <c r="D13" s="3400"/>
      <c r="E13" s="3400"/>
      <c r="G13" s="3203"/>
      <c r="H13" s="3203"/>
      <c r="I13" s="3203"/>
      <c r="J13" s="3203"/>
      <c r="K13" s="3203"/>
      <c r="L13" s="3203"/>
      <c r="M13" s="3203"/>
    </row>
    <row r="14" spans="2:13">
      <c r="B14" s="3401"/>
      <c r="C14" s="3401"/>
      <c r="D14" s="3401"/>
      <c r="E14" s="3401"/>
      <c r="G14" s="3203"/>
      <c r="H14" s="3203"/>
      <c r="I14" s="3203"/>
      <c r="J14" s="3203"/>
      <c r="K14" s="3203"/>
      <c r="L14" s="3203"/>
      <c r="M14" s="3203"/>
    </row>
    <row r="15" spans="2:13" ht="28.5">
      <c r="B15" s="3202"/>
      <c r="C15" s="3202" t="s">
        <v>3017</v>
      </c>
      <c r="D15" s="3202" t="s">
        <v>3018</v>
      </c>
      <c r="E15" s="3202" t="s">
        <v>3019</v>
      </c>
      <c r="G15" s="3220" t="s">
        <v>3045</v>
      </c>
      <c r="H15" s="3406" t="s">
        <v>3038</v>
      </c>
      <c r="I15" s="3407"/>
      <c r="J15" s="3406" t="s">
        <v>3040</v>
      </c>
      <c r="K15" s="3407"/>
      <c r="L15" s="3212" t="s">
        <v>3039</v>
      </c>
      <c r="M15" s="3212"/>
    </row>
    <row r="16" spans="2:13" ht="14.25">
      <c r="B16" s="3202" t="s">
        <v>3020</v>
      </c>
      <c r="C16" s="3202">
        <f ca="1">'结果表-住宅'!G20</f>
        <v>12336</v>
      </c>
      <c r="D16" s="3202">
        <f>'数据-汇总表'!E8</f>
        <v>457459</v>
      </c>
      <c r="E16" s="3202">
        <f ca="1">ROUND(C16*D16/10000,2)</f>
        <v>564321.42000000004</v>
      </c>
      <c r="G16" s="3221" t="s">
        <v>3058</v>
      </c>
      <c r="H16" s="3213" t="s">
        <v>3049</v>
      </c>
      <c r="I16" s="3214" t="s">
        <v>3052</v>
      </c>
      <c r="J16" s="3213" t="s">
        <v>3049</v>
      </c>
      <c r="K16" s="3214" t="s">
        <v>3052</v>
      </c>
      <c r="L16" s="3212" t="s">
        <v>3052</v>
      </c>
      <c r="M16" s="3212" t="s">
        <v>3059</v>
      </c>
    </row>
    <row r="17" spans="2:13" ht="14.25">
      <c r="B17" s="3202" t="s">
        <v>3021</v>
      </c>
      <c r="C17" s="3202">
        <f>[1]结果表!$G$20</f>
        <v>16591</v>
      </c>
      <c r="D17" s="3202" t="s">
        <v>3022</v>
      </c>
      <c r="E17" s="3202" t="s">
        <v>3022</v>
      </c>
      <c r="G17" s="3222" t="s">
        <v>3042</v>
      </c>
      <c r="H17" s="3232">
        <f ca="1">ROUND(I17*E6/10000,2)</f>
        <v>20322.64</v>
      </c>
      <c r="I17" s="3233">
        <f ca="1">ROUND(H5*0.25,0)</f>
        <v>2013</v>
      </c>
      <c r="J17" s="3232">
        <f ca="1">ROUND(K17*E6/10000,2)</f>
        <v>35769.07</v>
      </c>
      <c r="K17" s="3233">
        <f ca="1">ROUND(J5*0.25,0)</f>
        <v>3543</v>
      </c>
      <c r="L17" s="3233">
        <f ca="1">ROUND(I17*I5+K17*K5,0)</f>
        <v>3084</v>
      </c>
      <c r="M17" s="3223">
        <f ca="1">ROUND(L17*E6/10000,2)</f>
        <v>31135.14</v>
      </c>
    </row>
    <row r="18" spans="2:13" ht="14.25">
      <c r="B18" s="3202" t="s">
        <v>3023</v>
      </c>
      <c r="C18" s="3202">
        <f>[2]结果表!$G$20</f>
        <v>13546</v>
      </c>
      <c r="D18" s="3202" t="s">
        <v>3024</v>
      </c>
      <c r="E18" s="3202" t="s">
        <v>3024</v>
      </c>
      <c r="G18" s="3222" t="s">
        <v>3043</v>
      </c>
      <c r="H18" s="3232">
        <f>ROUND(I18*E6/10000,2)</f>
        <v>17526.14</v>
      </c>
      <c r="I18" s="3233">
        <f t="shared" ref="I18:I19" si="0">ROUND(H6*0.25,0)</f>
        <v>1736</v>
      </c>
      <c r="J18" s="3232">
        <f>ROUND(K18*E6/10000,2)</f>
        <v>52305.82</v>
      </c>
      <c r="K18" s="3233">
        <f t="shared" ref="K18:K19" si="1">ROUND(J6*0.25,0)</f>
        <v>5181</v>
      </c>
      <c r="L18" s="3233">
        <f>ROUND(I18*I6+K18*K6,0)</f>
        <v>4148</v>
      </c>
      <c r="M18" s="3223">
        <f>ROUND(L18*E6/10000,2)</f>
        <v>41876.959999999999</v>
      </c>
    </row>
    <row r="19" spans="2:13" ht="22.5" customHeight="1">
      <c r="B19" s="3202" t="s">
        <v>3025</v>
      </c>
      <c r="C19" s="3202"/>
      <c r="D19" s="3202"/>
      <c r="E19" s="3202">
        <f ca="1">SUM(E16:E18)</f>
        <v>564321.42000000004</v>
      </c>
      <c r="G19" s="3222" t="s">
        <v>3044</v>
      </c>
      <c r="H19" s="3232">
        <f>ROUND(I19*E6/10000,2)</f>
        <v>17536.23</v>
      </c>
      <c r="I19" s="3233">
        <f t="shared" si="0"/>
        <v>1737</v>
      </c>
      <c r="J19" s="3232">
        <f>ROUND(K19*E6/10000,2)</f>
        <v>41321.699999999997</v>
      </c>
      <c r="K19" s="3233">
        <f t="shared" si="1"/>
        <v>4093</v>
      </c>
      <c r="L19" s="3233">
        <f>ROUND(I19*I7+K19*K7,0)</f>
        <v>3386</v>
      </c>
      <c r="M19" s="3223">
        <f>ROUND(L19*E6/10000,2)</f>
        <v>34184.04</v>
      </c>
    </row>
    <row r="20" spans="2:13">
      <c r="G20" s="3203"/>
      <c r="H20" s="3203"/>
      <c r="I20" s="3203"/>
      <c r="J20" s="3203"/>
      <c r="K20" s="3203"/>
      <c r="L20" s="3203"/>
      <c r="M20" s="3203"/>
    </row>
    <row r="21" spans="2:13">
      <c r="G21" s="3203"/>
      <c r="H21" s="3203"/>
      <c r="I21" s="3203"/>
      <c r="J21" s="3203"/>
      <c r="K21" s="3203"/>
      <c r="L21" s="3203"/>
      <c r="M21" s="3203"/>
    </row>
    <row r="22" spans="2:13" ht="28.5">
      <c r="B22" s="3202"/>
      <c r="C22" s="3202" t="s">
        <v>3027</v>
      </c>
      <c r="D22" s="3202" t="s">
        <v>3028</v>
      </c>
      <c r="E22" s="3202" t="s">
        <v>3029</v>
      </c>
      <c r="G22" s="3224" t="s">
        <v>3045</v>
      </c>
      <c r="H22" s="3404" t="s">
        <v>3038</v>
      </c>
      <c r="I22" s="3405"/>
      <c r="J22" s="3404" t="s">
        <v>3040</v>
      </c>
      <c r="K22" s="3405"/>
      <c r="L22" s="3206" t="s">
        <v>3039</v>
      </c>
      <c r="M22" s="3211" t="s">
        <v>3039</v>
      </c>
    </row>
    <row r="23" spans="2:13" ht="22.5" customHeight="1">
      <c r="B23" s="3202" t="s">
        <v>3030</v>
      </c>
      <c r="C23" s="3202">
        <f ca="1">ROUND(C16*0.25,0)</f>
        <v>3084</v>
      </c>
      <c r="D23" s="3202">
        <f>D16</f>
        <v>457459</v>
      </c>
      <c r="E23" s="3202">
        <f ca="1">ROUND(C23*D23/10000,2)</f>
        <v>141080.35999999999</v>
      </c>
      <c r="G23" s="3225" t="s">
        <v>3057</v>
      </c>
      <c r="H23" s="3207" t="s">
        <v>3049</v>
      </c>
      <c r="I23" s="3208" t="s">
        <v>3052</v>
      </c>
      <c r="J23" s="3207" t="s">
        <v>3049</v>
      </c>
      <c r="K23" s="3208" t="s">
        <v>3053</v>
      </c>
      <c r="L23" s="3206" t="s">
        <v>3049</v>
      </c>
      <c r="M23" s="3206" t="s">
        <v>3052</v>
      </c>
    </row>
    <row r="24" spans="2:13" ht="28.5">
      <c r="B24" s="3202" t="s">
        <v>3031</v>
      </c>
      <c r="C24" s="3202">
        <f>ROUND(C17*0.25,0)</f>
        <v>4148</v>
      </c>
      <c r="D24" s="3202" t="s">
        <v>3032</v>
      </c>
      <c r="E24" s="3202" t="s">
        <v>3032</v>
      </c>
      <c r="F24" s="3209"/>
      <c r="G24" s="3226" t="s">
        <v>3046</v>
      </c>
      <c r="H24" s="3227">
        <f ca="1">ROUND(H10*0.25,2)</f>
        <v>87352</v>
      </c>
      <c r="I24" s="3228">
        <f ca="1">ROUND(H24*10000/E6,0)</f>
        <v>8652</v>
      </c>
      <c r="J24" s="3227">
        <f ca="1">ROUND(J10*0.25,2)</f>
        <v>153723</v>
      </c>
      <c r="K24" s="3228">
        <f ca="1">ROUND(J24*10000/E6,0)</f>
        <v>15227</v>
      </c>
      <c r="L24" s="3227">
        <f ca="1">ROUND(H24*I10+J24*K10,2)</f>
        <v>133811.70000000001</v>
      </c>
      <c r="M24" s="3228">
        <f ca="1">ROUND(L24*10000/E6,0)</f>
        <v>13254</v>
      </c>
    </row>
    <row r="25" spans="2:13" ht="28.5">
      <c r="B25" s="3202" t="s">
        <v>3033</v>
      </c>
      <c r="C25" s="3202">
        <f>ROUND(C18*0.25,0)</f>
        <v>3387</v>
      </c>
      <c r="D25" s="3202" t="s">
        <v>3034</v>
      </c>
      <c r="E25" s="3202" t="s">
        <v>3034</v>
      </c>
      <c r="G25" s="3226" t="s">
        <v>3043</v>
      </c>
      <c r="H25" s="3227">
        <f>ROUND(H11*0.25,2)</f>
        <v>17528.75</v>
      </c>
      <c r="I25" s="3228">
        <f>ROUND(H25*10000/E6,0)</f>
        <v>1736</v>
      </c>
      <c r="J25" s="3227">
        <f>ROUND(J11*0.25,2)</f>
        <v>52309</v>
      </c>
      <c r="K25" s="3228">
        <f>ROUND(J25*10000/E6,0)</f>
        <v>5181</v>
      </c>
      <c r="L25" s="3227">
        <f>ROUND(H25*I11+J25*K11,2)</f>
        <v>41874.93</v>
      </c>
      <c r="M25" s="3228">
        <f>ROUND(L25*10000/E6,0)</f>
        <v>4148</v>
      </c>
    </row>
    <row r="26" spans="2:13" ht="28.5">
      <c r="B26" s="3202" t="s">
        <v>3035</v>
      </c>
      <c r="C26" s="3202" t="s">
        <v>3036</v>
      </c>
      <c r="D26" s="3202"/>
      <c r="E26" s="3202">
        <f ca="1">SUM(E23:E25)</f>
        <v>141080.35999999999</v>
      </c>
      <c r="G26" s="3226" t="s">
        <v>3044</v>
      </c>
      <c r="H26" s="3227">
        <f>ROUND(H12*0.25,2)</f>
        <v>17538.75</v>
      </c>
      <c r="I26" s="3228">
        <f>ROUND(H26*10000/E6,0)</f>
        <v>1737</v>
      </c>
      <c r="J26" s="3227">
        <f>ROUND(J12*0.25,2)</f>
        <v>41324</v>
      </c>
      <c r="K26" s="3228">
        <f>ROUND(J26*10000/E6,0)</f>
        <v>4093</v>
      </c>
      <c r="L26" s="3227">
        <f>ROUND(H26*I12+J26*K12,2)</f>
        <v>34188.43</v>
      </c>
      <c r="M26" s="3228">
        <f>ROUND(L26*10000/E6,0)</f>
        <v>3386</v>
      </c>
    </row>
    <row r="27" spans="2:13">
      <c r="G27" s="3229"/>
      <c r="H27" s="3228" t="s">
        <v>3047</v>
      </c>
      <c r="I27" s="3228" t="s">
        <v>3048</v>
      </c>
      <c r="J27" s="3228" t="s">
        <v>3047</v>
      </c>
      <c r="K27" s="3228" t="s">
        <v>3048</v>
      </c>
      <c r="L27" s="3230" t="s">
        <v>3047</v>
      </c>
      <c r="M27" s="3230" t="s">
        <v>3048</v>
      </c>
    </row>
    <row r="28" spans="2:13" ht="33.75" customHeight="1">
      <c r="B28" s="3402" t="s">
        <v>3037</v>
      </c>
      <c r="C28" s="3403"/>
      <c r="D28" s="3403"/>
      <c r="E28" s="3403"/>
    </row>
    <row r="29" spans="2:13" ht="36" customHeight="1"/>
    <row r="32" spans="2:13" ht="23.25" customHeight="1"/>
    <row r="33" ht="18.75" customHeight="1"/>
    <row r="34" ht="21" customHeight="1"/>
  </sheetData>
  <mergeCells count="6">
    <mergeCell ref="B13:E14"/>
    <mergeCell ref="B28:E28"/>
    <mergeCell ref="H22:I22"/>
    <mergeCell ref="J22:K22"/>
    <mergeCell ref="H15:I15"/>
    <mergeCell ref="J15:K15"/>
  </mergeCells>
  <phoneticPr fontId="27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0"/>
  <sheetViews>
    <sheetView tabSelected="1" zoomScaleNormal="100" workbookViewId="0">
      <selection activeCell="E21" sqref="E21"/>
    </sheetView>
  </sheetViews>
  <sheetFormatPr defaultRowHeight="13.5"/>
  <cols>
    <col min="1" max="1" width="18" customWidth="1"/>
    <col min="2" max="2" width="15.875" customWidth="1"/>
    <col min="3" max="3" width="16.125" customWidth="1"/>
    <col min="4" max="4" width="15.125" customWidth="1"/>
    <col min="5" max="5" width="17.375" customWidth="1"/>
    <col min="6" max="6" width="16.875" customWidth="1"/>
    <col min="9" max="9" width="16.75" customWidth="1"/>
    <col min="10" max="10" width="16.875" customWidth="1"/>
    <col min="11" max="14" width="13" customWidth="1"/>
    <col min="15" max="15" width="14.625" customWidth="1"/>
  </cols>
  <sheetData>
    <row r="1" spans="1:6" ht="21.75" customHeight="1">
      <c r="A1" s="3272" t="s">
        <v>3191</v>
      </c>
      <c r="B1" s="3272" t="s">
        <v>3192</v>
      </c>
      <c r="C1" s="3272" t="s">
        <v>3193</v>
      </c>
      <c r="D1" s="3272" t="s">
        <v>3194</v>
      </c>
      <c r="E1" s="3272" t="s">
        <v>3195</v>
      </c>
      <c r="F1" s="3272" t="s">
        <v>3205</v>
      </c>
    </row>
    <row r="2" spans="1:6" ht="13.5" customHeight="1">
      <c r="A2" s="3416" t="s">
        <v>3211</v>
      </c>
      <c r="B2" s="3274" t="s">
        <v>3196</v>
      </c>
      <c r="C2" s="3273">
        <f ca="1">'结果表-住宅'!C20</f>
        <v>8053</v>
      </c>
      <c r="D2" s="3273">
        <v>0.3</v>
      </c>
      <c r="E2" s="3417">
        <f ca="1">ROUND(C2*D2+C3*D3,0)</f>
        <v>12336</v>
      </c>
      <c r="F2" s="3408">
        <f ca="1">ROUND(E2*0.25,0)</f>
        <v>3084</v>
      </c>
    </row>
    <row r="3" spans="1:6" ht="13.5" customHeight="1">
      <c r="A3" s="3416"/>
      <c r="B3" s="3274" t="s">
        <v>3197</v>
      </c>
      <c r="C3" s="3273">
        <f ca="1">'结果表-住宅'!D20</f>
        <v>14172</v>
      </c>
      <c r="D3" s="3273">
        <f>1-D2</f>
        <v>0.7</v>
      </c>
      <c r="E3" s="3418"/>
      <c r="F3" s="3409"/>
    </row>
    <row r="4" spans="1:6" ht="13.5" customHeight="1">
      <c r="A4" s="3416" t="s">
        <v>3201</v>
      </c>
      <c r="B4" s="3274" t="s">
        <v>3196</v>
      </c>
      <c r="C4" s="3273">
        <f ca="1">'结果表-商业'!C20</f>
        <v>5133</v>
      </c>
      <c r="D4" s="3273">
        <v>0.3</v>
      </c>
      <c r="E4" s="3417">
        <f t="shared" ref="E4" ca="1" si="0">ROUND(C4*D4+C5*D5,0)</f>
        <v>6317</v>
      </c>
      <c r="F4" s="3408">
        <f t="shared" ref="F4" ca="1" si="1">ROUND(E4*0.25,0)</f>
        <v>1579</v>
      </c>
    </row>
    <row r="5" spans="1:6" ht="13.5" customHeight="1">
      <c r="A5" s="3416"/>
      <c r="B5" s="3274" t="s">
        <v>3197</v>
      </c>
      <c r="C5" s="3273">
        <f ca="1">'结果表-商业'!D20</f>
        <v>6825</v>
      </c>
      <c r="D5" s="3273">
        <f>1-D4</f>
        <v>0.7</v>
      </c>
      <c r="E5" s="3418"/>
      <c r="F5" s="3409"/>
    </row>
    <row r="6" spans="1:6" ht="16.5" customHeight="1">
      <c r="A6" s="3416" t="s">
        <v>3202</v>
      </c>
      <c r="B6" s="3274" t="s">
        <v>3198</v>
      </c>
      <c r="C6" s="3273">
        <f ca="1">'结果表-办公'!C20</f>
        <v>5244</v>
      </c>
      <c r="D6" s="3273">
        <f t="shared" ref="D6:D11" si="2">D4</f>
        <v>0.3</v>
      </c>
      <c r="E6" s="3417">
        <f t="shared" ref="E6" ca="1" si="3">ROUND(C6*D6+C7*D7,0)</f>
        <v>6110</v>
      </c>
      <c r="F6" s="3408">
        <f t="shared" ref="F6" ca="1" si="4">ROUND(E6*0.25,0)</f>
        <v>1528</v>
      </c>
    </row>
    <row r="7" spans="1:6" ht="18" customHeight="1">
      <c r="A7" s="3416"/>
      <c r="B7" s="3274" t="s">
        <v>3197</v>
      </c>
      <c r="C7" s="3273">
        <f ca="1">'结果表-办公'!D20</f>
        <v>6481</v>
      </c>
      <c r="D7" s="3273">
        <f t="shared" si="2"/>
        <v>0.7</v>
      </c>
      <c r="E7" s="3418"/>
      <c r="F7" s="3409"/>
    </row>
    <row r="8" spans="1:6" ht="13.5" customHeight="1">
      <c r="A8" s="3416" t="s">
        <v>3203</v>
      </c>
      <c r="B8" s="3274" t="s">
        <v>3196</v>
      </c>
      <c r="C8" s="3273">
        <f ca="1">'基准地价-住宅'!C39</f>
        <v>1054</v>
      </c>
      <c r="D8" s="3273">
        <f t="shared" si="2"/>
        <v>0.3</v>
      </c>
      <c r="E8" s="3417">
        <f t="shared" ref="E8" ca="1" si="5">ROUND(C8*D8+C9*D9,0)</f>
        <v>1804</v>
      </c>
      <c r="F8" s="3408">
        <f t="shared" ref="F8" ca="1" si="6">ROUND(E8*0.25,0)</f>
        <v>451</v>
      </c>
    </row>
    <row r="9" spans="1:6" ht="13.5" customHeight="1">
      <c r="A9" s="3416"/>
      <c r="B9" s="3274" t="s">
        <v>3040</v>
      </c>
      <c r="C9" s="3273">
        <f ca="1">ROUND(C3*0.15,0)</f>
        <v>2126</v>
      </c>
      <c r="D9" s="3273">
        <f t="shared" si="2"/>
        <v>0.7</v>
      </c>
      <c r="E9" s="3418"/>
      <c r="F9" s="3409"/>
    </row>
    <row r="10" spans="1:6" ht="13.5" customHeight="1">
      <c r="A10" s="3416" t="s">
        <v>3204</v>
      </c>
      <c r="B10" s="3274" t="s">
        <v>3199</v>
      </c>
      <c r="C10" s="3273">
        <f ca="1">'基准地价-住宅'!C38</f>
        <v>1405</v>
      </c>
      <c r="D10" s="3273">
        <f t="shared" si="2"/>
        <v>0.3</v>
      </c>
      <c r="E10" s="3417">
        <f t="shared" ref="E10" ca="1" si="7">ROUND(C10*D10+C11*D11,0)</f>
        <v>2405</v>
      </c>
      <c r="F10" s="3408">
        <f t="shared" ref="F10" ca="1" si="8">ROUND(E10*0.25,0)</f>
        <v>601</v>
      </c>
    </row>
    <row r="11" spans="1:6" ht="13.5" customHeight="1">
      <c r="A11" s="3416"/>
      <c r="B11" s="3274" t="s">
        <v>3200</v>
      </c>
      <c r="C11" s="3273">
        <f ca="1">ROUND(C3*0.2,0)</f>
        <v>2834</v>
      </c>
      <c r="D11" s="3273">
        <f t="shared" si="2"/>
        <v>0.7</v>
      </c>
      <c r="E11" s="3418"/>
      <c r="F11" s="3409"/>
    </row>
    <row r="12" spans="1:6" s="3275" customFormat="1" ht="14.25" thickBot="1">
      <c r="A12" s="3419"/>
      <c r="B12" s="3276"/>
      <c r="C12" s="3277"/>
      <c r="D12" s="3277"/>
      <c r="E12" s="3420"/>
    </row>
    <row r="13" spans="1:6" s="3275" customFormat="1" hidden="1">
      <c r="A13" s="3419"/>
      <c r="B13" s="3276"/>
      <c r="C13" s="3277"/>
      <c r="D13" s="3277"/>
      <c r="E13" s="3420"/>
    </row>
    <row r="14" spans="1:6" s="3275" customFormat="1" hidden="1">
      <c r="A14" s="3419"/>
      <c r="B14" s="3276"/>
      <c r="C14" s="3277"/>
      <c r="D14" s="3277"/>
      <c r="E14" s="3420"/>
    </row>
    <row r="15" spans="1:6" s="3275" customFormat="1" ht="14.25" hidden="1" thickBot="1">
      <c r="A15" s="3419"/>
      <c r="B15" s="3276"/>
      <c r="C15" s="3277"/>
      <c r="D15" s="3277"/>
      <c r="E15" s="3420"/>
    </row>
    <row r="16" spans="1:6" s="3275" customFormat="1" ht="13.5" customHeight="1">
      <c r="A16" s="3410" t="s">
        <v>3209</v>
      </c>
      <c r="B16" s="3411"/>
      <c r="C16" s="3411"/>
      <c r="D16" s="3411"/>
      <c r="E16" s="3411"/>
      <c r="F16" s="3412"/>
    </row>
    <row r="17" spans="1:16" s="3275" customFormat="1" ht="13.5" customHeight="1">
      <c r="A17" s="3413"/>
      <c r="B17" s="3414"/>
      <c r="C17" s="3414"/>
      <c r="D17" s="3414"/>
      <c r="E17" s="3414"/>
      <c r="F17" s="3415"/>
    </row>
    <row r="18" spans="1:16" s="3275" customFormat="1" ht="14.25" customHeight="1">
      <c r="A18" s="3434" t="s">
        <v>3206</v>
      </c>
      <c r="B18" s="3435" t="s">
        <v>3207</v>
      </c>
      <c r="C18" s="3422" t="s">
        <v>3221</v>
      </c>
      <c r="D18" s="3422" t="s">
        <v>3222</v>
      </c>
      <c r="E18" s="3422" t="s">
        <v>3219</v>
      </c>
      <c r="F18" s="3425" t="s">
        <v>3220</v>
      </c>
    </row>
    <row r="19" spans="1:16" ht="14.25" customHeight="1">
      <c r="A19" s="3434"/>
      <c r="B19" s="3435"/>
      <c r="C19" s="3423"/>
      <c r="D19" s="3423"/>
      <c r="E19" s="3423"/>
      <c r="F19" s="3426"/>
    </row>
    <row r="20" spans="1:16" ht="14.25" customHeight="1">
      <c r="A20" s="3434"/>
      <c r="B20" s="3435"/>
      <c r="C20" s="3424"/>
      <c r="D20" s="3424"/>
      <c r="E20" s="3424"/>
      <c r="F20" s="3427"/>
    </row>
    <row r="21" spans="1:16" ht="36" customHeight="1">
      <c r="A21" s="3433" t="s">
        <v>2996</v>
      </c>
      <c r="B21" s="3278" t="s">
        <v>3213</v>
      </c>
      <c r="C21" s="3279">
        <f>'数据-汇总表'!E19</f>
        <v>433886</v>
      </c>
      <c r="D21" s="3279">
        <f ca="1">E2</f>
        <v>12336</v>
      </c>
      <c r="E21" s="3279">
        <f ca="1">ROUND(C21*D21/10000,4)</f>
        <v>535241.7696</v>
      </c>
      <c r="F21" s="3280">
        <f ca="1">ROUND(D21/2.5,0)</f>
        <v>4934</v>
      </c>
    </row>
    <row r="22" spans="1:16" ht="40.5" customHeight="1">
      <c r="A22" s="3433"/>
      <c r="B22" s="3278" t="s">
        <v>3212</v>
      </c>
      <c r="C22" s="3279">
        <f>'数据-汇总表'!E20</f>
        <v>9696</v>
      </c>
      <c r="D22" s="3279">
        <f ca="1">E4</f>
        <v>6317</v>
      </c>
      <c r="E22" s="3279">
        <f t="shared" ref="E22:E25" ca="1" si="9">ROUND(C22*D22/10000,4)</f>
        <v>6124.9632000000001</v>
      </c>
      <c r="F22" s="3280">
        <f t="shared" ref="F22:F25" ca="1" si="10">ROUND(D22/2.5,0)</f>
        <v>2527</v>
      </c>
    </row>
    <row r="23" spans="1:16" ht="38.25" customHeight="1">
      <c r="A23" s="3433"/>
      <c r="B23" s="3278" t="s">
        <v>3208</v>
      </c>
      <c r="C23" s="3279">
        <f>'数据-汇总表'!E21</f>
        <v>13877</v>
      </c>
      <c r="D23" s="3279">
        <f ca="1">E6</f>
        <v>6110</v>
      </c>
      <c r="E23" s="3279">
        <f t="shared" ca="1" si="9"/>
        <v>8478.8469999999998</v>
      </c>
      <c r="F23" s="3280">
        <f t="shared" ca="1" si="10"/>
        <v>2444</v>
      </c>
    </row>
    <row r="24" spans="1:16" ht="42" customHeight="1">
      <c r="A24" s="3433" t="s">
        <v>3210</v>
      </c>
      <c r="B24" s="3278" t="s">
        <v>3215</v>
      </c>
      <c r="C24" s="3279">
        <f>'数据-汇总表'!E22</f>
        <v>115688.44</v>
      </c>
      <c r="D24" s="3279">
        <f ca="1">E8</f>
        <v>1804</v>
      </c>
      <c r="E24" s="3279">
        <f t="shared" ca="1" si="9"/>
        <v>20870.194599999999</v>
      </c>
      <c r="F24" s="3280">
        <f t="shared" ca="1" si="10"/>
        <v>722</v>
      </c>
    </row>
    <row r="25" spans="1:16" ht="36" customHeight="1">
      <c r="A25" s="3433"/>
      <c r="B25" s="3278" t="s">
        <v>3214</v>
      </c>
      <c r="C25" s="3279">
        <f>'数据-汇总表'!E23</f>
        <v>32261</v>
      </c>
      <c r="D25" s="3279">
        <f ca="1">E10</f>
        <v>2405</v>
      </c>
      <c r="E25" s="3279">
        <f t="shared" ca="1" si="9"/>
        <v>7758.7704999999996</v>
      </c>
      <c r="F25" s="3280">
        <f t="shared" ca="1" si="10"/>
        <v>962</v>
      </c>
    </row>
    <row r="26" spans="1:16" ht="39" customHeight="1" thickBot="1">
      <c r="A26" s="3431" t="s">
        <v>24</v>
      </c>
      <c r="B26" s="3432"/>
      <c r="C26" s="3281">
        <f>SUM(C21:C25)</f>
        <v>605408.43999999994</v>
      </c>
      <c r="D26" s="3281" t="s">
        <v>3216</v>
      </c>
      <c r="E26" s="3281">
        <f ca="1">SUM(E21:E25)</f>
        <v>578474.54489999998</v>
      </c>
      <c r="F26" s="3282" t="s">
        <v>3217</v>
      </c>
    </row>
    <row r="29" spans="1:16">
      <c r="L29">
        <v>3208.19</v>
      </c>
    </row>
    <row r="30" spans="1:16" ht="13.5" customHeight="1">
      <c r="A30" s="3430" t="s">
        <v>3218</v>
      </c>
      <c r="B30" s="3430"/>
      <c r="C30" s="3430"/>
      <c r="D30" s="3430"/>
      <c r="E30" s="3430"/>
      <c r="F30" s="3430"/>
      <c r="H30" s="3430" t="s">
        <v>3249</v>
      </c>
      <c r="I30" s="3430"/>
      <c r="J30" s="3430"/>
      <c r="K30" s="3430"/>
      <c r="L30" s="3430"/>
      <c r="M30" s="3430"/>
      <c r="N30" s="3430"/>
      <c r="O30" s="3430"/>
      <c r="P30" s="3430"/>
    </row>
    <row r="31" spans="1:16" ht="13.5" customHeight="1" thickBot="1">
      <c r="A31" s="3430"/>
      <c r="B31" s="3430"/>
      <c r="C31" s="3430"/>
      <c r="D31" s="3430"/>
      <c r="E31" s="3430"/>
      <c r="F31" s="3430"/>
      <c r="H31" s="3430"/>
      <c r="I31" s="3430"/>
      <c r="J31" s="3430"/>
      <c r="K31" s="3430"/>
      <c r="L31" s="3430"/>
      <c r="M31" s="3430"/>
      <c r="N31" s="3430"/>
      <c r="O31" s="3430"/>
      <c r="P31" s="3430"/>
    </row>
    <row r="32" spans="1:16" ht="14.25" customHeight="1" thickBot="1">
      <c r="A32" s="3428" t="s">
        <v>3206</v>
      </c>
      <c r="B32" s="3428" t="s">
        <v>3207</v>
      </c>
      <c r="C32" s="3428" t="s">
        <v>3221</v>
      </c>
      <c r="D32" s="3428" t="s">
        <v>3223</v>
      </c>
      <c r="E32" s="3428" t="s">
        <v>3224</v>
      </c>
      <c r="F32" s="3429"/>
      <c r="H32" s="3428" t="s">
        <v>3206</v>
      </c>
      <c r="I32" s="3428" t="s">
        <v>3207</v>
      </c>
      <c r="J32" s="3428" t="s">
        <v>3221</v>
      </c>
      <c r="K32" s="3428" t="s">
        <v>3223</v>
      </c>
      <c r="L32" s="3436" t="s">
        <v>3251</v>
      </c>
      <c r="M32" s="3436" t="s">
        <v>3252</v>
      </c>
      <c r="N32" s="3436" t="s">
        <v>3253</v>
      </c>
      <c r="O32" s="3428" t="s">
        <v>3250</v>
      </c>
      <c r="P32" s="3429"/>
    </row>
    <row r="33" spans="1:16" ht="17.25" customHeight="1" thickBot="1">
      <c r="A33" s="3428"/>
      <c r="B33" s="3428"/>
      <c r="C33" s="3428"/>
      <c r="D33" s="3428"/>
      <c r="E33" s="3428"/>
      <c r="F33" s="3429"/>
      <c r="H33" s="3428"/>
      <c r="I33" s="3428"/>
      <c r="J33" s="3428"/>
      <c r="K33" s="3428"/>
      <c r="L33" s="3437"/>
      <c r="M33" s="3437"/>
      <c r="N33" s="3437"/>
      <c r="O33" s="3428"/>
      <c r="P33" s="3429"/>
    </row>
    <row r="34" spans="1:16" ht="48" customHeight="1" thickBot="1">
      <c r="A34" s="3428"/>
      <c r="B34" s="3428"/>
      <c r="C34" s="3428"/>
      <c r="D34" s="3428"/>
      <c r="E34" s="3428"/>
      <c r="F34" s="3429"/>
      <c r="H34" s="3428"/>
      <c r="I34" s="3428"/>
      <c r="J34" s="3428"/>
      <c r="K34" s="3428"/>
      <c r="L34" s="3438"/>
      <c r="M34" s="3438"/>
      <c r="N34" s="3438"/>
      <c r="O34" s="3428"/>
      <c r="P34" s="3429"/>
    </row>
    <row r="35" spans="1:16" ht="30.75" customHeight="1" thickBot="1">
      <c r="A35" s="3421" t="s">
        <v>2996</v>
      </c>
      <c r="B35" s="3284" t="s">
        <v>3213</v>
      </c>
      <c r="C35" s="3285">
        <f>C21</f>
        <v>433886</v>
      </c>
      <c r="D35" s="3285">
        <f ca="1">ROUND(D21*0.25,0)</f>
        <v>3084</v>
      </c>
      <c r="E35" s="3285">
        <f ca="1">ROUND(C35*D35/10000,4)</f>
        <v>133810.4424</v>
      </c>
      <c r="F35" s="3283"/>
      <c r="H35" s="3421" t="s">
        <v>2996</v>
      </c>
      <c r="I35" s="3284" t="s">
        <v>3213</v>
      </c>
      <c r="J35" s="3285">
        <f>C35</f>
        <v>433886</v>
      </c>
      <c r="K35" s="3285">
        <f ca="1">D35</f>
        <v>3084</v>
      </c>
      <c r="L35" s="3309">
        <f ca="1">K35+L29</f>
        <v>6292.1900000000005</v>
      </c>
      <c r="M35" s="3310">
        <v>3828</v>
      </c>
      <c r="N35" s="3285">
        <f>ROUND(M35*0.25,0)</f>
        <v>957</v>
      </c>
      <c r="O35" s="3285">
        <f ca="1">ROUND(J35*K35/10000,4)</f>
        <v>133810.4424</v>
      </c>
      <c r="P35" s="3283"/>
    </row>
    <row r="36" spans="1:16" ht="27" customHeight="1" thickBot="1">
      <c r="A36" s="3421"/>
      <c r="B36" s="3284" t="s">
        <v>3212</v>
      </c>
      <c r="C36" s="3285">
        <f>C22</f>
        <v>9696</v>
      </c>
      <c r="D36" s="3285">
        <f t="shared" ref="D36:D39" ca="1" si="11">ROUND(D22*0.25,0)</f>
        <v>1579</v>
      </c>
      <c r="E36" s="3285">
        <f t="shared" ref="E36:E39" ca="1" si="12">ROUND(C36*D36/10000,4)</f>
        <v>1530.9983999999999</v>
      </c>
      <c r="F36" s="3283"/>
      <c r="H36" s="3421"/>
      <c r="I36" s="3284" t="s">
        <v>3212</v>
      </c>
      <c r="J36" s="3285">
        <f>C36</f>
        <v>9696</v>
      </c>
      <c r="K36" s="3285">
        <f t="shared" ref="K36:K39" ca="1" si="13">D36</f>
        <v>1579</v>
      </c>
      <c r="L36" s="3309">
        <f ca="1">K36+L29</f>
        <v>4787.1900000000005</v>
      </c>
      <c r="M36" s="3310">
        <v>3384</v>
      </c>
      <c r="N36" s="3285">
        <f t="shared" ref="N36:N39" si="14">ROUND(M36*0.25,0)</f>
        <v>846</v>
      </c>
      <c r="O36" s="3285">
        <f t="shared" ref="O36:O39" ca="1" si="15">ROUND(J36*K36/10000,4)</f>
        <v>1530.9983999999999</v>
      </c>
      <c r="P36" s="3283"/>
    </row>
    <row r="37" spans="1:16" ht="29.25" thickBot="1">
      <c r="A37" s="3421"/>
      <c r="B37" s="3284" t="s">
        <v>3208</v>
      </c>
      <c r="C37" s="3285">
        <f>C23</f>
        <v>13877</v>
      </c>
      <c r="D37" s="3285">
        <f t="shared" ca="1" si="11"/>
        <v>1528</v>
      </c>
      <c r="E37" s="3285">
        <f t="shared" ca="1" si="12"/>
        <v>2120.4056</v>
      </c>
      <c r="F37" s="3283"/>
      <c r="H37" s="3421"/>
      <c r="I37" s="3284" t="s">
        <v>3208</v>
      </c>
      <c r="J37" s="3285">
        <f>C37</f>
        <v>13877</v>
      </c>
      <c r="K37" s="3285">
        <f t="shared" ca="1" si="13"/>
        <v>1528</v>
      </c>
      <c r="L37" s="3309">
        <f ca="1">K37+L29</f>
        <v>4736.1900000000005</v>
      </c>
      <c r="M37" s="3310">
        <v>3431</v>
      </c>
      <c r="N37" s="3285">
        <f t="shared" si="14"/>
        <v>858</v>
      </c>
      <c r="O37" s="3285">
        <f t="shared" ca="1" si="15"/>
        <v>2120.4056</v>
      </c>
      <c r="P37" s="3283"/>
    </row>
    <row r="38" spans="1:16" ht="24.75" customHeight="1" thickBot="1">
      <c r="A38" s="3421" t="s">
        <v>3210</v>
      </c>
      <c r="B38" s="3284" t="s">
        <v>3215</v>
      </c>
      <c r="C38" s="3285">
        <f>C24</f>
        <v>115688.44</v>
      </c>
      <c r="D38" s="3285">
        <f t="shared" ca="1" si="11"/>
        <v>451</v>
      </c>
      <c r="E38" s="3285">
        <f t="shared" ca="1" si="12"/>
        <v>5217.5486000000001</v>
      </c>
      <c r="F38" s="3283"/>
      <c r="H38" s="3421" t="s">
        <v>3210</v>
      </c>
      <c r="I38" s="3284" t="s">
        <v>3215</v>
      </c>
      <c r="J38" s="3285">
        <f>C38</f>
        <v>115688.44</v>
      </c>
      <c r="K38" s="3285">
        <f t="shared" ca="1" si="13"/>
        <v>451</v>
      </c>
      <c r="L38" s="3309">
        <f ca="1">K38+L29</f>
        <v>3659.19</v>
      </c>
      <c r="M38" s="3310">
        <v>885</v>
      </c>
      <c r="N38" s="3285">
        <f t="shared" si="14"/>
        <v>221</v>
      </c>
      <c r="O38" s="3285">
        <f t="shared" ca="1" si="15"/>
        <v>5217.5486000000001</v>
      </c>
      <c r="P38" s="3283"/>
    </row>
    <row r="39" spans="1:16" ht="24.75" customHeight="1" thickBot="1">
      <c r="A39" s="3421"/>
      <c r="B39" s="3284" t="s">
        <v>3214</v>
      </c>
      <c r="C39" s="3285">
        <f>C25</f>
        <v>32261</v>
      </c>
      <c r="D39" s="3285">
        <f t="shared" ca="1" si="11"/>
        <v>601</v>
      </c>
      <c r="E39" s="3285">
        <f t="shared" ca="1" si="12"/>
        <v>1938.8860999999999</v>
      </c>
      <c r="F39" s="3283"/>
      <c r="H39" s="3421"/>
      <c r="I39" s="3284" t="s">
        <v>3214</v>
      </c>
      <c r="J39" s="3285">
        <f>C39</f>
        <v>32261</v>
      </c>
      <c r="K39" s="3285">
        <f t="shared" ca="1" si="13"/>
        <v>601</v>
      </c>
      <c r="L39" s="3309">
        <f ca="1">K39+L29</f>
        <v>3809.19</v>
      </c>
      <c r="M39" s="3310">
        <v>664</v>
      </c>
      <c r="N39" s="3285">
        <f t="shared" si="14"/>
        <v>166</v>
      </c>
      <c r="O39" s="3285">
        <f t="shared" ca="1" si="15"/>
        <v>1938.8860999999999</v>
      </c>
      <c r="P39" s="3283"/>
    </row>
    <row r="40" spans="1:16" ht="31.5" customHeight="1" thickBot="1">
      <c r="A40" s="3421" t="s">
        <v>24</v>
      </c>
      <c r="B40" s="3421"/>
      <c r="C40" s="3285"/>
      <c r="D40" s="3285" t="s">
        <v>3216</v>
      </c>
      <c r="E40" s="3285">
        <f ca="1">SUM(E35:E39)</f>
        <v>144618.28110000002</v>
      </c>
      <c r="F40" s="3283"/>
      <c r="H40" s="3421" t="s">
        <v>24</v>
      </c>
      <c r="I40" s="3421"/>
      <c r="J40" s="3285"/>
      <c r="K40" s="3285" t="s">
        <v>3216</v>
      </c>
      <c r="L40" s="3285" t="s">
        <v>3216</v>
      </c>
      <c r="M40" s="3285" t="s">
        <v>3216</v>
      </c>
      <c r="N40" s="3285" t="s">
        <v>3216</v>
      </c>
      <c r="O40" s="3285">
        <f ca="1">SUM(O35:O39)</f>
        <v>144618.28110000002</v>
      </c>
      <c r="P40" s="3283"/>
    </row>
  </sheetData>
  <mergeCells count="52">
    <mergeCell ref="H35:H37"/>
    <mergeCell ref="H38:H39"/>
    <mergeCell ref="H40:I40"/>
    <mergeCell ref="L32:L34"/>
    <mergeCell ref="M32:M34"/>
    <mergeCell ref="H30:P31"/>
    <mergeCell ref="H32:H34"/>
    <mergeCell ref="I32:I34"/>
    <mergeCell ref="J32:J34"/>
    <mergeCell ref="K32:K34"/>
    <mergeCell ref="O32:O34"/>
    <mergeCell ref="P32:P34"/>
    <mergeCell ref="N32:N34"/>
    <mergeCell ref="F18:F20"/>
    <mergeCell ref="C32:C34"/>
    <mergeCell ref="D32:D34"/>
    <mergeCell ref="E32:E34"/>
    <mergeCell ref="F32:F34"/>
    <mergeCell ref="A30:F31"/>
    <mergeCell ref="A26:B26"/>
    <mergeCell ref="A21:A23"/>
    <mergeCell ref="A18:A20"/>
    <mergeCell ref="B18:B20"/>
    <mergeCell ref="A24:A25"/>
    <mergeCell ref="A32:A34"/>
    <mergeCell ref="B32:B34"/>
    <mergeCell ref="A35:A37"/>
    <mergeCell ref="A38:A39"/>
    <mergeCell ref="A40:B40"/>
    <mergeCell ref="A2:A3"/>
    <mergeCell ref="E2:E3"/>
    <mergeCell ref="C18:C20"/>
    <mergeCell ref="D18:D20"/>
    <mergeCell ref="E18:E20"/>
    <mergeCell ref="F2:F3"/>
    <mergeCell ref="F4:F5"/>
    <mergeCell ref="F6:F7"/>
    <mergeCell ref="A4:A5"/>
    <mergeCell ref="E4:E5"/>
    <mergeCell ref="A6:A7"/>
    <mergeCell ref="E6:E7"/>
    <mergeCell ref="F8:F9"/>
    <mergeCell ref="F10:F11"/>
    <mergeCell ref="A16:F17"/>
    <mergeCell ref="A10:A11"/>
    <mergeCell ref="E10:E11"/>
    <mergeCell ref="A12:A13"/>
    <mergeCell ref="E12:E13"/>
    <mergeCell ref="A14:A15"/>
    <mergeCell ref="E14:E15"/>
    <mergeCell ref="A8:A9"/>
    <mergeCell ref="E8:E9"/>
  </mergeCells>
  <phoneticPr fontId="233" type="noConversion"/>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2" t="s">
        <v>2050</v>
      </c>
      <c r="B1" s="1773"/>
      <c r="C1" s="1801" t="s">
        <v>2051</v>
      </c>
      <c r="D1" s="1802" t="s">
        <v>3006</v>
      </c>
      <c r="E1" s="1801" t="s">
        <v>2052</v>
      </c>
      <c r="F1" s="1803" t="s">
        <v>3007</v>
      </c>
      <c r="G1" s="307"/>
      <c r="H1" s="307"/>
      <c r="I1" s="307"/>
      <c r="J1" s="2025"/>
      <c r="K1" s="2025"/>
      <c r="L1" s="2025"/>
      <c r="M1" s="2025"/>
      <c r="N1" s="2025"/>
      <c r="O1" s="2025"/>
      <c r="P1" s="2025"/>
      <c r="Q1" s="2025"/>
      <c r="R1" s="2025"/>
      <c r="S1" s="2025"/>
      <c r="T1" s="2025"/>
      <c r="U1" s="2025"/>
      <c r="V1" s="2025"/>
    </row>
    <row r="2" spans="1:22" ht="21.75" customHeight="1" thickBot="1">
      <c r="A2" s="3484" t="str">
        <f>项目基本情况!K2</f>
        <v>北京市出让国有建设用地使用权</v>
      </c>
      <c r="B2" s="3485"/>
      <c r="C2" s="3486"/>
      <c r="D2" s="3486"/>
      <c r="E2" s="3486"/>
      <c r="F2" s="3486"/>
      <c r="G2" s="3485"/>
      <c r="H2" s="3485"/>
      <c r="I2" s="3487"/>
      <c r="J2" s="2026"/>
      <c r="K2" s="2025"/>
      <c r="L2" s="2025"/>
      <c r="M2" s="2025"/>
      <c r="N2" s="2025"/>
      <c r="O2" s="2025"/>
      <c r="P2" s="2025"/>
      <c r="Q2" s="2025"/>
      <c r="R2" s="2025"/>
      <c r="S2" s="2025"/>
      <c r="T2" s="2025"/>
      <c r="U2" s="2025"/>
      <c r="V2" s="2025"/>
    </row>
    <row r="3" spans="1:22" ht="14.25">
      <c r="A3" s="3495" t="s">
        <v>292</v>
      </c>
      <c r="B3" s="3496"/>
      <c r="C3" s="3496"/>
      <c r="D3" s="3496"/>
      <c r="E3" s="3496"/>
      <c r="F3" s="3496"/>
      <c r="G3" s="3496"/>
      <c r="H3" s="3496"/>
      <c r="I3" s="3496"/>
      <c r="J3" s="2026"/>
      <c r="K3" s="2025"/>
      <c r="L3" s="2025"/>
      <c r="M3" s="2025"/>
      <c r="N3" s="2025"/>
      <c r="O3" s="2025"/>
      <c r="P3" s="2025"/>
      <c r="Q3" s="2025"/>
      <c r="R3" s="2025"/>
      <c r="S3" s="2025"/>
      <c r="T3" s="2025"/>
      <c r="U3" s="2025"/>
      <c r="V3" s="2025"/>
    </row>
    <row r="4" spans="1:22" ht="14.25">
      <c r="A4" s="257" t="s">
        <v>293</v>
      </c>
      <c r="B4" s="258" t="s">
        <v>294</v>
      </c>
      <c r="C4" s="259" t="s">
        <v>2986</v>
      </c>
      <c r="D4" s="259" t="s">
        <v>3008</v>
      </c>
      <c r="E4" s="3459" t="s">
        <v>295</v>
      </c>
      <c r="F4" s="3501"/>
      <c r="G4" s="3501"/>
      <c r="H4" s="3501"/>
      <c r="I4" s="3460"/>
      <c r="J4" s="2026"/>
      <c r="K4" s="2025"/>
      <c r="L4" s="944" t="str">
        <f>IF(ISNUMBER(FIND("比较法",C4)),"比较法",IF(ISNUMBER(FIND("成本法",C4)),"成本法",IF(ISNUMBER(FIND("剩余法",C4)),"剩余法",IF(ISNUMBER(FIND("收益法",C4)),"收益法","基准地价系数修正法"))))</f>
        <v>基准地价系数修正法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488" t="s">
        <v>296</v>
      </c>
      <c r="B5" s="3489">
        <v>25</v>
      </c>
      <c r="C5" s="3497">
        <v>30</v>
      </c>
      <c r="D5" s="3500">
        <f>100-C5</f>
        <v>70</v>
      </c>
      <c r="E5" s="260" t="s">
        <v>297</v>
      </c>
      <c r="F5" s="261"/>
      <c r="G5" s="261"/>
      <c r="H5" s="261"/>
      <c r="I5" s="262"/>
      <c r="J5" s="2026"/>
      <c r="K5" s="2025"/>
      <c r="L5" s="2025"/>
      <c r="M5" s="2025"/>
      <c r="N5" s="2025"/>
      <c r="O5" s="2025"/>
      <c r="P5" s="2025"/>
      <c r="Q5" s="2025"/>
      <c r="R5" s="2025"/>
      <c r="S5" s="2025"/>
      <c r="T5" s="2025"/>
      <c r="U5" s="2025"/>
      <c r="V5" s="2025"/>
    </row>
    <row r="6" spans="1:22" ht="14.25">
      <c r="A6" s="3488"/>
      <c r="B6" s="3489"/>
      <c r="C6" s="3498"/>
      <c r="D6" s="3500"/>
      <c r="E6" s="260" t="s">
        <v>298</v>
      </c>
      <c r="F6" s="261"/>
      <c r="G6" s="261"/>
      <c r="H6" s="261"/>
      <c r="I6" s="262"/>
      <c r="J6" s="2026"/>
      <c r="K6" s="2025"/>
      <c r="L6" s="2025"/>
      <c r="M6" s="2025"/>
      <c r="N6" s="2025"/>
      <c r="O6" s="2025"/>
      <c r="P6" s="2025"/>
      <c r="Q6" s="2025"/>
      <c r="R6" s="2025"/>
      <c r="S6" s="2025"/>
      <c r="T6" s="2025"/>
      <c r="U6" s="2025"/>
      <c r="V6" s="2025"/>
    </row>
    <row r="7" spans="1:22" ht="14.25">
      <c r="A7" s="3488"/>
      <c r="B7" s="3489"/>
      <c r="C7" s="3499"/>
      <c r="D7" s="3500"/>
      <c r="E7" s="260" t="s">
        <v>299</v>
      </c>
      <c r="F7" s="261"/>
      <c r="G7" s="261"/>
      <c r="H7" s="261"/>
      <c r="I7" s="262"/>
      <c r="J7" s="2026"/>
      <c r="K7" s="2025"/>
      <c r="L7" s="2025"/>
      <c r="M7" s="2025"/>
      <c r="N7" s="2025"/>
      <c r="O7" s="2025"/>
      <c r="P7" s="2025"/>
      <c r="Q7" s="2025"/>
      <c r="R7" s="2025"/>
      <c r="S7" s="2025"/>
      <c r="T7" s="2025"/>
      <c r="U7" s="2025"/>
      <c r="V7" s="2025"/>
    </row>
    <row r="8" spans="1:22" ht="14.25" hidden="1">
      <c r="A8" s="3488" t="s">
        <v>300</v>
      </c>
      <c r="B8" s="3489">
        <v>15</v>
      </c>
      <c r="C8" s="3497"/>
      <c r="D8" s="3500"/>
      <c r="E8" s="260" t="s">
        <v>301</v>
      </c>
      <c r="F8" s="261"/>
      <c r="G8" s="261"/>
      <c r="H8" s="261"/>
      <c r="I8" s="262"/>
      <c r="J8" s="2026"/>
      <c r="K8" s="2025"/>
      <c r="L8" s="2025"/>
      <c r="M8" s="2025"/>
      <c r="N8" s="2025"/>
      <c r="O8" s="2025"/>
      <c r="P8" s="2025"/>
      <c r="Q8" s="2025"/>
      <c r="R8" s="2025"/>
      <c r="S8" s="2025"/>
      <c r="T8" s="2025"/>
      <c r="U8" s="2025"/>
      <c r="V8" s="2025"/>
    </row>
    <row r="9" spans="1:22" ht="14.25" hidden="1">
      <c r="A9" s="3488"/>
      <c r="B9" s="3489"/>
      <c r="C9" s="3499"/>
      <c r="D9" s="3500"/>
      <c r="E9" s="260" t="s">
        <v>302</v>
      </c>
      <c r="F9" s="261"/>
      <c r="G9" s="261"/>
      <c r="H9" s="261"/>
      <c r="I9" s="262"/>
      <c r="J9" s="2026"/>
      <c r="K9" s="2025"/>
      <c r="L9" s="2025"/>
      <c r="M9" s="2025"/>
      <c r="N9" s="2025"/>
      <c r="O9" s="2025"/>
      <c r="P9" s="2025"/>
      <c r="Q9" s="2025"/>
      <c r="R9" s="2025"/>
      <c r="S9" s="2025"/>
      <c r="T9" s="2025"/>
      <c r="U9" s="2025"/>
      <c r="V9" s="2025"/>
    </row>
    <row r="10" spans="1:22" ht="14.25" hidden="1">
      <c r="A10" s="3488" t="s">
        <v>303</v>
      </c>
      <c r="B10" s="3489">
        <v>15</v>
      </c>
      <c r="C10" s="3497"/>
      <c r="D10" s="3500"/>
      <c r="E10" s="260" t="s">
        <v>304</v>
      </c>
      <c r="F10" s="261"/>
      <c r="G10" s="261"/>
      <c r="H10" s="261"/>
      <c r="I10" s="262"/>
      <c r="J10" s="2026"/>
      <c r="K10" s="2025"/>
      <c r="L10" s="2025"/>
      <c r="M10" s="2025"/>
      <c r="N10" s="2025"/>
      <c r="O10" s="2025"/>
      <c r="P10" s="2025"/>
      <c r="Q10" s="2025"/>
      <c r="R10" s="2025"/>
      <c r="S10" s="2025"/>
      <c r="T10" s="2025"/>
      <c r="U10" s="2025"/>
      <c r="V10" s="2025"/>
    </row>
    <row r="11" spans="1:22" ht="14.25" hidden="1">
      <c r="A11" s="3488"/>
      <c r="B11" s="3489"/>
      <c r="C11" s="3499"/>
      <c r="D11" s="3500"/>
      <c r="E11" s="260" t="s">
        <v>305</v>
      </c>
      <c r="F11" s="261"/>
      <c r="G11" s="261"/>
      <c r="H11" s="261"/>
      <c r="I11" s="262"/>
      <c r="J11" s="2026"/>
      <c r="K11" s="2025"/>
      <c r="L11" s="2025"/>
      <c r="M11" s="2025"/>
      <c r="N11" s="2025"/>
      <c r="O11" s="2025"/>
      <c r="P11" s="2025"/>
      <c r="Q11" s="2025"/>
      <c r="R11" s="2025"/>
      <c r="S11" s="2025"/>
      <c r="T11" s="2025"/>
      <c r="U11" s="2025"/>
      <c r="V11" s="2025"/>
    </row>
    <row r="12" spans="1:22" ht="14.25" hidden="1">
      <c r="A12" s="3488" t="s">
        <v>306</v>
      </c>
      <c r="B12" s="3489">
        <v>15</v>
      </c>
      <c r="C12" s="3497"/>
      <c r="D12" s="3500"/>
      <c r="E12" s="260" t="s">
        <v>307</v>
      </c>
      <c r="F12" s="261"/>
      <c r="G12" s="261"/>
      <c r="H12" s="261"/>
      <c r="I12" s="262"/>
      <c r="J12" s="2026"/>
      <c r="K12" s="2025"/>
      <c r="L12" s="2025"/>
      <c r="M12" s="2025"/>
      <c r="N12" s="2025"/>
      <c r="O12" s="2025"/>
      <c r="P12" s="2025"/>
      <c r="Q12" s="2025"/>
      <c r="R12" s="2025"/>
      <c r="S12" s="2025"/>
      <c r="T12" s="2025"/>
      <c r="U12" s="2025"/>
      <c r="V12" s="2025"/>
    </row>
    <row r="13" spans="1:22" ht="14.25" hidden="1">
      <c r="A13" s="3488"/>
      <c r="B13" s="3489"/>
      <c r="C13" s="3499"/>
      <c r="D13" s="3500"/>
      <c r="E13" s="260" t="s">
        <v>308</v>
      </c>
      <c r="F13" s="261"/>
      <c r="G13" s="261"/>
      <c r="H13" s="261"/>
      <c r="I13" s="262"/>
      <c r="J13" s="2026"/>
      <c r="K13" s="2025"/>
      <c r="L13" s="2025"/>
      <c r="M13" s="2025"/>
      <c r="N13" s="2025"/>
      <c r="O13" s="2025"/>
      <c r="P13" s="2025"/>
      <c r="Q13" s="2025"/>
      <c r="R13" s="2025"/>
      <c r="S13" s="2025"/>
      <c r="T13" s="2025"/>
      <c r="U13" s="2025"/>
      <c r="V13" s="2025"/>
    </row>
    <row r="14" spans="1:22" ht="14.25" hidden="1">
      <c r="A14" s="3488" t="s">
        <v>309</v>
      </c>
      <c r="B14" s="3489">
        <v>30</v>
      </c>
      <c r="C14" s="3497"/>
      <c r="D14" s="3500"/>
      <c r="E14" s="260" t="s">
        <v>310</v>
      </c>
      <c r="F14" s="261"/>
      <c r="G14" s="261"/>
      <c r="H14" s="261"/>
      <c r="I14" s="262"/>
      <c r="J14" s="2026"/>
      <c r="K14" s="2025"/>
      <c r="L14" s="2025"/>
      <c r="M14" s="2025"/>
      <c r="N14" s="2025"/>
      <c r="O14" s="2025"/>
      <c r="P14" s="2025"/>
      <c r="Q14" s="2025"/>
      <c r="R14" s="2025"/>
      <c r="S14" s="2025"/>
      <c r="T14" s="2025"/>
      <c r="U14" s="2025"/>
      <c r="V14" s="2025"/>
    </row>
    <row r="15" spans="1:22" ht="14.25" hidden="1">
      <c r="A15" s="3488"/>
      <c r="B15" s="3489"/>
      <c r="C15" s="3498"/>
      <c r="D15" s="3500"/>
      <c r="E15" s="260" t="s">
        <v>311</v>
      </c>
      <c r="F15" s="261"/>
      <c r="G15" s="261"/>
      <c r="H15" s="261"/>
      <c r="I15" s="262"/>
      <c r="J15" s="2026"/>
      <c r="K15" s="2025"/>
      <c r="L15" s="2025"/>
      <c r="M15" s="2025"/>
      <c r="N15" s="2025"/>
      <c r="O15" s="2025"/>
      <c r="P15" s="2025"/>
      <c r="Q15" s="2025"/>
      <c r="R15" s="2025"/>
      <c r="S15" s="2025"/>
      <c r="T15" s="2025"/>
      <c r="U15" s="2025"/>
      <c r="V15" s="2025"/>
    </row>
    <row r="16" spans="1:22" ht="14.25" hidden="1">
      <c r="A16" s="3488"/>
      <c r="B16" s="3489"/>
      <c r="C16" s="3499"/>
      <c r="D16" s="3500"/>
      <c r="E16" s="260" t="s">
        <v>312</v>
      </c>
      <c r="F16" s="261"/>
      <c r="G16" s="261"/>
      <c r="H16" s="261"/>
      <c r="I16" s="262"/>
      <c r="J16" s="2026"/>
      <c r="K16" s="2025"/>
      <c r="L16" s="2025"/>
      <c r="M16" s="2025"/>
      <c r="N16" s="2025"/>
      <c r="O16" s="2025"/>
      <c r="P16" s="2025"/>
      <c r="Q16" s="2025"/>
      <c r="R16" s="2025"/>
      <c r="S16" s="2025"/>
      <c r="T16" s="2025"/>
      <c r="U16" s="2025"/>
      <c r="V16" s="2025"/>
    </row>
    <row r="17" spans="1:26" ht="15" hidden="1">
      <c r="A17" s="263" t="s">
        <v>313</v>
      </c>
      <c r="B17" s="143"/>
      <c r="C17" s="264">
        <f>SUM(C5:C16)</f>
        <v>30</v>
      </c>
      <c r="D17" s="264">
        <f>SUM(D5:D16)</f>
        <v>70</v>
      </c>
      <c r="E17" s="307"/>
      <c r="F17" s="307"/>
      <c r="G17" s="307"/>
      <c r="H17" s="307"/>
      <c r="I17" s="307"/>
      <c r="J17" s="2026"/>
      <c r="K17" s="2025"/>
      <c r="L17" s="2025"/>
      <c r="M17" s="2025"/>
      <c r="N17" s="2025"/>
      <c r="O17" s="2025"/>
      <c r="P17" s="2025"/>
      <c r="Q17" s="2025"/>
      <c r="R17" s="2025"/>
      <c r="S17" s="2025"/>
      <c r="T17" s="2025"/>
      <c r="U17" s="2025"/>
      <c r="V17" s="2025"/>
    </row>
    <row r="18" spans="1:26" ht="15" hidden="1" customHeight="1" thickBot="1">
      <c r="A18" s="265" t="s">
        <v>314</v>
      </c>
      <c r="B18" s="105"/>
      <c r="C18" s="266">
        <f>ROUND(C17/SUM(C17:D17),2)</f>
        <v>0.3</v>
      </c>
      <c r="D18" s="266">
        <f>1-C18</f>
        <v>0.7</v>
      </c>
      <c r="E18" s="307"/>
      <c r="F18" s="307"/>
      <c r="G18" s="307"/>
      <c r="H18" s="307"/>
      <c r="I18" s="307"/>
      <c r="J18" s="2025"/>
      <c r="K18" s="2025"/>
      <c r="L18" s="2025"/>
      <c r="M18" s="2025"/>
      <c r="N18" s="2025"/>
      <c r="O18" s="2025"/>
      <c r="P18" s="2025"/>
      <c r="Q18" s="2025"/>
      <c r="R18" s="2025"/>
      <c r="S18" s="2025"/>
      <c r="T18" s="2025"/>
      <c r="U18" s="2025"/>
      <c r="V18" s="2025"/>
    </row>
    <row r="19" spans="1:26" ht="15" hidden="1">
      <c r="A19" s="267" t="s">
        <v>315</v>
      </c>
      <c r="B19" s="268" t="s">
        <v>316</v>
      </c>
      <c r="C19" s="269">
        <f ca="1">SUMIF(INDIRECT("'"&amp;C4&amp;"'"&amp;"!A:A"),'结果表-住宅'!B19,INDIRECT("'"&amp;C4&amp;"'"&amp;"!B:B"))</f>
        <v>349408</v>
      </c>
      <c r="D19" s="270">
        <f ca="1">SUMIF(INDIRECT("'"&amp;D4&amp;"'"&amp;"!A:A"),'结果表-住宅'!B19,INDIRECT("'"&amp;D4&amp;"'"&amp;"!B:B"))</f>
        <v>614892</v>
      </c>
      <c r="E19" s="267" t="s">
        <v>317</v>
      </c>
      <c r="F19" s="268" t="s">
        <v>316</v>
      </c>
      <c r="G19" s="271">
        <f ca="1">ROUND(C19*$C$18+D19*$D$18,0)</f>
        <v>535247</v>
      </c>
      <c r="H19" s="272" t="s">
        <v>318</v>
      </c>
      <c r="I19" s="307"/>
      <c r="J19" s="2025"/>
      <c r="K19" s="2025"/>
      <c r="L19" s="2025"/>
      <c r="M19" s="2025"/>
      <c r="N19" s="2025"/>
      <c r="O19" s="2025"/>
      <c r="P19" s="2025"/>
      <c r="Q19" s="2025"/>
      <c r="R19" s="2025"/>
      <c r="S19" s="2025"/>
      <c r="T19" s="2025"/>
      <c r="U19" s="2025"/>
      <c r="V19" s="2025"/>
    </row>
    <row r="20" spans="1:26" s="3199" customFormat="1" ht="15">
      <c r="A20" s="3193"/>
      <c r="B20" s="3194" t="s">
        <v>319</v>
      </c>
      <c r="C20" s="3195">
        <f ca="1">SUMIF(INDIRECT("'"&amp;C4&amp;"'"&amp;"!A:A"),'结果表-住宅'!B20,INDIRECT("'"&amp;C4&amp;"'"&amp;"!B:B"))</f>
        <v>8053</v>
      </c>
      <c r="D20" s="3196">
        <f ca="1">SUMIF(INDIRECT("'"&amp;D4&amp;"'"&amp;"!A:A"),'结果表-住宅'!B20,INDIRECT("'"&amp;D4&amp;"'"&amp;"!B:B"))</f>
        <v>14172</v>
      </c>
      <c r="E20" s="3193"/>
      <c r="F20" s="3194" t="s">
        <v>319</v>
      </c>
      <c r="G20" s="3197">
        <f ca="1">ROUND(C20*$C$18+D20*$D$18,0)</f>
        <v>12336</v>
      </c>
      <c r="H20" s="3198" t="s">
        <v>320</v>
      </c>
      <c r="J20" s="2863"/>
      <c r="K20" s="2863"/>
      <c r="L20" s="2863"/>
      <c r="M20" s="2863"/>
      <c r="N20" s="2863"/>
      <c r="O20" s="2863"/>
      <c r="P20" s="2863"/>
      <c r="Q20" s="2863"/>
      <c r="R20" s="2863"/>
      <c r="S20" s="2863"/>
      <c r="T20" s="2863"/>
      <c r="U20" s="2863"/>
      <c r="V20" s="2863"/>
      <c r="W20" s="2863"/>
      <c r="X20" s="2863"/>
      <c r="Y20" s="2863"/>
      <c r="Z20" s="2863"/>
    </row>
    <row r="21" spans="1:26" ht="15" customHeight="1">
      <c r="A21" s="273"/>
      <c r="B21" s="276" t="s">
        <v>321</v>
      </c>
      <c r="C21" s="277">
        <f ca="1">SUMIF(INDIRECT("'"&amp;C4&amp;"'"&amp;"!A:A"),'结果表-住宅'!B21,INDIRECT("'"&amp;C4&amp;"'"&amp;"!B:B"))</f>
        <v>31233</v>
      </c>
      <c r="D21" s="150">
        <f ca="1">SUMIF(INDIRECT("'"&amp;D4&amp;"'"&amp;"!A:A"),'结果表-住宅'!B21,INDIRECT("'"&amp;D4&amp;"'"&amp;"!B:B"))</f>
        <v>54964</v>
      </c>
      <c r="E21" s="273"/>
      <c r="F21" s="276" t="s">
        <v>321</v>
      </c>
      <c r="G21" s="278">
        <f ca="1">ROUND(C21*$C$18+D21*$D$18,0)</f>
        <v>47845</v>
      </c>
      <c r="H21" s="1247" t="s">
        <v>320</v>
      </c>
      <c r="I21" s="307"/>
      <c r="J21" s="2025"/>
      <c r="K21" s="2025"/>
      <c r="L21" s="2025"/>
      <c r="M21" s="2025"/>
      <c r="N21" s="2025"/>
      <c r="O21" s="2025"/>
      <c r="P21" s="2025"/>
      <c r="Q21" s="2025"/>
      <c r="R21" s="2025"/>
      <c r="S21" s="2025"/>
      <c r="T21" s="2025"/>
      <c r="U21" s="2025"/>
      <c r="V21" s="2025"/>
    </row>
    <row r="22" spans="1:26" ht="15.75" thickBot="1">
      <c r="A22" s="126" t="s">
        <v>322</v>
      </c>
      <c r="B22" s="1248"/>
      <c r="C22" s="1249"/>
      <c r="D22" s="279">
        <f ca="1">IF(C19&lt;D19,D19/C19-1,C19/D19-1)</f>
        <v>0.75981088011722675</v>
      </c>
      <c r="E22" s="280"/>
      <c r="F22" s="281"/>
      <c r="G22" s="282">
        <f ca="1">ROUND(G19/('数据-汇总表'!D3/666.67),0)</f>
        <v>1949</v>
      </c>
      <c r="H22" s="283" t="s">
        <v>323</v>
      </c>
      <c r="I22" s="307"/>
      <c r="J22" s="2025"/>
      <c r="K22" s="2025"/>
      <c r="L22" s="2025"/>
      <c r="M22" s="2025"/>
      <c r="N22" s="2025"/>
      <c r="O22" s="2025"/>
      <c r="P22" s="2025"/>
      <c r="Q22" s="2025"/>
      <c r="R22" s="2025"/>
      <c r="S22" s="2025"/>
      <c r="T22" s="2025"/>
      <c r="U22" s="2025"/>
      <c r="V22" s="2025"/>
    </row>
    <row r="23" spans="1:26" ht="13.5" thickBot="1">
      <c r="A23" s="307"/>
      <c r="B23" s="307"/>
      <c r="C23" s="307"/>
      <c r="D23" s="307"/>
      <c r="E23" s="307"/>
      <c r="F23" s="307"/>
      <c r="G23" s="307"/>
      <c r="H23" s="307"/>
      <c r="I23" s="307"/>
      <c r="J23" s="2025"/>
      <c r="K23" s="2025"/>
      <c r="L23" s="2025"/>
      <c r="M23" s="2025"/>
      <c r="N23" s="2025"/>
      <c r="O23" s="2025"/>
      <c r="P23" s="2025"/>
      <c r="Q23" s="2025"/>
      <c r="R23" s="2025"/>
      <c r="S23" s="2025"/>
      <c r="T23" s="2025"/>
      <c r="U23" s="2025"/>
      <c r="V23" s="2025"/>
    </row>
    <row r="24" spans="1:26" ht="15" thickBot="1">
      <c r="A24" s="3461" t="s">
        <v>324</v>
      </c>
      <c r="B24" s="268" t="s">
        <v>316</v>
      </c>
      <c r="C24" s="284">
        <f>IF(B30=0,0,D30)</f>
        <v>0</v>
      </c>
      <c r="D24" s="285"/>
      <c r="E24" s="307"/>
      <c r="F24" s="307"/>
      <c r="G24" s="307"/>
      <c r="H24" s="307"/>
      <c r="I24" s="307"/>
      <c r="J24" s="2025"/>
      <c r="K24" s="2025"/>
      <c r="L24" s="2025"/>
      <c r="M24" s="2025"/>
      <c r="N24" s="2025"/>
      <c r="O24" s="2025"/>
      <c r="P24" s="2025"/>
      <c r="Q24" s="2025"/>
      <c r="R24" s="2025"/>
      <c r="S24" s="2025"/>
      <c r="T24" s="2025"/>
      <c r="U24" s="2025"/>
      <c r="V24" s="2025"/>
    </row>
    <row r="25" spans="1:26" ht="18">
      <c r="A25" s="3503"/>
      <c r="B25" s="1317" t="s">
        <v>325</v>
      </c>
      <c r="C25" s="286">
        <f>IF(B30=0,0,C30)</f>
        <v>0</v>
      </c>
      <c r="D25" s="287"/>
      <c r="E25" s="307"/>
      <c r="F25" s="307"/>
      <c r="G25" s="307"/>
      <c r="H25" s="307"/>
      <c r="I25" s="307"/>
      <c r="J25" s="2025"/>
      <c r="K25" s="1251" t="str">
        <f ca="1">项目基本情况!B16&amp;"国有建设用地使用权价格："&amp;O38&amp;"万元"</f>
        <v>出让国有建设用地使用权价格：535247万元</v>
      </c>
      <c r="L25" s="1252"/>
      <c r="M25" s="1252"/>
      <c r="N25" s="1252"/>
      <c r="O25" s="1253"/>
      <c r="P25" s="2025"/>
      <c r="Q25" s="2025"/>
      <c r="R25" s="2025"/>
      <c r="S25" s="2025"/>
      <c r="T25" s="2025"/>
      <c r="U25" s="2025"/>
      <c r="V25" s="2025"/>
    </row>
    <row r="26" spans="1:26" s="1250" customFormat="1" ht="18">
      <c r="A26" s="289" t="s">
        <v>326</v>
      </c>
      <c r="B26" s="290" t="s">
        <v>327</v>
      </c>
      <c r="C26" s="290" t="s">
        <v>328</v>
      </c>
      <c r="D26" s="291" t="s">
        <v>329</v>
      </c>
      <c r="E26" s="307"/>
      <c r="F26" s="307"/>
      <c r="G26" s="307"/>
      <c r="H26" s="307"/>
      <c r="I26" s="307"/>
      <c r="J26" s="2025"/>
      <c r="K26" s="1254" t="str">
        <f ca="1">"大写金额：人民币"&amp;NUMBERSTRING(INT(O38*10000),2)&amp;"元整"</f>
        <v>大写金额：人民币伍拾叁亿伍仟贰佰肆拾柒万元整</v>
      </c>
      <c r="L26" s="1248"/>
      <c r="M26" s="1248"/>
      <c r="N26" s="1248"/>
      <c r="O26" s="1247"/>
      <c r="P26" s="2025"/>
      <c r="Q26" s="2025"/>
      <c r="R26" s="2025"/>
      <c r="S26" s="2025"/>
      <c r="T26" s="2025"/>
      <c r="U26" s="2025"/>
      <c r="V26" s="2025"/>
      <c r="W26" s="288"/>
      <c r="X26" s="288"/>
      <c r="Y26" s="288"/>
      <c r="Z26" s="288"/>
    </row>
    <row r="27" spans="1:26" ht="18">
      <c r="A27" s="289"/>
      <c r="B27" s="290"/>
      <c r="C27" s="290"/>
      <c r="D27" s="291"/>
      <c r="E27" s="307"/>
      <c r="F27" s="307"/>
      <c r="G27" s="307"/>
      <c r="H27" s="307"/>
      <c r="I27" s="307"/>
      <c r="J27" s="2025"/>
      <c r="K27" s="1254" t="str">
        <f ca="1">"单位面积地价："&amp;M38&amp;"元/平方米"</f>
        <v>单位面积地价：29242元/平方米</v>
      </c>
      <c r="L27" s="1248"/>
      <c r="M27" s="1248"/>
      <c r="N27" s="1248"/>
      <c r="O27" s="1247"/>
      <c r="P27" s="2025"/>
      <c r="Q27" s="2025"/>
      <c r="R27" s="2025"/>
      <c r="S27" s="2025"/>
      <c r="T27" s="2025"/>
      <c r="U27" s="2025"/>
      <c r="V27" s="2025"/>
    </row>
    <row r="28" spans="1:26" ht="18.75" customHeight="1">
      <c r="A28" s="289"/>
      <c r="B28" s="290"/>
      <c r="C28" s="290"/>
      <c r="D28" s="291"/>
      <c r="E28" s="307"/>
      <c r="F28" s="307"/>
      <c r="G28" s="307"/>
      <c r="H28" s="307"/>
      <c r="I28" s="307"/>
      <c r="J28" s="2025"/>
      <c r="K28" s="1254" t="str">
        <f ca="1">"楼面地价："&amp;N38&amp;"元/平方米"</f>
        <v>楼面地价：7540元/平方米</v>
      </c>
      <c r="L28" s="1248"/>
      <c r="M28" s="1248"/>
      <c r="N28" s="1248"/>
      <c r="O28" s="1247"/>
      <c r="P28" s="2025"/>
      <c r="V28" s="2025"/>
    </row>
    <row r="29" spans="1:26" ht="18">
      <c r="A29" s="289"/>
      <c r="B29" s="290"/>
      <c r="C29" s="290"/>
      <c r="D29" s="291"/>
      <c r="E29" s="307"/>
      <c r="F29" s="307"/>
      <c r="G29" s="307"/>
      <c r="H29" s="307"/>
      <c r="I29" s="307"/>
      <c r="J29" s="2025"/>
      <c r="K29" s="1254" t="str">
        <f>IF(OR(项目基本情况!E8="抵押价格",项目基本情况!E8="已注销及未注销"),"抵押价格："&amp;O39&amp;"万元","——")</f>
        <v>——</v>
      </c>
      <c r="L29" s="1248"/>
      <c r="M29" s="1248"/>
      <c r="N29" s="1248"/>
      <c r="O29" s="1247"/>
      <c r="P29" s="2025"/>
      <c r="V29" s="2025"/>
    </row>
    <row r="30" spans="1:26" ht="18.75" thickBot="1">
      <c r="A30" s="3124" t="s">
        <v>330</v>
      </c>
      <c r="B30" s="305"/>
      <c r="C30" s="305"/>
      <c r="D30" s="306"/>
      <c r="E30" s="3125" t="s">
        <v>2965</v>
      </c>
      <c r="F30" s="307"/>
      <c r="G30" s="307"/>
      <c r="H30" s="307"/>
      <c r="I30" s="307"/>
      <c r="J30" s="2025"/>
      <c r="K30" s="1254" t="str">
        <f>IF(K29="——","——","大写金额：人民币"&amp;NUMBERSTRING(INT(O39*10000),2)&amp;"元整")</f>
        <v>——</v>
      </c>
      <c r="L30" s="1248"/>
      <c r="M30" s="1248"/>
      <c r="N30" s="1248"/>
      <c r="O30" s="1247"/>
      <c r="P30" s="2025"/>
      <c r="V30" s="2025"/>
    </row>
    <row r="31" spans="1:26" ht="24" customHeight="1" thickBot="1">
      <c r="A31" s="307"/>
      <c r="B31" s="307"/>
      <c r="C31" s="307"/>
      <c r="D31" s="307"/>
      <c r="E31" s="307"/>
      <c r="F31" s="307"/>
      <c r="G31" s="307"/>
      <c r="H31" s="307"/>
      <c r="I31" s="307"/>
      <c r="J31" s="2025"/>
      <c r="K31" s="2465" t="str">
        <f>IF(项目基本情况!E8="抵押价格","——","抵押担保权已注销时的抵押价格："&amp;O40&amp;"万元")</f>
        <v>抵押担保权已注销时的抵押价格：——万元</v>
      </c>
      <c r="L31" s="2461"/>
      <c r="M31" s="2461"/>
      <c r="N31" s="2461"/>
      <c r="O31" s="2462"/>
      <c r="P31" s="2025"/>
      <c r="V31" s="2025"/>
    </row>
    <row r="32" spans="1:26" ht="18.75" thickBot="1">
      <c r="A32" s="267" t="s">
        <v>331</v>
      </c>
      <c r="B32" s="1377" t="s">
        <v>1681</v>
      </c>
      <c r="C32" s="1378">
        <f ca="1">G19-C24</f>
        <v>535247</v>
      </c>
      <c r="D32" s="1379" t="s">
        <v>1682</v>
      </c>
      <c r="E32" s="307"/>
      <c r="F32" s="307"/>
      <c r="G32" s="307"/>
      <c r="H32" s="307"/>
      <c r="I32" s="307"/>
      <c r="J32" s="2025"/>
      <c r="K32" s="2460" t="e">
        <f>IF(K31="——","——","大写金额：人民币"&amp;NUMBERSTRING(INT(O40*10000),2)&amp;"元整")</f>
        <v>#VALUE!</v>
      </c>
      <c r="L32" s="2463"/>
      <c r="M32" s="2463"/>
      <c r="N32" s="2463"/>
      <c r="O32" s="2464"/>
      <c r="P32" s="2025"/>
      <c r="V32" s="2025"/>
    </row>
    <row r="33" spans="1:26" ht="18.75" thickBot="1">
      <c r="A33" s="294" t="s">
        <v>334</v>
      </c>
      <c r="B33" s="1380" t="s">
        <v>1683</v>
      </c>
      <c r="C33" s="263">
        <f ca="1">ROUND(C32*10000/'数据-汇总表'!E3,0)</f>
        <v>7540</v>
      </c>
      <c r="D33" s="1381" t="s">
        <v>1684</v>
      </c>
      <c r="E33" s="3461" t="s">
        <v>332</v>
      </c>
      <c r="F33" s="292" t="s">
        <v>333</v>
      </c>
      <c r="G33" s="293"/>
      <c r="H33" s="976"/>
      <c r="I33" s="1255"/>
      <c r="J33" s="2025"/>
      <c r="K33" s="1254" t="str">
        <f>IF(项目基本情况!E9="——","——","抵押净值："&amp;C46&amp;"万元")</f>
        <v>抵押净值：——万元</v>
      </c>
      <c r="L33" s="1248"/>
      <c r="M33" s="1248"/>
      <c r="N33" s="1248"/>
      <c r="O33" s="1247"/>
      <c r="P33" s="2025"/>
      <c r="V33" s="2025"/>
    </row>
    <row r="34" spans="1:26" s="1250" customFormat="1" ht="18.75" thickBot="1">
      <c r="A34" s="296"/>
      <c r="B34" s="1382" t="s">
        <v>1685</v>
      </c>
      <c r="C34" s="263">
        <f ca="1">ROUND(C32*10000/'数据-汇总表'!D3,0)</f>
        <v>29242</v>
      </c>
      <c r="D34" s="1383" t="s">
        <v>1684</v>
      </c>
      <c r="E34" s="3462"/>
      <c r="F34" s="127" t="s">
        <v>335</v>
      </c>
      <c r="G34" s="295"/>
      <c r="H34" s="105"/>
      <c r="I34" s="307"/>
      <c r="J34" s="2025"/>
      <c r="K34" s="1257" t="e">
        <f>IF(K33="——","——","大写金额：人民币"&amp;NUMBERSTRING(INT(O41*10000),2)&amp;"元整")</f>
        <v>#VALUE!</v>
      </c>
      <c r="L34" s="1258"/>
      <c r="M34" s="1258"/>
      <c r="N34" s="1258"/>
      <c r="O34" s="1259"/>
      <c r="P34" s="2025"/>
      <c r="Q34" s="288"/>
      <c r="R34" s="288"/>
      <c r="S34" s="288"/>
      <c r="T34" s="288"/>
      <c r="U34" s="288"/>
      <c r="V34" s="2025"/>
      <c r="W34" s="288"/>
      <c r="X34" s="288"/>
      <c r="Y34" s="288"/>
      <c r="Z34" s="288"/>
    </row>
    <row r="35" spans="1:26" ht="15.75" thickBot="1">
      <c r="A35" s="280"/>
      <c r="B35" s="1384"/>
      <c r="C35" s="1385">
        <f ca="1">ROUND(C32/('数据-汇总表'!D3/666.67),0)</f>
        <v>1949</v>
      </c>
      <c r="D35" s="1386" t="s">
        <v>1686</v>
      </c>
      <c r="E35" s="3463"/>
      <c r="F35" s="297" t="s">
        <v>336</v>
      </c>
      <c r="G35" s="978"/>
      <c r="H35" s="977" t="s">
        <v>337</v>
      </c>
      <c r="I35" s="307"/>
      <c r="J35" s="2025"/>
      <c r="K35" s="3467" t="s">
        <v>344</v>
      </c>
      <c r="L35" s="3467" t="s">
        <v>345</v>
      </c>
      <c r="M35" s="1260" t="s">
        <v>346</v>
      </c>
      <c r="N35" s="3467" t="s">
        <v>347</v>
      </c>
      <c r="O35" s="3467" t="s">
        <v>348</v>
      </c>
      <c r="P35" s="2025"/>
      <c r="V35" s="2025"/>
    </row>
    <row r="36" spans="1:26" ht="16.5" customHeight="1">
      <c r="A36" s="299" t="s">
        <v>338</v>
      </c>
      <c r="B36" s="300" t="s">
        <v>327</v>
      </c>
      <c r="C36" s="301" t="s">
        <v>339</v>
      </c>
      <c r="D36" s="301" t="s">
        <v>340</v>
      </c>
      <c r="E36" s="302" t="s">
        <v>341</v>
      </c>
      <c r="F36" s="307"/>
      <c r="G36" s="307"/>
      <c r="H36" s="307"/>
      <c r="I36" s="307"/>
      <c r="J36" s="2027"/>
      <c r="K36" s="3468"/>
      <c r="L36" s="3468"/>
      <c r="M36" s="1262" t="s">
        <v>349</v>
      </c>
      <c r="N36" s="3468"/>
      <c r="O36" s="3468"/>
      <c r="P36" s="2025"/>
      <c r="V36" s="2025"/>
    </row>
    <row r="37" spans="1:26" ht="16.5" customHeight="1" thickBot="1">
      <c r="A37" s="1256" t="s">
        <v>342</v>
      </c>
      <c r="B37" s="303"/>
      <c r="C37" s="290"/>
      <c r="D37" s="290"/>
      <c r="E37" s="291"/>
      <c r="F37" s="307"/>
      <c r="G37" s="307"/>
      <c r="H37" s="307"/>
      <c r="I37" s="307"/>
      <c r="J37" s="2027"/>
      <c r="K37" s="3469"/>
      <c r="L37" s="3469"/>
      <c r="M37" s="1263"/>
      <c r="N37" s="3469"/>
      <c r="O37" s="3469"/>
      <c r="P37" s="2025"/>
      <c r="V37" s="2025"/>
    </row>
    <row r="38" spans="1:26" ht="16.5" customHeight="1" thickBot="1">
      <c r="A38" s="1256" t="s">
        <v>343</v>
      </c>
      <c r="B38" s="303"/>
      <c r="C38" s="290"/>
      <c r="D38" s="290"/>
      <c r="E38" s="291"/>
      <c r="F38" s="307"/>
      <c r="G38" s="307"/>
      <c r="H38" s="307"/>
      <c r="I38" s="307"/>
      <c r="J38" s="2027"/>
      <c r="K38" s="1264">
        <f>'数据-汇总表'!D3</f>
        <v>183040.85</v>
      </c>
      <c r="L38" s="1265">
        <f>'数据-汇总表'!E3</f>
        <v>709912</v>
      </c>
      <c r="M38" s="1265">
        <f ca="1">C34</f>
        <v>29242</v>
      </c>
      <c r="N38" s="1265">
        <f ca="1">C33</f>
        <v>7540</v>
      </c>
      <c r="O38" s="1266">
        <f ca="1">C32</f>
        <v>535247</v>
      </c>
      <c r="P38" s="2025"/>
      <c r="V38" s="2025"/>
    </row>
    <row r="39" spans="1:26" ht="16.5" customHeight="1" thickBot="1">
      <c r="A39" s="1261"/>
      <c r="B39" s="304"/>
      <c r="C39" s="305"/>
      <c r="D39" s="305"/>
      <c r="E39" s="306"/>
      <c r="F39" s="307"/>
      <c r="G39" s="307"/>
      <c r="H39" s="307"/>
      <c r="I39" s="307"/>
      <c r="J39" s="2027"/>
      <c r="K39" s="3444" t="str">
        <f>MID(A44,3,LEN(A44)-2)</f>
        <v/>
      </c>
      <c r="L39" s="3445"/>
      <c r="M39" s="3445"/>
      <c r="N39" s="3446"/>
      <c r="O39" s="1388" t="str">
        <f>C44</f>
        <v>——</v>
      </c>
      <c r="P39" s="2025"/>
      <c r="V39" s="2025"/>
    </row>
    <row r="40" spans="1:26" ht="19.5" thickBot="1">
      <c r="A40" s="104" t="s">
        <v>867</v>
      </c>
      <c r="B40" s="307"/>
      <c r="C40" s="307"/>
      <c r="D40" s="307"/>
      <c r="E40" s="307"/>
      <c r="F40" s="307"/>
      <c r="G40" s="307"/>
      <c r="H40" s="307"/>
      <c r="I40" s="307"/>
      <c r="J40" s="2027"/>
      <c r="K40" s="3444" t="str">
        <f t="shared" ref="K40:K41" si="0">MID(A45,3,LEN(A45)-2)</f>
        <v/>
      </c>
      <c r="L40" s="3445"/>
      <c r="M40" s="3445"/>
      <c r="N40" s="3446"/>
      <c r="O40" s="1388" t="str">
        <f>C45</f>
        <v>——</v>
      </c>
      <c r="P40" s="2025"/>
      <c r="V40" s="2025"/>
    </row>
    <row r="41" spans="1:26" ht="16.5" thickBot="1">
      <c r="A41" s="308" t="s">
        <v>350</v>
      </c>
      <c r="B41" s="309"/>
      <c r="C41" s="310" t="s">
        <v>351</v>
      </c>
      <c r="D41" s="311" t="s">
        <v>352</v>
      </c>
      <c r="E41" s="311" t="s">
        <v>353</v>
      </c>
      <c r="F41" s="312" t="s">
        <v>354</v>
      </c>
      <c r="G41" s="307"/>
      <c r="H41" s="307"/>
      <c r="I41" s="307"/>
      <c r="J41" s="2027"/>
      <c r="K41" s="3444" t="str">
        <f t="shared" si="0"/>
        <v/>
      </c>
      <c r="L41" s="3445"/>
      <c r="M41" s="3445"/>
      <c r="N41" s="3446"/>
      <c r="O41" s="1388" t="str">
        <f>C46</f>
        <v>——</v>
      </c>
      <c r="P41" s="2025"/>
      <c r="V41" s="2025"/>
    </row>
    <row r="42" spans="1:26" ht="29.25">
      <c r="A42" s="3504" t="s">
        <v>2062</v>
      </c>
      <c r="B42" s="3505"/>
      <c r="C42" s="263">
        <f ca="1">C32</f>
        <v>535247</v>
      </c>
      <c r="D42" s="313">
        <f ca="1">C33</f>
        <v>7540</v>
      </c>
      <c r="E42" s="313">
        <f ca="1">C34</f>
        <v>29242</v>
      </c>
      <c r="F42" s="314">
        <f ca="1">C35</f>
        <v>1949</v>
      </c>
      <c r="G42" s="307"/>
      <c r="H42" s="307"/>
      <c r="I42" s="315"/>
      <c r="J42" s="2027"/>
      <c r="K42" s="1267" t="s">
        <v>355</v>
      </c>
      <c r="L42" s="2044" t="s">
        <v>356</v>
      </c>
      <c r="M42" s="1268" t="s">
        <v>357</v>
      </c>
      <c r="N42" s="2045" t="s">
        <v>358</v>
      </c>
      <c r="O42" s="2046" t="s">
        <v>359</v>
      </c>
      <c r="P42" s="2025"/>
      <c r="V42" s="2025"/>
    </row>
    <row r="43" spans="1:26" ht="30">
      <c r="A43" s="3514" t="s">
        <v>2725</v>
      </c>
      <c r="B43" s="3515"/>
      <c r="C43" s="263">
        <f>IF(H33="正常操作",G33+G34+G35,G34+G35)</f>
        <v>0</v>
      </c>
      <c r="D43" s="313" t="s">
        <v>43</v>
      </c>
      <c r="E43" s="313" t="s">
        <v>44</v>
      </c>
      <c r="F43" s="314" t="s">
        <v>44</v>
      </c>
      <c r="G43" s="2863" t="s">
        <v>946</v>
      </c>
      <c r="H43" s="307"/>
      <c r="I43" s="315"/>
      <c r="J43" s="2027"/>
      <c r="K43" s="1269" t="str">
        <f>C4</f>
        <v>基准地价-住宅</v>
      </c>
      <c r="L43" s="1270">
        <f ca="1">IF(L42="估价结果/万元",C19,C20)</f>
        <v>349408</v>
      </c>
      <c r="M43" s="1271">
        <f>C18</f>
        <v>0.3</v>
      </c>
      <c r="N43" s="1272">
        <f ca="1">IF(N42="测算结果/万元",G19,G20)</f>
        <v>535247</v>
      </c>
      <c r="O43" s="1273">
        <f ca="1">IF(O42="最终结果/万元",C32,C33)</f>
        <v>535247</v>
      </c>
      <c r="P43" s="2025"/>
      <c r="V43" s="2025"/>
    </row>
    <row r="44" spans="1:26" ht="18.75" thickBot="1">
      <c r="A44" s="3504" t="str">
        <f>IF(OR(项目基本情况!E8="抵押价格",项目基本情况!E8="已注销及未注销"),"3.抵押价格","——")</f>
        <v>——</v>
      </c>
      <c r="B44" s="3505"/>
      <c r="C44" s="263" t="str">
        <f>IF(A44="——","——",C42-C43)</f>
        <v>——</v>
      </c>
      <c r="D44" s="313" t="e">
        <f>ROUND(C44*10000/'数据-汇总表'!E3,0)</f>
        <v>#VALUE!</v>
      </c>
      <c r="E44" s="313" t="e">
        <f>ROUND(C44*10000/'数据-汇总表'!D3,0)</f>
        <v>#VALUE!</v>
      </c>
      <c r="F44" s="314" t="e">
        <f>ROUND(C44/('数据-汇总表'!D3/666.67),0)</f>
        <v>#VALUE!</v>
      </c>
      <c r="G44" s="307"/>
      <c r="H44" s="307"/>
      <c r="I44" s="315"/>
      <c r="J44" s="2027"/>
      <c r="K44" s="1274" t="str">
        <f>D4</f>
        <v>剩余法-住宅</v>
      </c>
      <c r="L44" s="1275">
        <f ca="1">IF(L42="估价结果/万元",D19,D20)</f>
        <v>614892</v>
      </c>
      <c r="M44" s="1276">
        <f>D18</f>
        <v>0.7</v>
      </c>
      <c r="N44" s="1277"/>
      <c r="O44" s="1278"/>
      <c r="P44" s="2025"/>
      <c r="V44" s="2025"/>
    </row>
    <row r="45" spans="1:26" ht="15">
      <c r="A45" s="3509" t="str">
        <f>IF(项目基本情况!E8="已注销及未注销","4.抵押担保权已注销时的抵押价格",IF(项目基本情况!E8="已注销","3.抵押担保权已注销时的抵押价格","——"))</f>
        <v>——</v>
      </c>
      <c r="B45" s="3510"/>
      <c r="C45" s="180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7"/>
      <c r="K45" s="2025"/>
      <c r="L45" s="2025"/>
      <c r="M45" s="2025"/>
      <c r="N45" s="2025"/>
      <c r="O45" s="2025"/>
      <c r="P45" s="2025"/>
      <c r="V45" s="2025"/>
    </row>
    <row r="46" spans="1:26" ht="15.75" thickBot="1">
      <c r="A46" s="3506" t="str">
        <f>IF(项目基本情况!E9="抵押净值",IF(A45="——","4.抵押净值","5.抵押净值"),"——")</f>
        <v>——</v>
      </c>
      <c r="B46" s="3507"/>
      <c r="C46" s="316" t="str">
        <f>IF(A46="——","——",O79)</f>
        <v>——</v>
      </c>
      <c r="D46" s="313" t="e">
        <f>ROUND(C46*10000/'数据-汇总表'!E3,0)</f>
        <v>#VALUE!</v>
      </c>
      <c r="E46" s="313" t="e">
        <f>ROUND(C46*10000/'数据-汇总表'!D3,0)</f>
        <v>#VALUE!</v>
      </c>
      <c r="F46" s="314" t="e">
        <f>ROUND(C46/('数据-汇总表'!D3/666.67),0)</f>
        <v>#VALUE!</v>
      </c>
      <c r="G46" s="307"/>
      <c r="H46" s="307"/>
      <c r="I46" s="315"/>
      <c r="J46" s="2027"/>
      <c r="K46" s="2025"/>
      <c r="L46" s="2025"/>
      <c r="M46" s="2025"/>
      <c r="N46" s="2025"/>
      <c r="O46" s="2025"/>
      <c r="P46" s="2025"/>
      <c r="Q46" s="2025"/>
      <c r="R46" s="2025"/>
      <c r="S46" s="2025"/>
      <c r="T46" s="2025"/>
      <c r="U46" s="2025"/>
      <c r="V46" s="2025"/>
    </row>
    <row r="47" spans="1:26" ht="15.75">
      <c r="A47" s="317" t="s">
        <v>360</v>
      </c>
      <c r="B47" s="1279"/>
      <c r="C47" s="318" t="s">
        <v>361</v>
      </c>
      <c r="D47" s="319"/>
      <c r="E47" s="319"/>
      <c r="F47" s="319"/>
      <c r="G47" s="320"/>
      <c r="H47" s="321"/>
      <c r="I47" s="322"/>
      <c r="J47" s="2027"/>
      <c r="K47" s="307"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3">
        <v>1</v>
      </c>
      <c r="B48" s="324"/>
      <c r="C48" s="324"/>
      <c r="D48" s="319"/>
      <c r="E48" s="319"/>
      <c r="F48" s="319"/>
      <c r="G48" s="319"/>
      <c r="H48" s="325"/>
      <c r="I48" s="326"/>
      <c r="J48" s="2027"/>
      <c r="K48" s="2025"/>
      <c r="L48" s="2025"/>
      <c r="M48" s="2025"/>
      <c r="N48" s="2025"/>
      <c r="O48" s="2025"/>
      <c r="P48" s="2025"/>
      <c r="Q48" s="2025"/>
      <c r="R48" s="2025"/>
      <c r="S48" s="2025"/>
      <c r="T48" s="2025"/>
      <c r="U48" s="2025"/>
      <c r="V48" s="2025"/>
    </row>
    <row r="49" spans="1:22" ht="12.75">
      <c r="A49" s="323">
        <v>2</v>
      </c>
      <c r="B49" s="324"/>
      <c r="C49" s="324"/>
      <c r="D49" s="319"/>
      <c r="E49" s="319"/>
      <c r="F49" s="319"/>
      <c r="G49" s="319"/>
      <c r="H49" s="325"/>
      <c r="I49" s="326"/>
      <c r="J49" s="2028"/>
      <c r="K49" s="2025"/>
      <c r="L49" s="2025"/>
      <c r="M49" s="2025"/>
      <c r="N49" s="2025"/>
      <c r="O49" s="2025"/>
      <c r="P49" s="2025"/>
      <c r="Q49" s="2025"/>
      <c r="R49" s="2025"/>
      <c r="S49" s="2025"/>
      <c r="T49" s="2025"/>
      <c r="U49" s="2025"/>
      <c r="V49" s="2025"/>
    </row>
    <row r="50" spans="1:22" ht="12.75">
      <c r="A50" s="323">
        <v>3</v>
      </c>
      <c r="B50" s="324"/>
      <c r="C50" s="324"/>
      <c r="D50" s="319"/>
      <c r="E50" s="319"/>
      <c r="F50" s="319"/>
      <c r="G50" s="319"/>
      <c r="H50" s="325"/>
      <c r="I50" s="326"/>
      <c r="J50" s="2028"/>
      <c r="K50" s="2025"/>
      <c r="L50" s="2025"/>
      <c r="M50" s="2025"/>
      <c r="N50" s="2025"/>
      <c r="O50" s="2025"/>
      <c r="P50" s="2025"/>
      <c r="Q50" s="2025"/>
      <c r="R50" s="2025"/>
      <c r="S50" s="2025"/>
      <c r="T50" s="2025"/>
      <c r="U50" s="2025"/>
      <c r="V50" s="2025"/>
    </row>
    <row r="51" spans="1:22" ht="12.75">
      <c r="A51" s="327"/>
      <c r="B51" s="328"/>
      <c r="C51" s="328"/>
      <c r="D51" s="329"/>
      <c r="E51" s="329"/>
      <c r="F51" s="329"/>
      <c r="G51" s="329"/>
      <c r="H51" s="330"/>
      <c r="I51" s="331"/>
      <c r="J51" s="2028"/>
      <c r="K51" s="2025"/>
      <c r="L51" s="2025"/>
      <c r="M51" s="2025"/>
      <c r="N51" s="2025"/>
      <c r="O51" s="2025"/>
      <c r="P51" s="2025"/>
      <c r="Q51" s="2025"/>
      <c r="R51" s="2025"/>
      <c r="S51" s="2025"/>
      <c r="T51" s="2025"/>
      <c r="U51" s="2025"/>
      <c r="V51" s="2025"/>
    </row>
    <row r="52" spans="1:22" ht="12.75">
      <c r="A52" s="324"/>
      <c r="B52" s="324"/>
      <c r="C52" s="324"/>
      <c r="D52" s="319"/>
      <c r="E52" s="319"/>
      <c r="F52" s="319"/>
      <c r="G52" s="319"/>
      <c r="H52" s="325"/>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2" t="s">
        <v>362</v>
      </c>
      <c r="G53" s="333"/>
      <c r="H53" s="333"/>
      <c r="I53" s="334" t="s">
        <v>363</v>
      </c>
      <c r="J53" s="2028"/>
      <c r="K53" s="2025"/>
      <c r="L53" s="2025"/>
      <c r="M53" s="2025"/>
      <c r="N53" s="2025"/>
      <c r="O53" s="2025"/>
      <c r="P53" s="2025"/>
      <c r="Q53" s="2025"/>
      <c r="R53" s="2025"/>
      <c r="S53" s="2025"/>
      <c r="T53" s="2025"/>
      <c r="U53" s="2025"/>
      <c r="V53" s="2025"/>
    </row>
    <row r="54" spans="1:22" ht="12.75">
      <c r="A54" s="256"/>
      <c r="B54" s="335" t="s">
        <v>364</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3"/>
      <c r="C56" s="333"/>
      <c r="D56" s="333"/>
      <c r="E56" s="333"/>
      <c r="F56" s="333"/>
      <c r="G56" s="333"/>
      <c r="H56" s="333"/>
      <c r="I56" s="334" t="s">
        <v>365</v>
      </c>
      <c r="J56" s="2028"/>
      <c r="K56" s="2025"/>
      <c r="L56" s="2025"/>
      <c r="M56" s="2025"/>
      <c r="N56" s="2025"/>
      <c r="O56" s="2025"/>
      <c r="P56" s="2025"/>
      <c r="Q56" s="2025"/>
      <c r="R56" s="2025"/>
      <c r="S56" s="2025"/>
      <c r="T56" s="2025"/>
      <c r="U56" s="2025"/>
      <c r="V56" s="2025"/>
    </row>
    <row r="57" spans="1:22" ht="12.75">
      <c r="A57" s="256"/>
      <c r="B57" s="335" t="s">
        <v>366</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5"/>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3"/>
      <c r="C59" s="333"/>
      <c r="D59" s="333"/>
      <c r="E59" s="333"/>
      <c r="F59" s="333"/>
      <c r="G59" s="333"/>
      <c r="H59" s="333"/>
      <c r="I59" s="334" t="s">
        <v>365</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5"/>
      <c r="C61" s="336"/>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0" t="s">
        <v>367</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472" t="s">
        <v>368</v>
      </c>
      <c r="B63" s="3473"/>
      <c r="C63" s="3474"/>
      <c r="D63" s="337">
        <f ca="1">ROUND(C42*F63,0)</f>
        <v>321148</v>
      </c>
      <c r="E63" s="298" t="s">
        <v>369</v>
      </c>
      <c r="F63" s="338">
        <v>0.6</v>
      </c>
      <c r="G63" s="339" t="s">
        <v>370</v>
      </c>
      <c r="H63" s="307"/>
      <c r="I63" s="307"/>
      <c r="J63" s="2025"/>
      <c r="K63" s="2025"/>
      <c r="L63" s="2025"/>
      <c r="M63" s="2025"/>
      <c r="N63" s="2025"/>
      <c r="O63" s="2025"/>
      <c r="P63" s="307"/>
      <c r="Q63" s="2025"/>
      <c r="R63" s="2025"/>
      <c r="S63" s="2025"/>
      <c r="T63" s="2025"/>
      <c r="U63" s="2025"/>
      <c r="V63" s="2025"/>
    </row>
    <row r="64" spans="1:22" ht="14.25" customHeight="1">
      <c r="A64" s="3511" t="s">
        <v>372</v>
      </c>
      <c r="B64" s="3512"/>
      <c r="C64" s="3512"/>
      <c r="D64" s="3512"/>
      <c r="E64" s="3512"/>
      <c r="F64" s="3512"/>
      <c r="G64" s="3513"/>
      <c r="H64" s="1284"/>
      <c r="I64" s="944"/>
      <c r="J64" s="1987"/>
      <c r="K64" s="1557" t="s">
        <v>371</v>
      </c>
      <c r="L64" s="11"/>
      <c r="M64" s="11"/>
      <c r="N64" s="11"/>
      <c r="O64" s="11"/>
      <c r="P64" s="307"/>
      <c r="Q64" s="2025"/>
      <c r="R64" s="2025"/>
      <c r="S64" s="2025"/>
      <c r="T64" s="2025"/>
      <c r="U64" s="2025"/>
      <c r="V64" s="2025"/>
    </row>
    <row r="65" spans="1:22" ht="12" customHeight="1">
      <c r="A65" s="340" t="s">
        <v>374</v>
      </c>
      <c r="B65" s="341"/>
      <c r="C65" s="342"/>
      <c r="D65" s="343" t="s">
        <v>375</v>
      </c>
      <c r="E65" s="53" t="s">
        <v>376</v>
      </c>
      <c r="F65" s="344" t="s">
        <v>377</v>
      </c>
      <c r="G65" s="345" t="s">
        <v>378</v>
      </c>
      <c r="H65" s="1284"/>
      <c r="I65" s="944"/>
      <c r="J65" s="1987"/>
      <c r="K65" s="1285"/>
      <c r="L65" s="1286"/>
      <c r="M65" s="1286"/>
      <c r="N65" s="1318" t="s">
        <v>373</v>
      </c>
      <c r="O65" s="1319"/>
      <c r="P65" s="1320"/>
      <c r="Q65" s="2025"/>
      <c r="R65" s="2025"/>
      <c r="S65" s="2025"/>
      <c r="T65" s="2025"/>
      <c r="U65" s="2025"/>
      <c r="V65" s="2025"/>
    </row>
    <row r="66" spans="1:22" ht="25.5">
      <c r="A66" s="3508" t="s">
        <v>380</v>
      </c>
      <c r="B66" s="3479"/>
      <c r="C66" s="3479"/>
      <c r="D66" s="260">
        <f ca="1">IF(H66="情况1",0,IF(H66="情况2",D70,IF(H66="情况3",D71,IF(H66="情况4",D72))))</f>
        <v>17128</v>
      </c>
      <c r="E66" s="989" t="str">
        <f>IF(H66="情况4","(销售额-原购置价)×税（费）率","销售额×税（费）率")</f>
        <v>销售额×税（费）率</v>
      </c>
      <c r="F66" s="346">
        <f>IF(H66="情况1","免征",'数据-取费表'!B41)</f>
        <v>5.6000000000000001E-2</v>
      </c>
      <c r="G66" s="347" t="s">
        <v>381</v>
      </c>
      <c r="H66" s="190" t="s">
        <v>382</v>
      </c>
      <c r="I66" s="1284"/>
      <c r="J66" s="2031"/>
      <c r="K66" s="1287">
        <v>1</v>
      </c>
      <c r="L66" s="3448" t="s">
        <v>379</v>
      </c>
      <c r="M66" s="3449"/>
      <c r="N66" s="2455"/>
      <c r="O66" s="2456"/>
      <c r="P66" s="2457"/>
      <c r="Q66" s="2025"/>
      <c r="R66" s="2025"/>
      <c r="S66" s="2025"/>
      <c r="T66" s="2025"/>
      <c r="U66" s="2025"/>
      <c r="V66" s="2025"/>
    </row>
    <row r="67" spans="1:22" ht="25.5" customHeight="1">
      <c r="A67" s="348" t="s">
        <v>384</v>
      </c>
      <c r="B67" s="3491" t="s">
        <v>385</v>
      </c>
      <c r="C67" s="3491"/>
      <c r="D67" s="349">
        <v>0</v>
      </c>
      <c r="E67" s="41" t="s">
        <v>386</v>
      </c>
      <c r="F67" s="62" t="s">
        <v>21</v>
      </c>
      <c r="G67" s="3475"/>
      <c r="H67" s="307"/>
      <c r="I67" s="1288"/>
      <c r="J67" s="2032"/>
      <c r="K67" s="1973">
        <v>2</v>
      </c>
      <c r="L67" s="3447" t="s">
        <v>383</v>
      </c>
      <c r="M67" s="3447"/>
      <c r="N67" s="1321">
        <f>'数据-取费表'!B2</f>
        <v>43388</v>
      </c>
      <c r="O67" s="1321"/>
      <c r="P67" s="1321"/>
      <c r="Q67" s="2025"/>
      <c r="R67" s="2025"/>
      <c r="S67" s="2025"/>
      <c r="T67" s="2025"/>
      <c r="U67" s="2025"/>
      <c r="V67" s="2025"/>
    </row>
    <row r="68" spans="1:22" ht="25.5" customHeight="1">
      <c r="A68" s="350"/>
      <c r="B68" s="3491" t="s">
        <v>388</v>
      </c>
      <c r="C68" s="3491"/>
      <c r="D68" s="351"/>
      <c r="E68" s="77"/>
      <c r="F68" s="352"/>
      <c r="G68" s="3476"/>
      <c r="H68" s="307"/>
      <c r="I68" s="1288"/>
      <c r="J68" s="2032"/>
      <c r="K68" s="1973">
        <v>3</v>
      </c>
      <c r="L68" s="3447" t="s">
        <v>387</v>
      </c>
      <c r="M68" s="3447"/>
      <c r="N68" s="1289">
        <f ca="1">C42</f>
        <v>535247</v>
      </c>
      <c r="O68" s="1289"/>
      <c r="P68" s="1289"/>
      <c r="Q68" s="2025"/>
      <c r="R68" s="2025"/>
      <c r="S68" s="2025"/>
      <c r="T68" s="2025"/>
      <c r="U68" s="2025"/>
      <c r="V68" s="2025"/>
    </row>
    <row r="69" spans="1:22" ht="12" customHeight="1">
      <c r="A69" s="353"/>
      <c r="B69" s="3491" t="s">
        <v>389</v>
      </c>
      <c r="C69" s="3491"/>
      <c r="D69" s="354"/>
      <c r="E69" s="73"/>
      <c r="F69" s="352"/>
      <c r="G69" s="3477"/>
      <c r="H69" s="307"/>
      <c r="I69" s="1288"/>
      <c r="J69" s="2032"/>
      <c r="K69" s="1290">
        <v>4</v>
      </c>
      <c r="L69" s="3453" t="s">
        <v>2878</v>
      </c>
      <c r="M69" s="3454"/>
      <c r="N69" s="1291" t="str">
        <f>C44</f>
        <v>——</v>
      </c>
      <c r="O69" s="1291"/>
      <c r="P69" s="1291"/>
      <c r="Q69" s="2025"/>
      <c r="R69" s="2025"/>
      <c r="S69" s="2025"/>
      <c r="T69" s="2025"/>
      <c r="U69" s="2025"/>
      <c r="V69" s="2025"/>
    </row>
    <row r="70" spans="1:22" ht="24" customHeight="1">
      <c r="A70" s="355" t="s">
        <v>390</v>
      </c>
      <c r="B70" s="3491" t="s">
        <v>391</v>
      </c>
      <c r="C70" s="3491"/>
      <c r="D70" s="354">
        <f ca="1">ROUND(D63*'数据-取费表'!B41/(1+'数据-取费表'!C42),0)</f>
        <v>17128</v>
      </c>
      <c r="E70" s="17" t="s">
        <v>392</v>
      </c>
      <c r="F70" s="356">
        <f>'数据-取费表'!B41</f>
        <v>5.6000000000000001E-2</v>
      </c>
      <c r="G70" s="357"/>
      <c r="H70" s="307"/>
      <c r="I70" s="1288"/>
      <c r="J70" s="2032"/>
      <c r="K70" s="3056"/>
      <c r="L70" s="3057"/>
      <c r="M70" s="3057"/>
      <c r="N70" s="3058" t="s">
        <v>2883</v>
      </c>
      <c r="O70" s="3057"/>
      <c r="P70" s="3059"/>
      <c r="Q70" s="2025"/>
      <c r="R70" s="2025"/>
      <c r="S70" s="2025"/>
      <c r="T70" s="2025"/>
      <c r="U70" s="2025"/>
      <c r="V70" s="2025"/>
    </row>
    <row r="71" spans="1:22" ht="12" customHeight="1">
      <c r="A71" s="355" t="s">
        <v>398</v>
      </c>
      <c r="B71" s="3490" t="s">
        <v>399</v>
      </c>
      <c r="C71" s="3502"/>
      <c r="D71" s="354">
        <f ca="1">ROUND(D63*'数据-取费表'!B41/(1+'数据-取费表'!C42),0)</f>
        <v>17128</v>
      </c>
      <c r="E71" s="17" t="s">
        <v>392</v>
      </c>
      <c r="F71" s="356">
        <f>'数据-取费表'!B41</f>
        <v>5.6000000000000001E-2</v>
      </c>
      <c r="G71" s="357"/>
      <c r="H71" s="307"/>
      <c r="I71" s="1288"/>
      <c r="J71" s="2032"/>
      <c r="K71" s="3055" t="s">
        <v>393</v>
      </c>
      <c r="L71" s="3455" t="s">
        <v>394</v>
      </c>
      <c r="M71" s="3455"/>
      <c r="N71" s="3055" t="s">
        <v>395</v>
      </c>
      <c r="O71" s="3055" t="s">
        <v>396</v>
      </c>
      <c r="P71" s="3055" t="s">
        <v>397</v>
      </c>
      <c r="Q71" s="2025"/>
      <c r="R71" s="2025"/>
      <c r="S71" s="2025"/>
      <c r="T71" s="2025"/>
      <c r="U71" s="2025"/>
      <c r="V71" s="2025"/>
    </row>
    <row r="72" spans="1:22" ht="12" customHeight="1">
      <c r="A72" s="355" t="s">
        <v>401</v>
      </c>
      <c r="B72" s="3490" t="s">
        <v>402</v>
      </c>
      <c r="C72" s="3502"/>
      <c r="D72" s="354">
        <f ca="1">C86</f>
        <v>17016</v>
      </c>
      <c r="E72" s="73" t="s">
        <v>403</v>
      </c>
      <c r="F72" s="356">
        <f>'数据-取费表'!B41</f>
        <v>5.6000000000000001E-2</v>
      </c>
      <c r="G72" s="357"/>
      <c r="H72" s="1294"/>
      <c r="I72" s="1288"/>
      <c r="J72" s="2032"/>
      <c r="K72" s="1973">
        <v>1</v>
      </c>
      <c r="L72" s="3452" t="s">
        <v>400</v>
      </c>
      <c r="M72" s="3452"/>
      <c r="N72" s="1292">
        <f ca="1">D66</f>
        <v>17128</v>
      </c>
      <c r="O72" s="1856" t="str">
        <f>E66</f>
        <v>销售额×税（费）率</v>
      </c>
      <c r="P72" s="1293">
        <f>F66</f>
        <v>5.6000000000000001E-2</v>
      </c>
      <c r="Q72" s="2025"/>
      <c r="R72" s="2025"/>
      <c r="S72" s="2025"/>
      <c r="T72" s="2025"/>
      <c r="U72" s="2025"/>
      <c r="V72" s="2025"/>
    </row>
    <row r="73" spans="1:22" ht="24" customHeight="1">
      <c r="A73" s="3478" t="s">
        <v>405</v>
      </c>
      <c r="B73" s="3479"/>
      <c r="C73" s="3479"/>
      <c r="D73" s="358">
        <f>IF(H73="个人住宅",0,ROUND(D63*I73,0))</f>
        <v>0</v>
      </c>
      <c r="E73" s="17" t="s">
        <v>406</v>
      </c>
      <c r="F73" s="356" t="str">
        <f>IF(H73="正常",I73,"免征")</f>
        <v>免征</v>
      </c>
      <c r="G73" s="357"/>
      <c r="H73" s="190" t="s">
        <v>2450</v>
      </c>
      <c r="I73" s="356">
        <f>'数据-取费表'!B49</f>
        <v>5.0000000000000001E-4</v>
      </c>
      <c r="J73" s="2032"/>
      <c r="K73" s="1973">
        <v>2</v>
      </c>
      <c r="L73" s="3452" t="s">
        <v>404</v>
      </c>
      <c r="M73" s="3452"/>
      <c r="N73" s="1292">
        <f t="shared" ref="N73:P74" si="1">D73</f>
        <v>0</v>
      </c>
      <c r="O73" s="1856" t="str">
        <f t="shared" si="1"/>
        <v>销售额×税（费）率</v>
      </c>
      <c r="P73" s="1293" t="str">
        <f t="shared" si="1"/>
        <v>免征</v>
      </c>
      <c r="Q73" s="2025"/>
      <c r="R73" s="2025"/>
      <c r="S73" s="2025"/>
      <c r="T73" s="2025"/>
      <c r="U73" s="2025"/>
      <c r="V73" s="2025"/>
    </row>
    <row r="74" spans="1:22" ht="24.75">
      <c r="A74" s="3478" t="s">
        <v>409</v>
      </c>
      <c r="B74" s="3479"/>
      <c r="C74" s="3479"/>
      <c r="D74" s="358">
        <f ca="1">IF(H74="个人住宅",D75,D76)</f>
        <v>181114</v>
      </c>
      <c r="E74" s="17" t="s">
        <v>410</v>
      </c>
      <c r="F74" s="356" t="str">
        <f>IF(H74="正常",F76,"免征")</f>
        <v>——</v>
      </c>
      <c r="G74" s="979" t="s">
        <v>411</v>
      </c>
      <c r="H74" s="359" t="s">
        <v>407</v>
      </c>
      <c r="I74" s="42"/>
      <c r="J74" s="2032"/>
      <c r="K74" s="1973">
        <v>3</v>
      </c>
      <c r="L74" s="3452" t="s">
        <v>408</v>
      </c>
      <c r="M74" s="3452"/>
      <c r="N74" s="1292">
        <f t="shared" ca="1" si="1"/>
        <v>181114</v>
      </c>
      <c r="O74" s="1856" t="str">
        <f t="shared" si="1"/>
        <v>增值额×税（费）率</v>
      </c>
      <c r="P74" s="1295" t="str">
        <f t="shared" si="1"/>
        <v>——</v>
      </c>
      <c r="Q74" s="2025"/>
      <c r="R74" s="2025"/>
      <c r="S74" s="2025"/>
      <c r="T74" s="2025"/>
      <c r="U74" s="2025"/>
      <c r="V74" s="2025"/>
    </row>
    <row r="75" spans="1:22" ht="24">
      <c r="A75" s="355" t="s">
        <v>412</v>
      </c>
      <c r="B75" s="3459" t="s">
        <v>413</v>
      </c>
      <c r="C75" s="3460"/>
      <c r="D75" s="360">
        <v>0</v>
      </c>
      <c r="E75" s="41" t="s">
        <v>414</v>
      </c>
      <c r="F75" s="361"/>
      <c r="G75" s="357"/>
      <c r="H75" s="42"/>
      <c r="I75" s="42"/>
      <c r="J75" s="2032"/>
      <c r="K75" s="3048">
        <f>IF(H77="非个人房产","",4)</f>
        <v>4</v>
      </c>
      <c r="L75" s="3452" t="str">
        <f>IF(H77="非个人房产","——","个人所得税")</f>
        <v>个人所得税</v>
      </c>
      <c r="M75" s="3452"/>
      <c r="N75" s="1296">
        <f ca="1">D77</f>
        <v>3211</v>
      </c>
      <c r="O75" s="1869" t="str">
        <f>E77</f>
        <v>销售额×税（费）率</v>
      </c>
      <c r="P75" s="1297">
        <f>F77</f>
        <v>0.01</v>
      </c>
      <c r="Q75" s="2025"/>
      <c r="R75" s="2025"/>
      <c r="S75" s="2025"/>
      <c r="T75" s="2025"/>
      <c r="U75" s="2025"/>
      <c r="V75" s="2025"/>
    </row>
    <row r="76" spans="1:22" ht="24.75">
      <c r="A76" s="355" t="s">
        <v>390</v>
      </c>
      <c r="B76" s="3459" t="s">
        <v>416</v>
      </c>
      <c r="C76" s="3501"/>
      <c r="D76" s="358">
        <f ca="1">IF(H76="转让取得",C99,C115)</f>
        <v>181114</v>
      </c>
      <c r="E76" s="17" t="s">
        <v>417</v>
      </c>
      <c r="F76" s="53" t="s">
        <v>21</v>
      </c>
      <c r="G76" s="357"/>
      <c r="H76" s="359" t="s">
        <v>418</v>
      </c>
      <c r="I76" s="42"/>
      <c r="J76" s="2032"/>
      <c r="K76" s="3048" t="str">
        <f>IF(项目基本情况!K6="上海银行",IF(K75="",4,K75+1),"")</f>
        <v/>
      </c>
      <c r="L76" s="3440" t="str">
        <f>IF(项目基本情况!K6="上海银行","其他处置费用","")</f>
        <v/>
      </c>
      <c r="M76" s="3441"/>
      <c r="N76" s="1292" t="str">
        <f>IF(项目基本情况!K6="上海银行",N89,"")</f>
        <v/>
      </c>
      <c r="O76" s="3442" t="str">
        <f>IF(项目基本情况!K6="上海银行","包含处置中涉及的律师、诉讼、拍卖、评估等费用","")</f>
        <v/>
      </c>
      <c r="P76" s="3443"/>
      <c r="Q76" s="2025"/>
      <c r="R76" s="2025"/>
      <c r="S76" s="2025"/>
      <c r="T76" s="2025"/>
      <c r="U76" s="2025"/>
      <c r="V76" s="2025"/>
    </row>
    <row r="77" spans="1:22" ht="26.25" thickBot="1">
      <c r="A77" s="3470" t="s">
        <v>420</v>
      </c>
      <c r="B77" s="3471"/>
      <c r="C77" s="3471"/>
      <c r="D77" s="362">
        <f ca="1">IF(H77="非个人房产","——",IF(H77="个人住宅",0,ROUND(D63*I77,0)))</f>
        <v>3211</v>
      </c>
      <c r="E77" s="363" t="str">
        <f>IF(H77="非个人房产","——","销售额×税（费）率")</f>
        <v>销售额×税（费）率</v>
      </c>
      <c r="F77" s="364">
        <f>IF(H77="非个人房产","——",IF(H77="个人住宅","免征",I77))</f>
        <v>0.01</v>
      </c>
      <c r="G77" s="980" t="s">
        <v>411</v>
      </c>
      <c r="H77" s="359" t="s">
        <v>2879</v>
      </c>
      <c r="I77" s="365">
        <v>0.01</v>
      </c>
      <c r="J77" s="2032"/>
      <c r="K77" s="3466">
        <f>IF(AND(K75="",K76=""),4,IF(项目基本情况!K6="上海银行",K76+1,K75+1))</f>
        <v>5</v>
      </c>
      <c r="L77" s="3452" t="s">
        <v>2880</v>
      </c>
      <c r="M77" s="3054" t="s">
        <v>415</v>
      </c>
      <c r="N77" s="1298"/>
      <c r="O77" s="1299">
        <f ca="1">SUMIF(N72:N76,"&lt;9e307")</f>
        <v>201453</v>
      </c>
      <c r="P77" s="1300"/>
      <c r="Q77" s="3052" t="e">
        <f ca="1">O77/N69</f>
        <v>#VALUE!</v>
      </c>
      <c r="R77" s="2025"/>
      <c r="S77" s="2025"/>
      <c r="T77" s="2025"/>
      <c r="U77" s="2025"/>
      <c r="V77" s="2025"/>
    </row>
    <row r="78" spans="1:22" ht="12" customHeight="1">
      <c r="A78" s="1301"/>
      <c r="B78" s="307"/>
      <c r="C78" s="307"/>
      <c r="D78" s="307"/>
      <c r="E78" s="42"/>
      <c r="F78" s="42"/>
      <c r="G78" s="42"/>
      <c r="H78" s="999"/>
      <c r="I78" s="307"/>
      <c r="J78" s="2032"/>
      <c r="K78" s="3466"/>
      <c r="L78" s="3452"/>
      <c r="M78" s="3054" t="s">
        <v>419</v>
      </c>
      <c r="N78" s="1298"/>
      <c r="O78" s="1299" t="str">
        <f ca="1">NUMBERSTRING(INT(O77*10000),2)&amp;"元整"</f>
        <v>贰拾亿壹仟肆佰伍拾叁万元整</v>
      </c>
      <c r="P78" s="1300"/>
      <c r="Q78" s="2025"/>
      <c r="R78" s="2025"/>
      <c r="S78" s="2025"/>
      <c r="T78" s="2025"/>
      <c r="U78" s="2025"/>
      <c r="V78" s="2025"/>
    </row>
    <row r="79" spans="1:22" ht="13.5" thickBot="1">
      <c r="A79" s="3456" t="s">
        <v>421</v>
      </c>
      <c r="B79" s="3456"/>
      <c r="C79" s="3456"/>
      <c r="D79" s="3456"/>
      <c r="E79" s="3456"/>
      <c r="F79" s="42"/>
      <c r="G79" s="42"/>
      <c r="H79" s="999"/>
      <c r="I79" s="307"/>
      <c r="J79" s="2032"/>
      <c r="K79" s="3450">
        <f>K77+1</f>
        <v>6</v>
      </c>
      <c r="L79" s="3452" t="s">
        <v>2881</v>
      </c>
      <c r="M79" s="3054" t="s">
        <v>415</v>
      </c>
      <c r="N79" s="1298"/>
      <c r="O79" s="1299" t="e">
        <f ca="1">N69-O77</f>
        <v>#VALUE!</v>
      </c>
      <c r="P79" s="1300"/>
      <c r="Q79" s="2025"/>
      <c r="R79" s="2025"/>
      <c r="S79" s="2025"/>
      <c r="T79" s="2025"/>
      <c r="U79" s="2025"/>
      <c r="V79" s="2025"/>
    </row>
    <row r="80" spans="1:22" ht="12.75">
      <c r="A80" s="3457" t="s">
        <v>422</v>
      </c>
      <c r="B80" s="3458"/>
      <c r="C80" s="990"/>
      <c r="D80" s="990" t="s">
        <v>423</v>
      </c>
      <c r="E80" s="366" t="s">
        <v>424</v>
      </c>
      <c r="F80" s="42"/>
      <c r="G80" s="42"/>
      <c r="H80" s="999"/>
      <c r="I80" s="307"/>
      <c r="J80" s="2025"/>
      <c r="K80" s="3451"/>
      <c r="L80" s="3452"/>
      <c r="M80" s="3054" t="s">
        <v>419</v>
      </c>
      <c r="N80" s="1298"/>
      <c r="O80" s="1299" t="e">
        <f ca="1">NUMBERSTRING(INT(O79*10000),2)&amp;"元整"</f>
        <v>#VALUE!</v>
      </c>
      <c r="P80" s="1300"/>
      <c r="Q80" s="2025"/>
      <c r="R80" s="2025"/>
      <c r="S80" s="2025"/>
      <c r="T80" s="2025"/>
      <c r="U80" s="2025"/>
      <c r="V80" s="2025"/>
    </row>
    <row r="81" spans="1:26" ht="13.5" thickBot="1">
      <c r="A81" s="377" t="s">
        <v>1816</v>
      </c>
      <c r="B81" s="367" t="s">
        <v>425</v>
      </c>
      <c r="C81" s="368">
        <f ca="1">ROUND((C82+C83)/(1+'数据-取费表'!C42),0)</f>
        <v>305855</v>
      </c>
      <c r="D81" s="369"/>
      <c r="E81" s="370"/>
      <c r="F81" s="42"/>
      <c r="G81" s="42"/>
      <c r="H81" s="999"/>
      <c r="I81" s="307"/>
      <c r="J81" s="2025"/>
      <c r="K81" s="3048">
        <f>K79+1</f>
        <v>7</v>
      </c>
      <c r="L81" s="3464" t="s">
        <v>2882</v>
      </c>
      <c r="M81" s="3465"/>
      <c r="N81" s="1302"/>
      <c r="O81" s="1303" t="e">
        <f ca="1">ROUND(O79*10000/'数据-汇总表'!E3,0)</f>
        <v>#VALUE!</v>
      </c>
      <c r="P81" s="1304"/>
      <c r="Q81" s="2025"/>
      <c r="R81" s="2025"/>
      <c r="S81" s="2025"/>
      <c r="T81" s="2025"/>
      <c r="U81" s="2025"/>
      <c r="V81" s="2025"/>
    </row>
    <row r="82" spans="1:26" ht="13.5" thickTop="1">
      <c r="A82" s="371" t="s">
        <v>1817</v>
      </c>
      <c r="B82" s="372" t="s">
        <v>426</v>
      </c>
      <c r="C82" s="373">
        <f ca="1">D63</f>
        <v>321148</v>
      </c>
      <c r="D82" s="374" t="s">
        <v>19</v>
      </c>
      <c r="E82" s="375"/>
      <c r="F82" s="42"/>
      <c r="G82" s="42"/>
      <c r="H82" s="999"/>
      <c r="I82" s="307"/>
      <c r="J82" s="2025"/>
      <c r="K82" s="2025"/>
      <c r="L82" s="2025"/>
      <c r="M82" s="2025"/>
      <c r="N82" s="2025"/>
      <c r="O82" s="2025"/>
      <c r="P82" s="2025"/>
      <c r="Q82" s="2025"/>
      <c r="R82" s="2025"/>
      <c r="S82" s="2025"/>
      <c r="T82" s="2025"/>
      <c r="U82" s="2025"/>
      <c r="V82" s="2025"/>
    </row>
    <row r="83" spans="1:26" ht="12.75">
      <c r="A83" s="371" t="s">
        <v>1818</v>
      </c>
      <c r="B83" s="372" t="s">
        <v>427</v>
      </c>
      <c r="C83" s="376">
        <v>0</v>
      </c>
      <c r="D83" s="374"/>
      <c r="E83" s="375"/>
      <c r="F83" s="42"/>
      <c r="G83" s="42"/>
      <c r="H83" s="999"/>
      <c r="I83" s="307"/>
      <c r="J83" s="2025"/>
      <c r="K83" s="3439" t="s">
        <v>2869</v>
      </c>
      <c r="L83" s="3060" t="s">
        <v>2870</v>
      </c>
      <c r="M83" s="3050" t="e">
        <f>IF(N69&gt;10000,N69*0.5%,IF(AND(N69&gt;1000,N69&lt;=10000),N69*1%,IF(AND(N69&gt;100,N69&lt;=1000),N69*3%,IF(AND(N69&gt;10,N69&lt;=100),N69*5%,N69*8%))))</f>
        <v>#VALUE!</v>
      </c>
      <c r="N83" s="53" t="e">
        <f>ROUND(M83,1)</f>
        <v>#VALUE!</v>
      </c>
      <c r="O83" s="3053"/>
      <c r="P83" s="2025"/>
      <c r="Q83" s="2025"/>
      <c r="R83" s="2025"/>
      <c r="S83" s="2025"/>
      <c r="T83" s="2025"/>
      <c r="U83" s="2025"/>
      <c r="V83" s="2025"/>
    </row>
    <row r="84" spans="1:26" ht="12.75">
      <c r="A84" s="377" t="s">
        <v>1819</v>
      </c>
      <c r="B84" s="378" t="s">
        <v>428</v>
      </c>
      <c r="C84" s="379">
        <v>2000</v>
      </c>
      <c r="D84" s="380" t="s">
        <v>19</v>
      </c>
      <c r="E84" s="3095" t="s">
        <v>2938</v>
      </c>
      <c r="F84" s="42"/>
      <c r="G84" s="42"/>
      <c r="H84" s="999"/>
      <c r="I84" s="307"/>
      <c r="J84" s="2025"/>
      <c r="K84" s="3439"/>
      <c r="L84" s="3060" t="s">
        <v>2871</v>
      </c>
      <c r="M84" s="305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2872</v>
      </c>
      <c r="P84" s="2025"/>
      <c r="Q84" s="2025"/>
      <c r="R84" s="2025"/>
      <c r="S84" s="2025"/>
      <c r="T84" s="2025"/>
      <c r="U84" s="2025"/>
      <c r="V84" s="2025"/>
    </row>
    <row r="85" spans="1:26" ht="12.75">
      <c r="A85" s="377" t="s">
        <v>1820</v>
      </c>
      <c r="B85" s="378" t="s">
        <v>429</v>
      </c>
      <c r="C85" s="381">
        <f ca="1">C81-C84</f>
        <v>303855</v>
      </c>
      <c r="D85" s="374" t="s">
        <v>19</v>
      </c>
      <c r="E85" s="375"/>
      <c r="F85" s="42"/>
      <c r="G85" s="42"/>
      <c r="H85" s="999"/>
      <c r="I85" s="307"/>
      <c r="J85" s="2025"/>
      <c r="K85" s="3439"/>
      <c r="L85" s="3060" t="s">
        <v>2873</v>
      </c>
      <c r="M85" s="3050" t="e">
        <f>IF(N69&gt;1000,N69*0.1%,IF(AND(N69&gt;500,N69&lt;=1000),N69*0.5%,IF(AND(N69&gt;50,N69&lt;=500),N69*1%,IF(AND(N69&gt;1,N69&lt;=50),N69*1.5%))))</f>
        <v>#VALUE!</v>
      </c>
      <c r="N85" s="53" t="e">
        <f t="shared" si="2"/>
        <v>#VALUE!</v>
      </c>
      <c r="O85" s="2025" t="s">
        <v>2872</v>
      </c>
      <c r="P85" s="2025"/>
      <c r="Q85" s="2025"/>
      <c r="R85" s="2025"/>
      <c r="S85" s="2025"/>
      <c r="T85" s="2025"/>
      <c r="U85" s="2025"/>
      <c r="V85" s="2025"/>
    </row>
    <row r="86" spans="1:26" ht="13.5" thickBot="1">
      <c r="A86" s="382" t="s">
        <v>1821</v>
      </c>
      <c r="B86" s="383" t="s">
        <v>430</v>
      </c>
      <c r="C86" s="384">
        <f ca="1">IF(C85&lt;=0,0,ROUND(C85*D86,0))</f>
        <v>17016</v>
      </c>
      <c r="D86" s="385">
        <f>'数据-取费表'!B41</f>
        <v>5.6000000000000001E-2</v>
      </c>
      <c r="E86" s="386"/>
      <c r="F86" s="42"/>
      <c r="G86" s="42"/>
      <c r="H86" s="999"/>
      <c r="I86" s="307"/>
      <c r="J86" s="2025"/>
      <c r="K86" s="3439"/>
      <c r="L86" s="3060" t="s">
        <v>2874</v>
      </c>
      <c r="M86" s="3050" t="e">
        <f>N69*0.5%</f>
        <v>#VALUE!</v>
      </c>
      <c r="N86" s="53" t="e">
        <f>IF(M86&gt;0.5,0.5,ROUND(M86,0))</f>
        <v>#VALUE!</v>
      </c>
      <c r="O86" s="2025" t="s">
        <v>2875</v>
      </c>
      <c r="P86" s="2025"/>
      <c r="Q86" s="2025"/>
      <c r="R86" s="2025"/>
      <c r="S86" s="2025"/>
      <c r="T86" s="2025"/>
      <c r="U86" s="2025"/>
      <c r="V86" s="2025"/>
    </row>
    <row r="87" spans="1:26" s="1250" customFormat="1" ht="14.25" customHeight="1">
      <c r="A87" s="1305"/>
      <c r="B87" s="1306"/>
      <c r="C87" s="1307"/>
      <c r="D87" s="1308"/>
      <c r="E87" s="1309"/>
      <c r="F87" s="42"/>
      <c r="G87" s="42"/>
      <c r="H87" s="999"/>
      <c r="I87" s="307"/>
      <c r="J87" s="2025"/>
      <c r="K87" s="3439"/>
      <c r="L87" s="3060" t="s">
        <v>2876</v>
      </c>
      <c r="M87" s="305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3"/>
      <c r="P87" s="307"/>
      <c r="Q87" s="2025"/>
      <c r="R87" s="2025"/>
      <c r="S87" s="2025"/>
      <c r="T87" s="2025"/>
      <c r="U87" s="2025"/>
      <c r="V87" s="2025"/>
      <c r="W87" s="288"/>
      <c r="X87" s="288"/>
      <c r="Y87" s="288"/>
      <c r="Z87" s="288"/>
    </row>
    <row r="88" spans="1:26" s="1310" customFormat="1" ht="15" thickBot="1">
      <c r="A88" s="3493" t="s">
        <v>431</v>
      </c>
      <c r="B88" s="3494"/>
      <c r="C88" s="3494"/>
      <c r="D88" s="3494"/>
      <c r="E88" s="3494"/>
      <c r="F88" s="3494"/>
      <c r="G88" s="3494"/>
      <c r="H88" s="3494"/>
      <c r="I88" s="1311"/>
      <c r="J88" s="2033"/>
      <c r="K88" s="3439"/>
      <c r="L88" s="3060" t="s">
        <v>2877</v>
      </c>
      <c r="M88" s="3050" t="e">
        <f>IF(N69&gt;10000,N69*0.5%,IF(AND(N69&gt;5000,N69&lt;=10000),N69*1%,IF(AND(N69&gt;1000,N69&lt;=5000),N69*2%,IF(AND(N69&gt;200,N69&lt;=1000),N69*3%,N69*5%))))</f>
        <v>#VALUE!</v>
      </c>
      <c r="N88" s="53" t="e">
        <f>ROUND(M88,1)</f>
        <v>#VALUE!</v>
      </c>
      <c r="O88" s="3053"/>
      <c r="P88" s="11"/>
      <c r="Q88" s="2030"/>
      <c r="R88" s="2030"/>
      <c r="S88" s="2030"/>
      <c r="T88" s="2030"/>
      <c r="U88" s="2030"/>
      <c r="V88" s="2030"/>
      <c r="W88" s="2034"/>
      <c r="X88" s="2034"/>
      <c r="Y88" s="2034"/>
      <c r="Z88" s="2034"/>
    </row>
    <row r="89" spans="1:26" s="1310" customFormat="1" ht="14.25">
      <c r="A89" s="3457" t="s">
        <v>422</v>
      </c>
      <c r="B89" s="3458"/>
      <c r="C89" s="990"/>
      <c r="D89" s="990" t="s">
        <v>423</v>
      </c>
      <c r="E89" s="387" t="s">
        <v>432</v>
      </c>
      <c r="F89" s="388"/>
      <c r="G89" s="388"/>
      <c r="H89" s="389"/>
      <c r="I89" s="1312"/>
      <c r="J89" s="2035"/>
      <c r="K89" s="3439"/>
      <c r="L89" s="3060" t="s">
        <v>27</v>
      </c>
      <c r="M89" s="3051"/>
      <c r="N89" s="53" t="e">
        <f>ROUND(SUM(N83:N88),0)</f>
        <v>#VALUE!</v>
      </c>
      <c r="O89" s="3061" t="e">
        <f>N89/N69</f>
        <v>#VALUE!</v>
      </c>
      <c r="P89" s="2030"/>
      <c r="Q89" s="2030"/>
      <c r="R89" s="2030"/>
      <c r="S89" s="2030"/>
      <c r="T89" s="2030"/>
      <c r="U89" s="2030"/>
      <c r="V89" s="2030"/>
      <c r="W89" s="2034"/>
      <c r="X89" s="2034"/>
      <c r="Y89" s="2034"/>
      <c r="Z89" s="2034"/>
    </row>
    <row r="90" spans="1:26" s="1310" customFormat="1" ht="14.25">
      <c r="A90" s="377" t="s">
        <v>1816</v>
      </c>
      <c r="B90" s="378" t="s">
        <v>433</v>
      </c>
      <c r="C90" s="381">
        <f ca="1">ROUND(D63/(1+'数据-取费表'!C42),0)</f>
        <v>305855</v>
      </c>
      <c r="D90" s="374" t="s">
        <v>19</v>
      </c>
      <c r="E90" s="987"/>
      <c r="F90" s="986"/>
      <c r="G90" s="986"/>
      <c r="H90" s="390"/>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7" t="s">
        <v>1822</v>
      </c>
      <c r="B91" s="344" t="s">
        <v>434</v>
      </c>
      <c r="C91" s="381">
        <f ca="1">C92+C96</f>
        <v>4396</v>
      </c>
      <c r="D91" s="374" t="s">
        <v>19</v>
      </c>
      <c r="E91" s="987"/>
      <c r="F91" s="986"/>
      <c r="G91" s="986"/>
      <c r="H91" s="390"/>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1" t="s">
        <v>1823</v>
      </c>
      <c r="B92" s="372" t="s">
        <v>435</v>
      </c>
      <c r="C92" s="374">
        <f>ROUND(IF(G95="2016年5月1日后购买",C93/(1+'数据-取费表'!C30)+C94+C95,C93+C94+C95),0)</f>
        <v>2561</v>
      </c>
      <c r="D92" s="374" t="s">
        <v>19</v>
      </c>
      <c r="E92" s="987"/>
      <c r="F92" s="986"/>
      <c r="G92" s="986"/>
      <c r="H92" s="390"/>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1" t="s">
        <v>1824</v>
      </c>
      <c r="B93" s="372" t="s">
        <v>436</v>
      </c>
      <c r="C93" s="392">
        <v>2000</v>
      </c>
      <c r="D93" s="374" t="s">
        <v>19</v>
      </c>
      <c r="E93" s="393" t="s">
        <v>437</v>
      </c>
      <c r="F93" s="394" t="s">
        <v>438</v>
      </c>
      <c r="G93" s="393" t="s">
        <v>439</v>
      </c>
      <c r="H93" s="395">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1" t="s">
        <v>1825</v>
      </c>
      <c r="B94" s="396" t="s">
        <v>440</v>
      </c>
      <c r="C94" s="374">
        <f>IF(F93="购房发票",ROUND(C93*H93*5%,0),0)</f>
        <v>500</v>
      </c>
      <c r="D94" s="397">
        <v>0.05</v>
      </c>
      <c r="E94" s="3490" t="s">
        <v>441</v>
      </c>
      <c r="F94" s="3491"/>
      <c r="G94" s="3491"/>
      <c r="H94" s="3492"/>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1" t="s">
        <v>1826</v>
      </c>
      <c r="B95" s="372" t="s">
        <v>442</v>
      </c>
      <c r="C95" s="374">
        <f>ROUND(IF(G95="个人买卖住房",0,IF(G95="2016年5月1日前购买",C93*D95,C93*D95/(1+'数据-取费表'!C42))),0)</f>
        <v>61</v>
      </c>
      <c r="D95" s="398">
        <f>'数据-取费表'!B48+'数据-取费表'!B49</f>
        <v>3.0499999999999999E-2</v>
      </c>
      <c r="E95" s="26" t="s">
        <v>443</v>
      </c>
      <c r="F95" s="399"/>
      <c r="G95" s="400" t="s">
        <v>2424</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1" t="s">
        <v>1827</v>
      </c>
      <c r="B96" s="372" t="s">
        <v>444</v>
      </c>
      <c r="C96" s="401">
        <f ca="1">ROUND(D63*D96/(1+'数据-取费表'!C42),0)</f>
        <v>1835</v>
      </c>
      <c r="D96" s="402">
        <f>'数据-取费表'!B43</f>
        <v>6.000000000000001E-3</v>
      </c>
      <c r="E96" s="3480" t="s">
        <v>2423</v>
      </c>
      <c r="F96" s="3481"/>
      <c r="G96" s="3481"/>
      <c r="H96" s="3482"/>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3" t="s">
        <v>1828</v>
      </c>
      <c r="B97" s="378" t="s">
        <v>445</v>
      </c>
      <c r="C97" s="381">
        <f ca="1">C90-C91</f>
        <v>301459</v>
      </c>
      <c r="D97" s="374" t="s">
        <v>19</v>
      </c>
      <c r="E97" s="987"/>
      <c r="F97" s="986"/>
      <c r="G97" s="986"/>
      <c r="H97" s="390"/>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1829</v>
      </c>
      <c r="B98" s="378" t="s">
        <v>446</v>
      </c>
      <c r="C98" s="403">
        <f ca="1">IF(C97&lt;=0,0,C97/C91)</f>
        <v>68.575750682438581</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4" t="s">
        <v>1830</v>
      </c>
      <c r="B99" s="383" t="s">
        <v>447</v>
      </c>
      <c r="C99" s="404">
        <f ca="1">ROUND(IF(C97&lt;=0,0,IF(C98&gt;=200%,C97*60%-C91*35%,IF(C98&gt;=100%,C97*50%-C91*15%,IF(C98&gt;=50%,C97*40%-C91*5%,IF(C98&lt;50%,C97*30%,0))))),0)</f>
        <v>179337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493" t="s">
        <v>448</v>
      </c>
      <c r="B101" s="3494"/>
      <c r="C101" s="3494"/>
      <c r="D101" s="3494"/>
      <c r="E101" s="3494"/>
      <c r="F101" s="3494"/>
      <c r="G101" s="3494"/>
      <c r="H101" s="3494"/>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457" t="s">
        <v>422</v>
      </c>
      <c r="B102" s="3458"/>
      <c r="C102" s="990"/>
      <c r="D102" s="990" t="s">
        <v>423</v>
      </c>
      <c r="E102" s="387" t="s">
        <v>432</v>
      </c>
      <c r="F102" s="388"/>
      <c r="G102" s="388"/>
      <c r="H102" s="409"/>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7" t="s">
        <v>1816</v>
      </c>
      <c r="B103" s="378" t="s">
        <v>433</v>
      </c>
      <c r="C103" s="381">
        <f ca="1">ROUND(D63/(1+'数据-取费表'!C42),0)</f>
        <v>305855</v>
      </c>
      <c r="D103" s="374" t="s">
        <v>19</v>
      </c>
      <c r="E103" s="987"/>
      <c r="F103" s="986"/>
      <c r="G103" s="986"/>
      <c r="H103" s="410"/>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7" t="s">
        <v>1822</v>
      </c>
      <c r="B104" s="344" t="s">
        <v>434</v>
      </c>
      <c r="C104" s="381">
        <f ca="1">IF(H106="仅含出让金",C105+C108+C109+C110+C111+C112,C105+C109+C110+C111+C112)</f>
        <v>2525</v>
      </c>
      <c r="D104" s="411"/>
      <c r="E104" s="987"/>
      <c r="F104" s="986"/>
      <c r="G104" s="986"/>
      <c r="H104" s="410"/>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1" t="s">
        <v>1823</v>
      </c>
      <c r="B105" s="372" t="s">
        <v>449</v>
      </c>
      <c r="C105" s="401">
        <f>C106+C107</f>
        <v>572</v>
      </c>
      <c r="D105" s="402"/>
      <c r="E105" s="981"/>
      <c r="F105" s="982"/>
      <c r="G105" s="982"/>
      <c r="H105" s="983"/>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1" t="s">
        <v>1824</v>
      </c>
      <c r="B106" s="372" t="s">
        <v>450</v>
      </c>
      <c r="C106" s="412">
        <v>555</v>
      </c>
      <c r="D106" s="402"/>
      <c r="E106" s="413" t="s">
        <v>451</v>
      </c>
      <c r="F106" s="982"/>
      <c r="G106" s="414" t="s">
        <v>452</v>
      </c>
      <c r="H106" s="415" t="s">
        <v>2434</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1" t="s">
        <v>1825</v>
      </c>
      <c r="B107" s="372" t="s">
        <v>442</v>
      </c>
      <c r="C107" s="401">
        <f>ROUND(C106*D107,0)</f>
        <v>17</v>
      </c>
      <c r="D107" s="402">
        <f>'数据-取费表'!B48+'数据-取费表'!B49</f>
        <v>3.0499999999999999E-2</v>
      </c>
      <c r="E107" s="413" t="s">
        <v>453</v>
      </c>
      <c r="F107" s="982"/>
      <c r="G107" s="982"/>
      <c r="H107" s="983"/>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1" t="s">
        <v>1827</v>
      </c>
      <c r="B108" s="372" t="s">
        <v>454</v>
      </c>
      <c r="C108" s="412"/>
      <c r="D108" s="402"/>
      <c r="E108" s="413" t="str">
        <f>IF(H106="-","土地取得成本中已包含该笔费用"," ")</f>
        <v xml:space="preserve"> </v>
      </c>
      <c r="F108" s="982"/>
      <c r="G108" s="982"/>
      <c r="H108" s="983"/>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1831</v>
      </c>
      <c r="B109" s="372" t="s">
        <v>455</v>
      </c>
      <c r="C109" s="401">
        <f>IF(H109="——",IF(F1="现房",'剩余法-现房'!C18,'剩余法-待开发'!C18),I109)</f>
        <v>55</v>
      </c>
      <c r="D109" s="402"/>
      <c r="E109" s="3483" t="s">
        <v>456</v>
      </c>
      <c r="F109" s="3481"/>
      <c r="G109" s="3481"/>
      <c r="H109" s="1938" t="s">
        <v>2274</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1832</v>
      </c>
      <c r="B110" s="372" t="s">
        <v>457</v>
      </c>
      <c r="C110" s="401">
        <f>ROUND((C105+C108+C109)*D110,0)</f>
        <v>63</v>
      </c>
      <c r="D110" s="402">
        <v>0.1</v>
      </c>
      <c r="E110" s="3483" t="s">
        <v>458</v>
      </c>
      <c r="F110" s="3481"/>
      <c r="G110" s="3481"/>
      <c r="H110" s="3482"/>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1833</v>
      </c>
      <c r="B111" s="372" t="s">
        <v>444</v>
      </c>
      <c r="C111" s="401">
        <f ca="1">ROUND(D63*D111/(1+'数据-取费表'!C42),0)</f>
        <v>1835</v>
      </c>
      <c r="D111" s="402">
        <f>'数据-取费表'!B43</f>
        <v>6.000000000000001E-3</v>
      </c>
      <c r="E111" s="3480" t="s">
        <v>2423</v>
      </c>
      <c r="F111" s="3481"/>
      <c r="G111" s="3481"/>
      <c r="H111" s="3482"/>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1834</v>
      </c>
      <c r="B112" s="372" t="s">
        <v>459</v>
      </c>
      <c r="C112" s="401">
        <f>ROUND(C108*D112,0)</f>
        <v>0</v>
      </c>
      <c r="D112" s="402">
        <v>0.2</v>
      </c>
      <c r="E112" s="3483" t="s">
        <v>2448</v>
      </c>
      <c r="F112" s="3481"/>
      <c r="G112" s="3481"/>
      <c r="H112" s="3482"/>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3" t="s">
        <v>1828</v>
      </c>
      <c r="B113" s="378" t="s">
        <v>445</v>
      </c>
      <c r="C113" s="381">
        <f ca="1">ROUND(C103-C104,0)</f>
        <v>303330</v>
      </c>
      <c r="D113" s="374" t="s">
        <v>19</v>
      </c>
      <c r="E113" s="987"/>
      <c r="F113" s="986"/>
      <c r="G113" s="986"/>
      <c r="H113" s="410"/>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1829</v>
      </c>
      <c r="B114" s="378" t="s">
        <v>446</v>
      </c>
      <c r="C114" s="403">
        <f ca="1">IF(C113&lt;=0,0,C113/C104)</f>
        <v>120.13069306930693</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4" t="s">
        <v>1830</v>
      </c>
      <c r="B115" s="383" t="s">
        <v>447</v>
      </c>
      <c r="C115" s="404">
        <f ca="1">ROUND(IF(C113&lt;=0,0,IF(C114&gt;=200%,C113*60%-C104*35%,IF(C114&gt;=100%,C113*50%-C104*15%,IF(C114&gt;=50%,C113*40%-C104*5%,IF(C114&lt;50%,C113*30%,0))))),0)</f>
        <v>181114</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108">
    <cfRule type="expression" dxfId="198" priority="3" stopIfTrue="1">
      <formula>$H$106&lt;&gt;"仅含出让金"</formula>
    </cfRule>
  </conditionalFormatting>
  <conditionalFormatting sqref="C109">
    <cfRule type="expression" dxfId="197" priority="2" stopIfTrue="1">
      <formula>$H$109="由企业提供"</formula>
    </cfRule>
  </conditionalFormatting>
  <conditionalFormatting sqref="I33">
    <cfRule type="expression" dxfId="19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1894</v>
      </c>
      <c r="B36" s="1650" t="s">
        <v>1895</v>
      </c>
    </row>
    <row r="37" spans="1:9" ht="28.5" customHeight="1">
      <c r="A37" s="1650"/>
      <c r="B37" s="3311" t="str">
        <f>项目基本情况!B1</f>
        <v>北京市出让国有建设用地使用权市场价格预评估</v>
      </c>
      <c r="C37" s="3311"/>
      <c r="D37" s="3311"/>
      <c r="E37" s="3311"/>
      <c r="F37" s="3311"/>
      <c r="G37" s="3311"/>
      <c r="H37" s="3311"/>
      <c r="I37" s="3311"/>
    </row>
    <row r="38" spans="1:9">
      <c r="A38" s="1652"/>
      <c r="B38" s="1652"/>
    </row>
    <row r="39" spans="1:9">
      <c r="A39" s="1650" t="s">
        <v>1894</v>
      </c>
      <c r="B39" s="1650" t="s">
        <v>2041</v>
      </c>
    </row>
    <row r="40" spans="1:9">
      <c r="A40" s="1650"/>
      <c r="B40" s="1650">
        <f>项目基本情况!B5</f>
        <v>0</v>
      </c>
    </row>
    <row r="41" spans="1:9">
      <c r="A41" s="1650"/>
      <c r="B41" s="1650"/>
    </row>
    <row r="42" spans="1:9">
      <c r="A42" s="1650" t="s">
        <v>1894</v>
      </c>
      <c r="B42" s="1650" t="s">
        <v>2042</v>
      </c>
    </row>
    <row r="43" spans="1:9">
      <c r="A43" s="1650"/>
      <c r="B43" s="1650" t="s">
        <v>1896</v>
      </c>
    </row>
    <row r="44" spans="1:9">
      <c r="A44" s="1650"/>
      <c r="B44" s="1650"/>
    </row>
    <row r="45" spans="1:9">
      <c r="A45" s="1650" t="s">
        <v>1894</v>
      </c>
      <c r="B45" s="1650" t="s">
        <v>2040</v>
      </c>
    </row>
    <row r="46" spans="1:9" s="1650" customFormat="1" ht="12.75">
      <c r="B46" s="1650" t="str">
        <f>项目基本情况!K4</f>
        <v>叶凌、杨红英</v>
      </c>
    </row>
    <row r="47" spans="1:9">
      <c r="A47" s="1650"/>
      <c r="B47" s="1650"/>
    </row>
    <row r="48" spans="1:9">
      <c r="A48" s="1650" t="s">
        <v>1894</v>
      </c>
      <c r="B48" s="1650" t="s">
        <v>2043</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90" zoomScaleNormal="90" workbookViewId="0">
      <selection activeCell="F14" sqref="F14"/>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1687</v>
      </c>
      <c r="B1" s="1396"/>
      <c r="C1" s="1402" t="s">
        <v>986</v>
      </c>
      <c r="D1" s="1517">
        <f>SUM(D29:D30,D33:D39)</f>
        <v>433886</v>
      </c>
      <c r="E1" s="1402" t="s">
        <v>2422</v>
      </c>
      <c r="F1" s="2449">
        <f>'数据-汇总表'!D19</f>
        <v>111871.42</v>
      </c>
      <c r="G1" s="1397"/>
      <c r="H1" s="1397"/>
      <c r="I1" s="1397"/>
      <c r="J1" s="1397"/>
      <c r="K1" s="1397"/>
      <c r="L1" s="1879" t="s">
        <v>2233</v>
      </c>
      <c r="M1" s="1880">
        <f>SUMPRODUCT((区片价!B5:B9=I2)*(区片价!C3:F3=E2)*(区片价!C5:F9))</f>
        <v>0</v>
      </c>
      <c r="N1" s="1881">
        <f>SUMPRODUCT((因素修正幅度!B5:B9=I2)*(因素修正幅度!C3:F3=E2)*(因素修正幅度!C5:F9))</f>
        <v>0</v>
      </c>
      <c r="O1" s="2186"/>
      <c r="P1" s="2186"/>
      <c r="Q1" s="2186"/>
      <c r="R1" s="2933" t="s">
        <v>2757</v>
      </c>
      <c r="S1" s="2933" t="s">
        <v>1630</v>
      </c>
      <c r="T1" s="2933" t="s">
        <v>2779</v>
      </c>
      <c r="U1" s="2933" t="s">
        <v>2780</v>
      </c>
      <c r="V1" s="2933" t="s">
        <v>987</v>
      </c>
      <c r="W1" s="2186"/>
      <c r="X1" s="2186"/>
      <c r="Y1" s="2186"/>
      <c r="Z1" s="2186"/>
      <c r="AA1" s="2186"/>
      <c r="AB1" s="2186"/>
      <c r="AC1" s="2187"/>
    </row>
    <row r="2" spans="1:39" ht="15.75">
      <c r="A2" s="1402" t="s">
        <v>914</v>
      </c>
      <c r="B2" s="1034">
        <f ca="1">C26</f>
        <v>349408</v>
      </c>
      <c r="C2" s="1403" t="s">
        <v>915</v>
      </c>
      <c r="D2" s="1404" t="s">
        <v>916</v>
      </c>
      <c r="E2" s="1405" t="s">
        <v>917</v>
      </c>
      <c r="F2" s="1404" t="s">
        <v>918</v>
      </c>
      <c r="G2" s="1648" t="str">
        <f>IF(E2="商业",项目基本情况!B43,IF(E2="办公",项目基本情况!C43,IF(E2="住宅",项目基本情况!D43,项目基本情况!E43)))</f>
        <v>九级</v>
      </c>
      <c r="H2" s="1404" t="s">
        <v>920</v>
      </c>
      <c r="I2" s="1649" t="str">
        <f>IF(E2="商业",项目基本情况!B44,IF(E2="办公",项目基本情况!C44,IF(E2="住宅",项目基本情况!D44,项目基本情况!E44)))</f>
        <v>Ⅸ-01</v>
      </c>
      <c r="J2" s="1406"/>
      <c r="K2" s="1397"/>
      <c r="L2" s="1882" t="s">
        <v>2234</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1.9419999999999999</v>
      </c>
      <c r="T2" s="2934">
        <f ca="1">ROUND($C$5*$C$18*$C$19*$C$20*S2*$C$24,0)</f>
        <v>18077</v>
      </c>
      <c r="U2" s="2923"/>
      <c r="V2" s="2934">
        <f ca="1">ROUND(T2*U2/10000,0)</f>
        <v>0</v>
      </c>
      <c r="W2" s="2186"/>
      <c r="X2" s="2186"/>
      <c r="Y2" s="2186"/>
      <c r="Z2" s="2186"/>
      <c r="AA2" s="2186"/>
      <c r="AB2" s="2186"/>
      <c r="AC2" s="2187"/>
    </row>
    <row r="3" spans="1:39" ht="24">
      <c r="A3" s="1407" t="s">
        <v>1680</v>
      </c>
      <c r="B3" s="1034">
        <f ca="1">ROUND(B2*10000/D1,0)</f>
        <v>8053</v>
      </c>
      <c r="C3" s="1403" t="s">
        <v>921</v>
      </c>
      <c r="D3" s="1404" t="s">
        <v>922</v>
      </c>
      <c r="E3" s="1408" t="s">
        <v>2999</v>
      </c>
      <c r="F3" s="1409" t="s">
        <v>3076</v>
      </c>
      <c r="G3" s="1035">
        <f>IF(F3="宗地容积率",'数据-汇总表'!I4,IF(F3="估价对象容积率",'数据-汇总表'!I6,'数据-汇总表'!I7))</f>
        <v>2.5</v>
      </c>
      <c r="H3" s="1410" t="s">
        <v>923</v>
      </c>
      <c r="I3" s="1036">
        <v>0</v>
      </c>
      <c r="J3" s="1406" t="s">
        <v>924</v>
      </c>
      <c r="K3" s="1397"/>
      <c r="L3" s="1882" t="s">
        <v>2235</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1.2799</v>
      </c>
      <c r="T3" s="2934">
        <f t="shared" ref="T3:T16" ca="1" si="0">ROUND($C$5*$C$18*$C$19*$C$20*S3*$C$24,0)</f>
        <v>11914</v>
      </c>
      <c r="U3" s="2923"/>
      <c r="V3" s="2934">
        <f t="shared" ref="V3:V16" ca="1" si="1">ROUND(T3*U3/10000,0)</f>
        <v>0</v>
      </c>
      <c r="W3" s="2186"/>
      <c r="X3" s="2186"/>
      <c r="Y3" s="2186"/>
      <c r="Z3" s="2186"/>
      <c r="AA3" s="2186"/>
      <c r="AB3" s="2186"/>
      <c r="AC3" s="2187"/>
    </row>
    <row r="4" spans="1:39" ht="28.5">
      <c r="A4" s="1888" t="s">
        <v>2275</v>
      </c>
      <c r="B4" s="2450">
        <f ca="1">ROUND(B2*10000/F1,0)</f>
        <v>31233</v>
      </c>
      <c r="C4" s="1891" t="s">
        <v>2249</v>
      </c>
      <c r="D4" s="1891">
        <f ca="1">ROUND(B2/(F1/666.67),0)</f>
        <v>2082</v>
      </c>
      <c r="E4" s="1891" t="s">
        <v>2250</v>
      </c>
      <c r="F4" s="1889"/>
      <c r="G4" s="1889"/>
      <c r="H4" s="1889"/>
      <c r="I4" s="1889"/>
      <c r="J4" s="1890"/>
      <c r="K4" s="1397"/>
      <c r="L4" s="1882" t="s">
        <v>2236</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1.0072000000000001</v>
      </c>
      <c r="T4" s="2934">
        <f t="shared" ca="1" si="0"/>
        <v>9376</v>
      </c>
      <c r="U4" s="2923"/>
      <c r="V4" s="2934">
        <f t="shared" ca="1" si="1"/>
        <v>0</v>
      </c>
      <c r="W4" s="2186"/>
      <c r="X4" s="2186"/>
      <c r="Y4" s="2186"/>
      <c r="Z4" s="2186"/>
      <c r="AA4" s="2186"/>
      <c r="AB4" s="2186"/>
      <c r="AC4" s="2187"/>
    </row>
    <row r="5" spans="1:39" s="1417" customFormat="1" ht="15.75" thickBot="1">
      <c r="A5" s="1634" t="s">
        <v>1816</v>
      </c>
      <c r="B5" s="1411" t="s">
        <v>925</v>
      </c>
      <c r="C5" s="1037">
        <f>ROUND(IF(E2="商业",IF(F16="增加",C6*C7+C16,C6*C7-C16),IF(E2="住宅",IF(F16="增加",C6*C12+C16,C6*C12-C16),IF(F16="增加",C6+C16,C6-C16))),0)</f>
        <v>5511</v>
      </c>
      <c r="D5" s="3115">
        <f>ROUND(IF(E2="商业",IF(F16="增加",C6+C16,C6-C16)),0)</f>
        <v>0</v>
      </c>
      <c r="E5" s="1412"/>
      <c r="F5" s="1412"/>
      <c r="G5" s="1413"/>
      <c r="H5" s="1413"/>
      <c r="I5" s="1413"/>
      <c r="J5" s="1414"/>
      <c r="K5" s="1590"/>
      <c r="L5" s="1882" t="s">
        <v>2237</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0.75249999999999995</v>
      </c>
      <c r="T5" s="2934">
        <f t="shared" ca="1" si="0"/>
        <v>7005</v>
      </c>
      <c r="U5" s="2923"/>
      <c r="V5" s="2934">
        <f t="shared" ca="1" si="1"/>
        <v>0</v>
      </c>
      <c r="W5" s="2186"/>
      <c r="X5" s="2186"/>
      <c r="Y5" s="2186"/>
      <c r="Z5" s="2186"/>
      <c r="AA5" s="2186"/>
      <c r="AB5" s="2186"/>
      <c r="AC5" s="2188"/>
      <c r="AD5" s="1415"/>
      <c r="AE5" s="1415"/>
      <c r="AF5" s="1415"/>
      <c r="AG5" s="1415"/>
      <c r="AH5" s="1415"/>
      <c r="AI5" s="1415"/>
      <c r="AJ5" s="1416"/>
      <c r="AK5" s="1416"/>
      <c r="AL5" s="1416"/>
      <c r="AM5" s="1416"/>
    </row>
    <row r="6" spans="1:39" ht="15.75" thickBot="1">
      <c r="A6" s="1635" t="s">
        <v>1863</v>
      </c>
      <c r="B6" s="1418" t="s">
        <v>925</v>
      </c>
      <c r="C6" s="1038">
        <f>SUMIF(L1:L12,'基准地价-住宅'!G2,M1:M12)</f>
        <v>4160</v>
      </c>
      <c r="D6" s="1419" t="s">
        <v>1688</v>
      </c>
      <c r="E6" s="1420"/>
      <c r="F6" s="1420"/>
      <c r="G6" s="1421"/>
      <c r="H6" s="1421"/>
      <c r="I6" s="1421"/>
      <c r="J6" s="1422"/>
      <c r="K6" s="1591"/>
      <c r="L6" s="1882" t="s">
        <v>2238</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0.56589999999999996</v>
      </c>
      <c r="T6" s="2934">
        <f t="shared" ca="1" si="0"/>
        <v>5268</v>
      </c>
      <c r="U6" s="2923"/>
      <c r="V6" s="2934">
        <f t="shared" ca="1" si="1"/>
        <v>0</v>
      </c>
      <c r="W6" s="2186"/>
      <c r="X6" s="2186"/>
      <c r="Y6" s="2186"/>
      <c r="Z6" s="2186"/>
      <c r="AA6" s="2186"/>
      <c r="AB6" s="2186"/>
      <c r="AC6" s="2188"/>
      <c r="AD6" s="1415"/>
      <c r="AE6" s="1415"/>
      <c r="AF6" s="1415"/>
      <c r="AG6" s="1415"/>
      <c r="AH6" s="1415"/>
      <c r="AI6" s="1415"/>
      <c r="AJ6" s="1416"/>
    </row>
    <row r="7" spans="1:39" ht="24">
      <c r="A7" s="3516" t="str">
        <f>IF(E2="商业",IF(C8="不临58条商业街","",2),"")</f>
        <v/>
      </c>
      <c r="B7" s="1423" t="s">
        <v>926</v>
      </c>
      <c r="C7" s="1039">
        <f>IF(C8="不临58条商业街",1,ROUND(1+(1.6*E8+1.2*E9+0.8*E10+0.4*E11)*C9,4))</f>
        <v>1</v>
      </c>
      <c r="D7" s="1424" t="s">
        <v>927</v>
      </c>
      <c r="E7" s="1040">
        <v>6</v>
      </c>
      <c r="F7" s="1425"/>
      <c r="G7" s="1426"/>
      <c r="H7" s="1426"/>
      <c r="I7" s="1426"/>
      <c r="J7" s="1427"/>
      <c r="K7" s="1591"/>
      <c r="L7" s="1882" t="s">
        <v>2239</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0.45250000000000001</v>
      </c>
      <c r="T7" s="2934">
        <f t="shared" ca="1" si="0"/>
        <v>4212</v>
      </c>
      <c r="U7" s="2923"/>
      <c r="V7" s="2934">
        <f t="shared" ca="1" si="1"/>
        <v>0</v>
      </c>
      <c r="W7" s="3179" t="s">
        <v>2760</v>
      </c>
      <c r="X7" s="2924" t="str">
        <f>G2</f>
        <v>九级</v>
      </c>
      <c r="Y7" s="2924" t="s">
        <v>2761</v>
      </c>
      <c r="Z7" s="2925">
        <f>G3</f>
        <v>2.5</v>
      </c>
      <c r="AA7" s="2189"/>
      <c r="AB7" s="2189"/>
      <c r="AC7" s="2190"/>
      <c r="AD7" s="2926"/>
      <c r="AE7" s="2926"/>
      <c r="AF7" s="2926"/>
      <c r="AG7" s="2926"/>
      <c r="AH7" s="2926"/>
      <c r="AI7" s="2926"/>
      <c r="AJ7" s="2927"/>
    </row>
    <row r="8" spans="1:39" ht="25.5">
      <c r="A8" s="3517"/>
      <c r="B8" s="1410" t="s">
        <v>928</v>
      </c>
      <c r="C8" s="1525" t="s">
        <v>2997</v>
      </c>
      <c r="D8" s="1041" t="s">
        <v>929</v>
      </c>
      <c r="E8" s="1042">
        <f>ROUND(C11/E7,4)</f>
        <v>0</v>
      </c>
      <c r="F8" s="1428" t="s">
        <v>930</v>
      </c>
      <c r="G8" s="1429"/>
      <c r="H8" s="1429"/>
      <c r="I8" s="1429"/>
      <c r="J8" s="1430"/>
      <c r="K8" s="1397"/>
      <c r="L8" s="1882" t="s">
        <v>2240</v>
      </c>
      <c r="M8" s="1883">
        <f>SUMPRODUCT((区片价!B206:B244=I2)*(区片价!C3:F3=E2)*(区片价!C206:F244))</f>
        <v>0</v>
      </c>
      <c r="N8" s="1884">
        <f>SUMPRODUCT((因素修正幅度!B206:B244=I2)*(因素修正幅度!C3:F3=E2)*(因素修正幅度!C206:F244))</f>
        <v>0</v>
      </c>
      <c r="O8" s="2186"/>
      <c r="P8" s="2186"/>
      <c r="Q8" s="2186"/>
      <c r="R8" s="2934">
        <v>7</v>
      </c>
      <c r="S8" s="2923"/>
      <c r="T8" s="2934">
        <f t="shared" ca="1" si="0"/>
        <v>0</v>
      </c>
      <c r="U8" s="2923"/>
      <c r="V8" s="2934">
        <f t="shared" ca="1" si="1"/>
        <v>0</v>
      </c>
      <c r="W8" s="3518" t="s">
        <v>2778</v>
      </c>
      <c r="X8" s="3519"/>
      <c r="Y8" s="1846" t="s">
        <v>2762</v>
      </c>
      <c r="Z8" s="1846" t="s">
        <v>2763</v>
      </c>
      <c r="AA8" s="1846" t="s">
        <v>2764</v>
      </c>
      <c r="AB8" s="1846" t="s">
        <v>2765</v>
      </c>
      <c r="AC8" s="1846" t="s">
        <v>2766</v>
      </c>
      <c r="AD8" s="1846" t="s">
        <v>2767</v>
      </c>
      <c r="AE8" s="1846" t="s">
        <v>2768</v>
      </c>
      <c r="AF8" s="1846" t="s">
        <v>2769</v>
      </c>
      <c r="AG8" s="1846" t="s">
        <v>2770</v>
      </c>
      <c r="AH8" s="1846" t="s">
        <v>2771</v>
      </c>
      <c r="AI8" s="1846" t="s">
        <v>2772</v>
      </c>
      <c r="AJ8" s="1846" t="s">
        <v>2773</v>
      </c>
    </row>
    <row r="9" spans="1:39" ht="15">
      <c r="A9" s="3517"/>
      <c r="B9" s="1410" t="s">
        <v>931</v>
      </c>
      <c r="C9" s="1043">
        <f>SUMIF(修正!C59:C119,C8,修正!E59:E119)</f>
        <v>0</v>
      </c>
      <c r="D9" s="1044" t="s">
        <v>932</v>
      </c>
      <c r="E9" s="1044">
        <f>ROUND(C11/E7,4)</f>
        <v>0</v>
      </c>
      <c r="F9" s="1428" t="s">
        <v>933</v>
      </c>
      <c r="G9" s="1429"/>
      <c r="H9" s="1429"/>
      <c r="I9" s="1429"/>
      <c r="J9" s="1430"/>
      <c r="K9" s="1397"/>
      <c r="L9" s="1882" t="s">
        <v>2241</v>
      </c>
      <c r="M9" s="1883">
        <f>SUMPRODUCT((区片价!B245:B289=I2)*(区片价!C3:F3=E2)*(区片价!C245:F289))</f>
        <v>4160</v>
      </c>
      <c r="N9" s="1884">
        <f>SUMPRODUCT((因素修正幅度!B245:B289=I2)*(因素修正幅度!C3:F3=E2)*(因素修正幅度!C245:F289))</f>
        <v>0.15</v>
      </c>
      <c r="O9" s="2186"/>
      <c r="P9" s="2186"/>
      <c r="Q9" s="2186"/>
      <c r="R9" s="2934">
        <v>8</v>
      </c>
      <c r="S9" s="2923"/>
      <c r="T9" s="2934">
        <f t="shared" ca="1" si="0"/>
        <v>0</v>
      </c>
      <c r="U9" s="2923"/>
      <c r="V9" s="2934">
        <f t="shared" ca="1" si="1"/>
        <v>0</v>
      </c>
      <c r="W9" s="3520" t="s">
        <v>2774</v>
      </c>
      <c r="X9" s="2928" t="s">
        <v>2775</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17"/>
      <c r="B10" s="1410" t="s">
        <v>934</v>
      </c>
      <c r="C10" s="1044">
        <f>SUMIF(修正!C59:C119,C8,修正!F59:F119)</f>
        <v>0</v>
      </c>
      <c r="D10" s="1044" t="s">
        <v>935</v>
      </c>
      <c r="E10" s="1044">
        <f>ROUND(C11/E7,4)</f>
        <v>0</v>
      </c>
      <c r="F10" s="1428" t="s">
        <v>936</v>
      </c>
      <c r="G10" s="1429"/>
      <c r="H10" s="1429"/>
      <c r="I10" s="1429"/>
      <c r="J10" s="1430"/>
      <c r="K10" s="1397"/>
      <c r="L10" s="1882" t="s">
        <v>2242</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f t="shared" ca="1" si="0"/>
        <v>0</v>
      </c>
      <c r="U10" s="2923"/>
      <c r="V10" s="2934">
        <f t="shared" ca="1" si="1"/>
        <v>0</v>
      </c>
      <c r="W10" s="3520"/>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thickBot="1">
      <c r="A11" s="3517"/>
      <c r="B11" s="1431" t="s">
        <v>937</v>
      </c>
      <c r="C11" s="1045">
        <f>C10/4</f>
        <v>0</v>
      </c>
      <c r="D11" s="1045" t="s">
        <v>938</v>
      </c>
      <c r="E11" s="1045">
        <f>ROUND(C11/E7,4)</f>
        <v>0</v>
      </c>
      <c r="F11" s="1432" t="s">
        <v>939</v>
      </c>
      <c r="G11" s="1433"/>
      <c r="H11" s="1433"/>
      <c r="I11" s="1433"/>
      <c r="J11" s="1434"/>
      <c r="K11" s="1397"/>
      <c r="L11" s="1882" t="s">
        <v>2243</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f t="shared" ca="1" si="0"/>
        <v>0</v>
      </c>
      <c r="U11" s="2923"/>
      <c r="V11" s="2934">
        <f t="shared" ca="1" si="1"/>
        <v>0</v>
      </c>
      <c r="W11" s="3520" t="s">
        <v>2776</v>
      </c>
      <c r="X11" s="1044" t="s">
        <v>2761</v>
      </c>
      <c r="Y11" s="1649">
        <f>$G$3</f>
        <v>2.5</v>
      </c>
      <c r="Z11" s="1649">
        <f t="shared" ref="Z11:AJ11" si="3">$G$3</f>
        <v>2.5</v>
      </c>
      <c r="AA11" s="1649">
        <f t="shared" si="3"/>
        <v>2.5</v>
      </c>
      <c r="AB11" s="1649">
        <f t="shared" si="3"/>
        <v>2.5</v>
      </c>
      <c r="AC11" s="1649">
        <f t="shared" si="3"/>
        <v>2.5</v>
      </c>
      <c r="AD11" s="1649">
        <f t="shared" si="3"/>
        <v>2.5</v>
      </c>
      <c r="AE11" s="1649">
        <f t="shared" si="3"/>
        <v>2.5</v>
      </c>
      <c r="AF11" s="1649">
        <f t="shared" si="3"/>
        <v>2.5</v>
      </c>
      <c r="AG11" s="1649">
        <f t="shared" si="3"/>
        <v>2.5</v>
      </c>
      <c r="AH11" s="1649">
        <f t="shared" si="3"/>
        <v>2.5</v>
      </c>
      <c r="AI11" s="1649">
        <f t="shared" si="3"/>
        <v>2.5</v>
      </c>
      <c r="AJ11" s="1649">
        <f t="shared" si="3"/>
        <v>2.5</v>
      </c>
    </row>
    <row r="12" spans="1:39" ht="25.5" thickBot="1">
      <c r="A12" s="3516" t="s">
        <v>1864</v>
      </c>
      <c r="B12" s="1435" t="s">
        <v>940</v>
      </c>
      <c r="C12" s="1039">
        <f>ROUND(C15*D15*E15*F15*G15*H15*I15*J15,4)</f>
        <v>1.32</v>
      </c>
      <c r="D12" s="1436" t="s">
        <v>941</v>
      </c>
      <c r="E12" s="1437"/>
      <c r="F12" s="1437"/>
      <c r="G12" s="1438"/>
      <c r="H12" s="1438"/>
      <c r="I12" s="1438"/>
      <c r="J12" s="1439"/>
      <c r="K12" s="1397"/>
      <c r="L12" s="1885" t="s">
        <v>2244</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f t="shared" ca="1" si="0"/>
        <v>0</v>
      </c>
      <c r="U12" s="2923"/>
      <c r="V12" s="2934">
        <f t="shared" ca="1" si="1"/>
        <v>0</v>
      </c>
      <c r="W12" s="3520"/>
      <c r="X12" s="2931" t="s">
        <v>2777</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21"/>
      <c r="B13" s="1440" t="s">
        <v>1689</v>
      </c>
      <c r="C13" s="1441" t="s">
        <v>1690</v>
      </c>
      <c r="D13" s="1085" t="s">
        <v>1691</v>
      </c>
      <c r="E13" s="1085" t="s">
        <v>1692</v>
      </c>
      <c r="F13" s="1442" t="s">
        <v>942</v>
      </c>
      <c r="G13" s="1443" t="s">
        <v>1637</v>
      </c>
      <c r="H13" s="1444" t="s">
        <v>1637</v>
      </c>
      <c r="I13" s="1445" t="s">
        <v>1637</v>
      </c>
      <c r="J13" s="1446" t="s">
        <v>1637</v>
      </c>
      <c r="K13" s="1397"/>
      <c r="L13" s="2186"/>
      <c r="M13" s="2186"/>
      <c r="N13" s="2186"/>
      <c r="O13" s="2186"/>
      <c r="P13" s="2186"/>
      <c r="Q13" s="2186"/>
      <c r="R13" s="2934">
        <v>12</v>
      </c>
      <c r="S13" s="2923"/>
      <c r="T13" s="2934">
        <f t="shared" ca="1" si="0"/>
        <v>0</v>
      </c>
      <c r="U13" s="2923"/>
      <c r="V13" s="2934">
        <f t="shared" ca="1" si="1"/>
        <v>0</v>
      </c>
      <c r="W13" s="3520"/>
      <c r="X13" s="2931"/>
      <c r="Y13" s="2930">
        <f>(-0.163*(Y12^2)-0.59*Y12+7617)*(10^(-4))/Y11</f>
        <v>0.30468000000000001</v>
      </c>
      <c r="Z13" s="2930">
        <f t="shared" ref="Z13:AJ13" si="5">(-0.163*(Z12^2)-0.59*Z12+7617)*(10^(-4))/Z11</f>
        <v>0.30468000000000001</v>
      </c>
      <c r="AA13" s="2930">
        <f t="shared" si="5"/>
        <v>0.30468000000000001</v>
      </c>
      <c r="AB13" s="2930">
        <f t="shared" si="5"/>
        <v>0.30468000000000001</v>
      </c>
      <c r="AC13" s="2930">
        <f t="shared" si="5"/>
        <v>0.30468000000000001</v>
      </c>
      <c r="AD13" s="2930">
        <f t="shared" si="5"/>
        <v>0.30468000000000001</v>
      </c>
      <c r="AE13" s="2930">
        <f t="shared" si="5"/>
        <v>0.30468000000000001</v>
      </c>
      <c r="AF13" s="2930">
        <f t="shared" si="5"/>
        <v>0.30468000000000001</v>
      </c>
      <c r="AG13" s="2930">
        <f t="shared" si="5"/>
        <v>0.30468000000000001</v>
      </c>
      <c r="AH13" s="2930">
        <f t="shared" si="5"/>
        <v>0.30468000000000001</v>
      </c>
      <c r="AI13" s="2930">
        <f t="shared" si="5"/>
        <v>0.30468000000000001</v>
      </c>
      <c r="AJ13" s="2930">
        <f t="shared" si="5"/>
        <v>0.30468000000000001</v>
      </c>
    </row>
    <row r="14" spans="1:39" ht="12.75" customHeight="1" thickBot="1">
      <c r="A14" s="3521"/>
      <c r="B14" s="1447"/>
      <c r="C14" s="1448" t="s">
        <v>2998</v>
      </c>
      <c r="D14" s="1449" t="s">
        <v>3083</v>
      </c>
      <c r="E14" s="1449" t="s">
        <v>2998</v>
      </c>
      <c r="F14" s="3287" t="s">
        <v>3227</v>
      </c>
      <c r="G14" s="1451" t="s">
        <v>943</v>
      </c>
      <c r="H14" s="1452"/>
      <c r="I14" s="1453"/>
      <c r="J14" s="1454"/>
      <c r="K14" s="1397"/>
      <c r="L14" s="2186"/>
      <c r="M14" s="2186"/>
      <c r="N14" s="2186"/>
      <c r="O14" s="2186"/>
      <c r="P14" s="2186"/>
      <c r="Q14" s="2186"/>
      <c r="R14" s="2934">
        <v>13</v>
      </c>
      <c r="S14" s="2923"/>
      <c r="T14" s="2934">
        <f t="shared" ca="1" si="0"/>
        <v>0</v>
      </c>
      <c r="U14" s="2923"/>
      <c r="V14" s="2934">
        <f t="shared" ca="1" si="1"/>
        <v>0</v>
      </c>
      <c r="W14" s="2186"/>
      <c r="X14" s="2186"/>
      <c r="Y14" s="2186"/>
      <c r="Z14" s="2186"/>
      <c r="AA14" s="2186"/>
      <c r="AB14" s="2186"/>
      <c r="AC14" s="2187"/>
    </row>
    <row r="15" spans="1:39" ht="15.75" customHeight="1" thickBot="1">
      <c r="A15" s="3522"/>
      <c r="B15" s="1455" t="s">
        <v>1693</v>
      </c>
      <c r="C15" s="1047">
        <f>IF(C14="有",1.1,1)</f>
        <v>1</v>
      </c>
      <c r="D15" s="1047">
        <f>IF(D14="有",1.1,1)</f>
        <v>1.1000000000000001</v>
      </c>
      <c r="E15" s="1047">
        <f>IF(E14="有",1.1,1)</f>
        <v>1</v>
      </c>
      <c r="F15" s="1047">
        <f>IF(F14="500米范围内",1.2,IF(F14="500-1000米",1.1,1))</f>
        <v>1.2</v>
      </c>
      <c r="G15" s="1048">
        <v>1</v>
      </c>
      <c r="H15" s="1048">
        <v>1</v>
      </c>
      <c r="I15" s="1048">
        <v>1</v>
      </c>
      <c r="J15" s="1049">
        <v>1</v>
      </c>
      <c r="K15" s="1397"/>
      <c r="L15" s="1594" t="s">
        <v>892</v>
      </c>
      <c r="M15" s="1424" t="s">
        <v>970</v>
      </c>
      <c r="N15" s="1424" t="s">
        <v>973</v>
      </c>
      <c r="O15" s="1424" t="s">
        <v>896</v>
      </c>
      <c r="P15" s="1472" t="s">
        <v>980</v>
      </c>
      <c r="Q15" s="2186"/>
      <c r="R15" s="2934">
        <v>14</v>
      </c>
      <c r="S15" s="2923"/>
      <c r="T15" s="2934">
        <f t="shared" ca="1" si="0"/>
        <v>0</v>
      </c>
      <c r="U15" s="2923"/>
      <c r="V15" s="2934">
        <f t="shared" ca="1" si="1"/>
        <v>0</v>
      </c>
      <c r="W15" s="2186"/>
      <c r="X15" s="2186"/>
      <c r="Y15" s="2186"/>
      <c r="Z15" s="2186"/>
      <c r="AA15" s="2186"/>
      <c r="AB15" s="2186"/>
      <c r="AC15" s="2187"/>
    </row>
    <row r="16" spans="1:39" ht="24">
      <c r="A16" s="3516" t="s">
        <v>1831</v>
      </c>
      <c r="B16" s="1423" t="s">
        <v>944</v>
      </c>
      <c r="C16" s="3201">
        <f>ROUND((G17)/C17,0)</f>
        <v>20</v>
      </c>
      <c r="D16" s="1456" t="s">
        <v>945</v>
      </c>
      <c r="E16" s="3200" t="s">
        <v>3086</v>
      </c>
      <c r="F16" s="1458" t="s">
        <v>3015</v>
      </c>
      <c r="G16" s="1459" t="s">
        <v>3016</v>
      </c>
      <c r="H16" s="1459"/>
      <c r="I16" s="1459"/>
      <c r="J16" s="1459"/>
      <c r="K16" s="1397"/>
      <c r="L16" s="1460" t="s">
        <v>982</v>
      </c>
      <c r="M16" s="1043">
        <v>0.25</v>
      </c>
      <c r="N16" s="1043">
        <v>0.2</v>
      </c>
      <c r="O16" s="1043">
        <v>0.15</v>
      </c>
      <c r="P16" s="1535">
        <v>0.1</v>
      </c>
      <c r="Q16" s="2189"/>
      <c r="R16" s="2934">
        <v>15</v>
      </c>
      <c r="S16" s="2923"/>
      <c r="T16" s="2934">
        <f t="shared" ca="1" si="0"/>
        <v>0</v>
      </c>
      <c r="U16" s="2923"/>
      <c r="V16" s="2934">
        <f t="shared" ca="1" si="1"/>
        <v>0</v>
      </c>
      <c r="W16" s="2189"/>
      <c r="X16" s="2189"/>
      <c r="Y16" s="2189"/>
      <c r="Z16" s="2189"/>
      <c r="AA16" s="2189"/>
      <c r="AB16" s="2189"/>
      <c r="AC16" s="2190"/>
    </row>
    <row r="17" spans="1:40" ht="13.5" thickBot="1">
      <c r="A17" s="3517"/>
      <c r="B17" s="1461" t="s">
        <v>947</v>
      </c>
      <c r="C17" s="1051">
        <f>SUMPRODUCT((修正!A2:A5=E2)*(修正!B1:M1=G2)*(修正!B2:M5))</f>
        <v>1.5</v>
      </c>
      <c r="D17" s="1463" t="s">
        <v>948</v>
      </c>
      <c r="E17" s="1464" t="str">
        <f>IF(OR(G2="八级",G2="九级",G2="十级",G2="十一级",G2="十二级"),"五通一平","七通一平")</f>
        <v>五通一平</v>
      </c>
      <c r="F17" s="1462" t="s">
        <v>949</v>
      </c>
      <c r="G17" s="1051">
        <f>SUMPRODUCT((七通一平=G16)*(修正!B1:M1=G2)*(修正!B6:M14))</f>
        <v>30</v>
      </c>
      <c r="H17" s="1051">
        <f>SUMPRODUCT((七通一平=H16)*(修正!B1:M1=G2)*(修正!B6:M14))</f>
        <v>0</v>
      </c>
      <c r="I17" s="1051">
        <f>SUMPRODUCT((七通一平=I16)*(修正!B1:M1=G2)*(修正!B6:M14))</f>
        <v>0</v>
      </c>
      <c r="J17" s="1052">
        <f>SUMPRODUCT((七通一平=J16)*(修正!B1:M1=G2)*(修正!B6:M14))</f>
        <v>0</v>
      </c>
      <c r="K17" s="1397"/>
      <c r="L17" s="1465" t="s">
        <v>968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1819</v>
      </c>
      <c r="B18" s="2769" t="s">
        <v>950</v>
      </c>
      <c r="C18" s="2770">
        <f>SUMIF(修正!C18:C39,E3,修正!E18:E39)</f>
        <v>1</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1828</v>
      </c>
      <c r="B19" s="1466" t="s">
        <v>951</v>
      </c>
      <c r="C19" s="1053">
        <f>ROUND(IF(H19="按公示增长率计算",SUMPRODUCT((地价!A3:A24=YEAR(G19)&amp;"-"&amp;ROUNDUP(MONTH(G19)/3,0))*(地价!X2:AB2=E2)*(地价!X3:AB24)),IF(H19="地价指数",M20/M19,(1+I19)^O19)),4)</f>
        <v>1.605</v>
      </c>
      <c r="D19" s="1470" t="s">
        <v>952</v>
      </c>
      <c r="E19" s="1054">
        <v>41640</v>
      </c>
      <c r="F19" s="1470" t="s">
        <v>953</v>
      </c>
      <c r="G19" s="1055">
        <f>'数据-取费表'!B2</f>
        <v>43388</v>
      </c>
      <c r="H19" s="1471" t="s">
        <v>3009</v>
      </c>
      <c r="I19" s="2781" t="str">
        <f>IF(H19="季度增幅（自定义）",SUMIF(N21:N24,E2,O21:O24),"")</f>
        <v/>
      </c>
      <c r="J19" s="1467"/>
      <c r="K19" s="1477"/>
      <c r="L19" s="3034" t="s">
        <v>2836</v>
      </c>
      <c r="M19" s="3035">
        <f>ROUND(SUMIF(地价!B2:F2,E2,地价!B24:F24),0)</f>
        <v>423</v>
      </c>
      <c r="N19" s="2783" t="s">
        <v>1671</v>
      </c>
      <c r="O19" s="2782">
        <f>ROUNDDOWN(DATEDIF(E19,G19,"M")/3,0)</f>
        <v>19</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1821</v>
      </c>
      <c r="B20" s="2776" t="s">
        <v>966</v>
      </c>
      <c r="C20" s="2777">
        <f ca="1">ROUND(POWER(1+G20,J20-I20)*(POWER(1+G20,I20)-1)/(POWER(1+G20,J20)-1),4)</f>
        <v>1</v>
      </c>
      <c r="D20" s="2778" t="s">
        <v>967</v>
      </c>
      <c r="E20" s="3090">
        <f ca="1">存贷款利率!I4/100</f>
        <v>4.3499999999999997E-2</v>
      </c>
      <c r="F20" s="2778" t="s">
        <v>968</v>
      </c>
      <c r="G20" s="2779">
        <f ca="1">SUMIF(M15:P15,E2,M17:P17)</f>
        <v>0.05</v>
      </c>
      <c r="H20" s="2778" t="s">
        <v>969</v>
      </c>
      <c r="I20" s="2768">
        <f>SUMIF('数据-取费表'!C6:C15,E2,'数据-取费表'!F6:F15)/COUNTIF('数据-取费表'!C6:C15,E2)</f>
        <v>70</v>
      </c>
      <c r="J20" s="2780">
        <f>IF(E2="住宅",70,IF(E2="商业",40,50))</f>
        <v>70</v>
      </c>
      <c r="K20" s="1477"/>
      <c r="L20" s="3036" t="s">
        <v>2837</v>
      </c>
      <c r="M20" s="3037">
        <f>ROUND(SUMPRODUCT((地价!A4:A24=YEAR(G19)&amp;"-"&amp;ROUNDUP(MONTH(G19)/3,0))*(地价!B2:F2=E2)*(地价!B4:F24)),0)</f>
        <v>657</v>
      </c>
      <c r="N20" s="2786" t="s">
        <v>2640</v>
      </c>
      <c r="O20" s="2784" t="s">
        <v>2639</v>
      </c>
      <c r="P20" s="2785" t="s">
        <v>2645</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25">
      <c r="A21" s="1638" t="s">
        <v>1830</v>
      </c>
      <c r="B21" s="1476" t="s">
        <v>3000</v>
      </c>
      <c r="C21" s="1154">
        <f>IF(B21="容积率修正",IF(G3&lt;=10,D22,J22),C23)</f>
        <v>0.86509999999999998</v>
      </c>
      <c r="D21" s="1477"/>
      <c r="E21" s="1477"/>
      <c r="F21" s="1477"/>
      <c r="G21" s="1477"/>
      <c r="H21" s="1477"/>
      <c r="I21" s="1477"/>
      <c r="J21" s="1478"/>
      <c r="K21" s="1477"/>
      <c r="L21" s="1477"/>
      <c r="M21" s="1477"/>
      <c r="N21" s="1474" t="s">
        <v>970</v>
      </c>
      <c r="O21" s="1538"/>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25">
      <c r="A22" s="1639" t="s">
        <v>1863</v>
      </c>
      <c r="B22" s="1479" t="s">
        <v>971</v>
      </c>
      <c r="C22" s="1056" t="s">
        <v>1695</v>
      </c>
      <c r="D22" s="1056">
        <f>IF(E22=G22,F22,IF(G3&lt;=10,ROUND(F22+(H22-F22)*(G3-E22)/(G22-E22),4),"——"))</f>
        <v>0.86509999999999998</v>
      </c>
      <c r="E22" s="1035">
        <f>ROUNDDOWN(G3,1)</f>
        <v>2.5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056" t="s">
        <v>972</v>
      </c>
      <c r="J22" s="1056" t="str">
        <f>IF(G3&gt;10,D113,"——")</f>
        <v>——</v>
      </c>
      <c r="K22" s="1477"/>
      <c r="L22" s="1477"/>
      <c r="M22" s="1477"/>
      <c r="N22" s="1474" t="s">
        <v>973</v>
      </c>
      <c r="O22" s="1538"/>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8"/>
      <c r="AE22" s="1468"/>
      <c r="AF22" s="1468"/>
      <c r="AG22" s="1468"/>
      <c r="AH22" s="1468"/>
      <c r="AI22" s="1468"/>
    </row>
    <row r="23" spans="1:40" ht="27.75" thickBot="1">
      <c r="A23" s="1639" t="s">
        <v>1864</v>
      </c>
      <c r="B23" s="1479" t="s">
        <v>974</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917</v>
      </c>
      <c r="O23" s="1538"/>
      <c r="P23" s="2766">
        <f>SUMPRODUCT((地价!A3:A24=YEAR(G19)&amp;"-"&amp;ROUNDUP(MONTH(G19)/3,0))*(地价!AD2:AH2=N23)*(地价!AD3:AH24))</f>
        <v>2.41E-2</v>
      </c>
      <c r="R23" s="2922"/>
      <c r="S23" s="2922"/>
      <c r="T23" s="2922"/>
      <c r="U23" s="2922"/>
      <c r="V23" s="2922"/>
      <c r="W23" s="2192"/>
      <c r="X23" s="2192"/>
      <c r="Y23" s="2192"/>
      <c r="Z23" s="2192"/>
      <c r="AA23" s="2192"/>
      <c r="AB23" s="2192"/>
      <c r="AC23" s="2192"/>
      <c r="AN23" s="1400"/>
    </row>
    <row r="24" spans="1:40" s="1417" customFormat="1" ht="15.75" thickBot="1">
      <c r="A24" s="1637" t="s">
        <v>1865</v>
      </c>
      <c r="B24" s="1411" t="s">
        <v>975</v>
      </c>
      <c r="C24" s="1058">
        <f>SUMIF(A44:A87,E2,B44:B87)</f>
        <v>1.0524</v>
      </c>
      <c r="D24" s="1531"/>
      <c r="E24" s="1532"/>
      <c r="F24" s="1532"/>
      <c r="G24" s="1532"/>
      <c r="H24" s="1532"/>
      <c r="I24" s="1532"/>
      <c r="J24" s="1532"/>
      <c r="K24" s="1477"/>
      <c r="L24" s="1477"/>
      <c r="M24" s="1477"/>
      <c r="N24" s="1480" t="s">
        <v>976</v>
      </c>
      <c r="O24" s="1539"/>
      <c r="P24" s="1537">
        <f>SUMPRODUCT((地价!A3:A24=YEAR(G19)&amp;"-"&amp;ROUNDUP(MONTH(G19)/3,0))*(地价!AD2:AH2=N24)*(地价!AD3:AH24))</f>
        <v>1.4200000000000001E-2</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1866</v>
      </c>
      <c r="B25" s="1482" t="s">
        <v>977</v>
      </c>
      <c r="C25" s="1483"/>
      <c r="D25" s="1426"/>
      <c r="E25" s="1426"/>
      <c r="F25" s="1484"/>
      <c r="G25" s="1426"/>
      <c r="H25" s="1426"/>
      <c r="I25" s="1426"/>
      <c r="J25" s="1427"/>
      <c r="K25" s="1397"/>
      <c r="L25" s="2192"/>
      <c r="M25" s="2192"/>
      <c r="N25" s="2794" t="s">
        <v>2643</v>
      </c>
      <c r="O25" s="2192"/>
      <c r="P25" s="1537">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5"/>
      <c r="B26" s="1479" t="s">
        <v>981</v>
      </c>
      <c r="C26" s="1059">
        <f ca="1">E29+SUM(E33:E39)</f>
        <v>349408</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983</v>
      </c>
      <c r="C27" s="1060">
        <f ca="1">E30+SUM(I33:I39)</f>
        <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25">
      <c r="A28" s="1481"/>
      <c r="B28" s="1494" t="s">
        <v>984</v>
      </c>
      <c r="C28" s="1495" t="s">
        <v>985</v>
      </c>
      <c r="D28" s="1495" t="s">
        <v>986</v>
      </c>
      <c r="E28" s="1496" t="s">
        <v>987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988</v>
      </c>
      <c r="C29" s="1059">
        <f ca="1">ROUND(C5*C18*C19*C20*C21*C24,0)</f>
        <v>8053</v>
      </c>
      <c r="D29" s="1500">
        <f>'数据-汇总表'!F19</f>
        <v>433886</v>
      </c>
      <c r="E29" s="1846">
        <f ca="1">ROUND(C29*D29/10000,0)</f>
        <v>349408</v>
      </c>
      <c r="F29" s="1501" t="s">
        <v>1694</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75" thickBot="1">
      <c r="A30" s="1504"/>
      <c r="B30" s="1505" t="s">
        <v>989</v>
      </c>
      <c r="C30" s="1047">
        <f ca="1">ROUND(IF(E2="工业",C29*M39,C29*M38),0)</f>
        <v>2013</v>
      </c>
      <c r="D30" s="1506"/>
      <c r="E30" s="1846">
        <f ca="1">ROUND(C30*D30/10000,0)</f>
        <v>0</v>
      </c>
      <c r="F30" s="1507" t="s">
        <v>990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991</v>
      </c>
      <c r="C31" s="1512" t="s">
        <v>992</v>
      </c>
      <c r="D31" s="1438"/>
      <c r="E31" s="1512"/>
      <c r="F31" s="1512"/>
      <c r="G31" s="1436" t="s">
        <v>990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985</v>
      </c>
      <c r="D32" s="1516" t="s">
        <v>986</v>
      </c>
      <c r="E32" s="1516" t="s">
        <v>987</v>
      </c>
      <c r="F32" s="1517" t="s">
        <v>993</v>
      </c>
      <c r="G32" s="1475" t="s">
        <v>985</v>
      </c>
      <c r="H32" s="1475" t="s">
        <v>986</v>
      </c>
      <c r="I32" s="1475" t="s">
        <v>987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524" t="s">
        <v>2958</v>
      </c>
      <c r="B33" s="1520" t="s">
        <v>994</v>
      </c>
      <c r="C33" s="1059">
        <f ca="1">ROUND(D5*C19*C20*C24*F33,0)</f>
        <v>0</v>
      </c>
      <c r="D33" s="1533"/>
      <c r="E33" s="1044">
        <f ca="1">ROUND(C33*D33/10000,0)</f>
        <v>0</v>
      </c>
      <c r="F33" s="1044">
        <f>SUMIF(修正!A45:A56,G2,修正!B45:B56)</f>
        <v>0.6</v>
      </c>
      <c r="G33" s="1044">
        <f t="shared" ref="G33" ca="1" si="6">ROUND(IF(E2="工业",C33*$M$39,C33*$M$38),0)</f>
        <v>0</v>
      </c>
      <c r="H33" s="1044">
        <f>D33</f>
        <v>0</v>
      </c>
      <c r="I33" s="1044">
        <f ca="1">ROUND(G33*H33/10000,0)</f>
        <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525"/>
      <c r="B34" s="1441" t="s">
        <v>995</v>
      </c>
      <c r="C34" s="1059">
        <f ca="1">ROUND(D5*C19*C20*C24*F34,0)</f>
        <v>0</v>
      </c>
      <c r="D34" s="1533"/>
      <c r="E34" s="1044">
        <f t="shared" ref="E34:E39" ca="1" si="7">ROUND(C34*D34/10000,0)</f>
        <v>0</v>
      </c>
      <c r="F34" s="1044">
        <f>SUMIF(修正!A45:A56,G2,修正!C45:C56)</f>
        <v>0.3</v>
      </c>
      <c r="G34" s="1044">
        <f ca="1">ROUND(IF(E2="工业",C34*$M$39,C34*$M$38),0)</f>
        <v>0</v>
      </c>
      <c r="H34" s="1044">
        <f t="shared" ref="H34:H39" si="8">D34</f>
        <v>0</v>
      </c>
      <c r="I34" s="1044">
        <f t="shared" ref="I34:I39" ca="1" si="9">ROUND(G34*H34/10000,0)</f>
        <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525"/>
      <c r="B35" s="1441" t="s">
        <v>996</v>
      </c>
      <c r="C35" s="1059">
        <f ca="1">ROUND(D5*C19*C20*C24*F35,0)</f>
        <v>0</v>
      </c>
      <c r="D35" s="1533"/>
      <c r="E35" s="1044">
        <f t="shared" ca="1" si="7"/>
        <v>0</v>
      </c>
      <c r="F35" s="1044">
        <f>SUMIF(修正!A45:A56,G2,修正!D45:D56)</f>
        <v>0.2</v>
      </c>
      <c r="G35" s="1044">
        <f ca="1">ROUND(IF(E2="工业",C35*$M$39,C35*$M$38),0)</f>
        <v>0</v>
      </c>
      <c r="H35" s="1044">
        <f t="shared" si="8"/>
        <v>0</v>
      </c>
      <c r="I35" s="1044">
        <f t="shared" ca="1" si="9"/>
        <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26"/>
      <c r="B36" s="1441" t="s">
        <v>997</v>
      </c>
      <c r="C36" s="1059">
        <f ca="1">ROUND(D5*C19*C20*C24*F36,0)</f>
        <v>0</v>
      </c>
      <c r="D36" s="1533"/>
      <c r="E36" s="1044">
        <f t="shared" ca="1" si="7"/>
        <v>0</v>
      </c>
      <c r="F36" s="1044">
        <f>SUMIF(修正!A45:A56,G2,修正!E45:E56)</f>
        <v>0.2</v>
      </c>
      <c r="G36" s="1044">
        <f ca="1">ROUND(IF(E2="工业",C36*$M$39,C36*$M$38),0)</f>
        <v>0</v>
      </c>
      <c r="H36" s="1044">
        <f t="shared" si="8"/>
        <v>0</v>
      </c>
      <c r="I36" s="1044">
        <f t="shared" ca="1" si="9"/>
        <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998</v>
      </c>
      <c r="C37" s="1044">
        <f ca="1">ROUND(C5*C19*C20*C24*F37,0)</f>
        <v>1862</v>
      </c>
      <c r="D37" s="1533"/>
      <c r="E37" s="1044">
        <f t="shared" ca="1" si="7"/>
        <v>0</v>
      </c>
      <c r="F37" s="1059">
        <f>SUMIF(修正!A45:A56,G2,修正!F45:F56)</f>
        <v>0.2</v>
      </c>
      <c r="G37" s="1044">
        <f ca="1">ROUND(IF(E2="工业",C37*$M$39,C37*$M$38),0)</f>
        <v>466</v>
      </c>
      <c r="H37" s="1044">
        <f t="shared" si="8"/>
        <v>0</v>
      </c>
      <c r="I37" s="1044">
        <f t="shared" ca="1" si="9"/>
        <v>0</v>
      </c>
      <c r="J37" s="1521"/>
      <c r="K37" s="1397"/>
      <c r="L37" s="1540" t="s">
        <v>1696</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999</v>
      </c>
      <c r="C38" s="1044">
        <f ca="1">ROUND(C6*C19*C20*C24*F38,0)</f>
        <v>1405</v>
      </c>
      <c r="D38" s="1533"/>
      <c r="E38" s="1044">
        <f t="shared" ca="1" si="7"/>
        <v>0</v>
      </c>
      <c r="F38" s="1059">
        <f>SUMIF(修正!A45:A56,G2,修正!G45:G56)</f>
        <v>0.2</v>
      </c>
      <c r="G38" s="1044">
        <f ca="1">ROUND(IF(E2="工业",C38*$M$39,C38*$M$38),0)</f>
        <v>351</v>
      </c>
      <c r="H38" s="1044">
        <f t="shared" si="8"/>
        <v>0</v>
      </c>
      <c r="I38" s="1044">
        <f t="shared" ca="1" si="9"/>
        <v>0</v>
      </c>
      <c r="J38" s="1521"/>
      <c r="K38" s="1397"/>
      <c r="L38" s="1542" t="s">
        <v>1698</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1000</v>
      </c>
      <c r="C39" s="1047">
        <f ca="1">ROUND(C6*C19*C20*C24*F39,0)</f>
        <v>1054</v>
      </c>
      <c r="D39" s="1534"/>
      <c r="E39" s="1047">
        <f t="shared" ca="1" si="7"/>
        <v>0</v>
      </c>
      <c r="F39" s="1061">
        <f>SUMIF(修正!A45:A56,G2,修正!H45:H56)</f>
        <v>0.15</v>
      </c>
      <c r="G39" s="1047">
        <f ca="1">ROUND(IF(E2="工业",C39*$M$39,C39*$M$38),0)</f>
        <v>264</v>
      </c>
      <c r="H39" s="1047">
        <f t="shared" si="8"/>
        <v>0</v>
      </c>
      <c r="I39" s="1047">
        <f t="shared" ca="1" si="9"/>
        <v>0</v>
      </c>
      <c r="J39" s="1523"/>
      <c r="K39" s="1397"/>
      <c r="L39" s="1544" t="s">
        <v>1697</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hidden="1">
      <c r="A45" s="2421" t="s">
        <v>1002</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hidden="1">
      <c r="A46" s="1063" t="s">
        <v>1003</v>
      </c>
      <c r="B46" s="2405" t="s">
        <v>1004</v>
      </c>
      <c r="C46" s="2427" t="s">
        <v>1005</v>
      </c>
      <c r="D46" s="2428" t="s">
        <v>1006</v>
      </c>
      <c r="E46" s="2429" t="s">
        <v>1008</v>
      </c>
      <c r="F46" s="2430" t="s">
        <v>2245</v>
      </c>
      <c r="G46" s="2428" t="s">
        <v>1009</v>
      </c>
      <c r="H46" s="2411" t="s">
        <v>2413</v>
      </c>
      <c r="I46" s="2428" t="s">
        <v>1007</v>
      </c>
      <c r="J46" s="2431" t="s">
        <v>1010</v>
      </c>
      <c r="K46" s="2431" t="s">
        <v>1011</v>
      </c>
      <c r="L46" s="2431" t="s">
        <v>1012</v>
      </c>
      <c r="M46" s="2431" t="s">
        <v>1013</v>
      </c>
      <c r="N46" s="2431" t="s">
        <v>1014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hidden="1">
      <c r="A47" s="1063" t="s">
        <v>1015</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hidden="1">
      <c r="A48" s="1063" t="s">
        <v>1016</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hidden="1">
      <c r="A49" s="1063" t="s">
        <v>1017</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hidden="1">
      <c r="A50" s="1063" t="s">
        <v>1018</v>
      </c>
      <c r="B50" s="3092" t="s">
        <v>2935</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hidden="1">
      <c r="A51" s="1063" t="s">
        <v>1019</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hidden="1">
      <c r="A52" s="1063" t="s">
        <v>1020</v>
      </c>
      <c r="B52" s="3091" t="s">
        <v>2934</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hidden="1">
      <c r="A53" s="2437" t="s">
        <v>1021</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hidden="1">
      <c r="A54" s="2437" t="s">
        <v>1022</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hidden="1" thickBot="1">
      <c r="A55" s="2438" t="s">
        <v>1023</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hidden="1">
      <c r="A56" s="2421" t="s">
        <v>1024</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hidden="1">
      <c r="A57" s="1063" t="s">
        <v>1003</v>
      </c>
      <c r="B57" s="2405"/>
      <c r="C57" s="2427" t="s">
        <v>1005</v>
      </c>
      <c r="D57" s="2428" t="s">
        <v>1006</v>
      </c>
      <c r="E57" s="2429" t="s">
        <v>1008</v>
      </c>
      <c r="F57" s="2430" t="s">
        <v>2245</v>
      </c>
      <c r="G57" s="2428" t="s">
        <v>1009</v>
      </c>
      <c r="H57" s="2411" t="s">
        <v>2413</v>
      </c>
      <c r="I57" s="2428" t="s">
        <v>1007</v>
      </c>
      <c r="J57" s="2431" t="s">
        <v>1010</v>
      </c>
      <c r="K57" s="2431" t="s">
        <v>1011</v>
      </c>
      <c r="L57" s="2431" t="s">
        <v>1012</v>
      </c>
      <c r="M57" s="2431" t="s">
        <v>1013</v>
      </c>
      <c r="N57" s="2431" t="s">
        <v>1014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hidden="1">
      <c r="A58" s="1063" t="s">
        <v>1025</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hidden="1">
      <c r="A59" s="1063" t="s">
        <v>1016</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hidden="1">
      <c r="A60" s="1063" t="s">
        <v>1017</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hidden="1">
      <c r="A61" s="1063" t="s">
        <v>1018</v>
      </c>
      <c r="B61" s="3092" t="s">
        <v>2936</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hidden="1">
      <c r="A62" s="1063" t="s">
        <v>1019</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hidden="1">
      <c r="A63" s="1063" t="s">
        <v>1020</v>
      </c>
      <c r="B63" s="3091" t="s">
        <v>2934</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hidden="1">
      <c r="A64" s="1063" t="s">
        <v>1021</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hidden="1">
      <c r="A65" s="1063" t="s">
        <v>1022</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hidden="1" thickBot="1">
      <c r="A66" s="2438" t="s">
        <v>1023</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1026</v>
      </c>
      <c r="B67" s="2422">
        <f>1+E69</f>
        <v>1.0524</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1003</v>
      </c>
      <c r="B68" s="2405"/>
      <c r="C68" s="2427" t="s">
        <v>1005</v>
      </c>
      <c r="D68" s="2428" t="s">
        <v>1006</v>
      </c>
      <c r="E68" s="2429" t="s">
        <v>1008</v>
      </c>
      <c r="F68" s="2430" t="s">
        <v>2245</v>
      </c>
      <c r="G68" s="2428" t="s">
        <v>1009</v>
      </c>
      <c r="H68" s="2411" t="s">
        <v>2413</v>
      </c>
      <c r="I68" s="2428" t="s">
        <v>1007</v>
      </c>
      <c r="J68" s="2431" t="s">
        <v>1010</v>
      </c>
      <c r="K68" s="2431" t="s">
        <v>1011</v>
      </c>
      <c r="L68" s="2431" t="s">
        <v>1012</v>
      </c>
      <c r="M68" s="2431" t="s">
        <v>1013</v>
      </c>
      <c r="N68" s="2431" t="s">
        <v>1014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3" t="s">
        <v>1027</v>
      </c>
      <c r="B69" s="2408" t="str">
        <f>估价对象房地状况!C15</f>
        <v>估价对象周边居住用地比例、居住小区规模和社区发展完善程度，综合评价居住社区成熟度一般</v>
      </c>
      <c r="C69" s="1155" t="s">
        <v>3001</v>
      </c>
      <c r="D69" s="2414">
        <f t="shared" ref="D69:D77" si="20">SUMIF($J$68:$N$68,C69,J69:N69)</f>
        <v>0</v>
      </c>
      <c r="E69" s="2433">
        <f>ROUND(SUM(D69:D77),4)</f>
        <v>5.2400000000000002E-2</v>
      </c>
      <c r="F69" s="2434">
        <f>IF(E2="住宅",SUMIF(L1:L12,G2,N1:N12),"——")</f>
        <v>0.15</v>
      </c>
      <c r="G69" s="2415">
        <f>H69</f>
        <v>1.0500000000000001E-2</v>
      </c>
      <c r="H69" s="3286">
        <f t="shared" ref="H69:H77" si="21">IFERROR(ROUNDDOWN($F$69*I69/2,4),"——")</f>
        <v>1.0500000000000001E-2</v>
      </c>
      <c r="I69" s="2432">
        <v>0.14000000000000001</v>
      </c>
      <c r="J69" s="2435">
        <f t="shared" ref="J69:J77" si="22">K69+$G69</f>
        <v>2.1000000000000001E-2</v>
      </c>
      <c r="K69" s="2435">
        <f t="shared" ref="K69:K77" si="23">$L69+$G69</f>
        <v>1.0500000000000001E-2</v>
      </c>
      <c r="L69" s="2435">
        <v>0</v>
      </c>
      <c r="M69" s="2435">
        <f t="shared" ref="M69:N77" si="24">L69-$G69</f>
        <v>-1.0500000000000001E-2</v>
      </c>
      <c r="N69" s="2435">
        <f t="shared" si="24"/>
        <v>-2.1000000000000001E-2</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c r="A70" s="1063" t="s">
        <v>1028</v>
      </c>
      <c r="B70" s="2405" t="str">
        <f>估价对象房地状况!C18</f>
        <v>估价对象周边道路状况、公共交通通达情况、停车便捷程度，综合评价交通便捷度较好</v>
      </c>
      <c r="C70" s="1155" t="s">
        <v>3014</v>
      </c>
      <c r="D70" s="2414">
        <f t="shared" si="20"/>
        <v>2.2499999999999999E-2</v>
      </c>
      <c r="E70" s="2442"/>
      <c r="F70" s="2443"/>
      <c r="G70" s="2415">
        <f t="shared" ref="G70:G77" si="25">H70</f>
        <v>2.2499999999999999E-2</v>
      </c>
      <c r="H70" s="3286">
        <f t="shared" si="21"/>
        <v>2.2499999999999999E-2</v>
      </c>
      <c r="I70" s="2432">
        <v>0.3</v>
      </c>
      <c r="J70" s="2435">
        <f t="shared" si="22"/>
        <v>4.4999999999999998E-2</v>
      </c>
      <c r="K70" s="2435">
        <f t="shared" si="23"/>
        <v>2.2499999999999999E-2</v>
      </c>
      <c r="L70" s="2435">
        <v>0</v>
      </c>
      <c r="M70" s="2435">
        <f t="shared" si="24"/>
        <v>-2.2499999999999999E-2</v>
      </c>
      <c r="N70" s="2435">
        <f t="shared" si="24"/>
        <v>-4.4999999999999998E-2</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1017</v>
      </c>
      <c r="B71" s="2405">
        <f>估价对象房地状况!C19</f>
        <v>0</v>
      </c>
      <c r="C71" s="1155" t="s">
        <v>3014</v>
      </c>
      <c r="D71" s="2414">
        <f t="shared" si="20"/>
        <v>6.0000000000000001E-3</v>
      </c>
      <c r="E71" s="2442"/>
      <c r="F71" s="2443"/>
      <c r="G71" s="2415">
        <f t="shared" si="25"/>
        <v>6.0000000000000001E-3</v>
      </c>
      <c r="H71" s="3286">
        <f t="shared" si="21"/>
        <v>6.0000000000000001E-3</v>
      </c>
      <c r="I71" s="2432">
        <v>0.08</v>
      </c>
      <c r="J71" s="2435">
        <f t="shared" si="22"/>
        <v>1.2E-2</v>
      </c>
      <c r="K71" s="2435">
        <f t="shared" si="23"/>
        <v>6.0000000000000001E-3</v>
      </c>
      <c r="L71" s="2435">
        <v>0</v>
      </c>
      <c r="M71" s="2435">
        <f t="shared" si="24"/>
        <v>-6.0000000000000001E-3</v>
      </c>
      <c r="N71" s="2435">
        <f t="shared" si="24"/>
        <v>-1.2E-2</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3" t="s">
        <v>1029</v>
      </c>
      <c r="B72" s="2405">
        <f>估价对象房地状况!C24</f>
        <v>0</v>
      </c>
      <c r="C72" s="1155" t="s">
        <v>3014</v>
      </c>
      <c r="D72" s="2414">
        <f t="shared" si="20"/>
        <v>3.0000000000000001E-3</v>
      </c>
      <c r="E72" s="2442"/>
      <c r="F72" s="2443"/>
      <c r="G72" s="2415">
        <f t="shared" si="25"/>
        <v>3.0000000000000001E-3</v>
      </c>
      <c r="H72" s="3286">
        <f t="shared" si="21"/>
        <v>3.0000000000000001E-3</v>
      </c>
      <c r="I72" s="2432">
        <v>0.04</v>
      </c>
      <c r="J72" s="2435">
        <f t="shared" si="22"/>
        <v>6.0000000000000001E-3</v>
      </c>
      <c r="K72" s="2435">
        <f t="shared" si="23"/>
        <v>3.0000000000000001E-3</v>
      </c>
      <c r="L72" s="2435">
        <v>0</v>
      </c>
      <c r="M72" s="2435">
        <f t="shared" si="24"/>
        <v>-3.0000000000000001E-3</v>
      </c>
      <c r="N72" s="2435">
        <f t="shared" si="24"/>
        <v>-6.0000000000000001E-3</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1021</v>
      </c>
      <c r="B73" s="2406" t="str">
        <f>估价对象房地状况!C21</f>
        <v>估价对象所在区域公共配套设施齐备情况</v>
      </c>
      <c r="C73" s="1155" t="s">
        <v>3001</v>
      </c>
      <c r="D73" s="2414">
        <f t="shared" si="20"/>
        <v>0</v>
      </c>
      <c r="E73" s="2442"/>
      <c r="F73" s="2443"/>
      <c r="G73" s="2415">
        <f t="shared" si="25"/>
        <v>6.0000000000000001E-3</v>
      </c>
      <c r="H73" s="3286">
        <f t="shared" si="21"/>
        <v>6.0000000000000001E-3</v>
      </c>
      <c r="I73" s="2432">
        <v>0.08</v>
      </c>
      <c r="J73" s="2435">
        <f t="shared" si="22"/>
        <v>1.2E-2</v>
      </c>
      <c r="K73" s="2435">
        <f t="shared" si="23"/>
        <v>6.0000000000000001E-3</v>
      </c>
      <c r="L73" s="2435">
        <v>0</v>
      </c>
      <c r="M73" s="2435">
        <f t="shared" si="24"/>
        <v>-6.0000000000000001E-3</v>
      </c>
      <c r="N73" s="2435">
        <f t="shared" si="24"/>
        <v>-1.2E-2</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1022</v>
      </c>
      <c r="B74" s="2406" t="str">
        <f>估价对象房地状况!C22</f>
        <v>估价对象所在区域基础设施水平</v>
      </c>
      <c r="C74" s="1155" t="s">
        <v>3014</v>
      </c>
      <c r="D74" s="2414">
        <f t="shared" si="20"/>
        <v>8.9999999999999993E-3</v>
      </c>
      <c r="E74" s="2442"/>
      <c r="F74" s="2443"/>
      <c r="G74" s="2415">
        <f t="shared" si="25"/>
        <v>8.9999999999999993E-3</v>
      </c>
      <c r="H74" s="3286">
        <f t="shared" si="21"/>
        <v>8.9999999999999993E-3</v>
      </c>
      <c r="I74" s="2432">
        <v>0.12</v>
      </c>
      <c r="J74" s="2435">
        <f t="shared" si="22"/>
        <v>1.7999999999999999E-2</v>
      </c>
      <c r="K74" s="2435">
        <f t="shared" si="23"/>
        <v>8.9999999999999993E-3</v>
      </c>
      <c r="L74" s="2435">
        <v>0</v>
      </c>
      <c r="M74" s="2435">
        <f t="shared" si="24"/>
        <v>-8.9999999999999993E-3</v>
      </c>
      <c r="N74" s="2435">
        <f t="shared" si="24"/>
        <v>-1.7999999999999999E-2</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3" t="s">
        <v>1020</v>
      </c>
      <c r="B75" s="3091" t="s">
        <v>2934</v>
      </c>
      <c r="C75" s="1155" t="s">
        <v>3014</v>
      </c>
      <c r="D75" s="2414">
        <f t="shared" si="20"/>
        <v>3.7000000000000002E-3</v>
      </c>
      <c r="E75" s="2442"/>
      <c r="F75" s="2443"/>
      <c r="G75" s="2415">
        <f t="shared" si="25"/>
        <v>3.7000000000000002E-3</v>
      </c>
      <c r="H75" s="3286">
        <f t="shared" si="21"/>
        <v>3.7000000000000002E-3</v>
      </c>
      <c r="I75" s="2432">
        <v>0.05</v>
      </c>
      <c r="J75" s="2435">
        <f t="shared" si="22"/>
        <v>7.4000000000000003E-3</v>
      </c>
      <c r="K75" s="2435">
        <f t="shared" si="23"/>
        <v>3.7000000000000002E-3</v>
      </c>
      <c r="L75" s="2435">
        <v>0</v>
      </c>
      <c r="M75" s="2435">
        <f t="shared" si="24"/>
        <v>-3.7000000000000002E-3</v>
      </c>
      <c r="N75" s="2435">
        <f t="shared" si="24"/>
        <v>-7.4000000000000003E-3</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1023</v>
      </c>
      <c r="B76" s="2408" t="str">
        <f>估价对象房地状况!C20</f>
        <v>区域自然环境：；人文环境；综合评价环境状况一般</v>
      </c>
      <c r="C76" s="3288" t="s">
        <v>3014</v>
      </c>
      <c r="D76" s="2414">
        <f t="shared" si="20"/>
        <v>1.12E-2</v>
      </c>
      <c r="E76" s="2442"/>
      <c r="F76" s="2443"/>
      <c r="G76" s="2415">
        <f t="shared" si="25"/>
        <v>1.12E-2</v>
      </c>
      <c r="H76" s="3286">
        <f t="shared" si="21"/>
        <v>1.12E-2</v>
      </c>
      <c r="I76" s="2432">
        <v>0.15</v>
      </c>
      <c r="J76" s="2435">
        <f t="shared" si="22"/>
        <v>2.24E-2</v>
      </c>
      <c r="K76" s="2435">
        <f t="shared" si="23"/>
        <v>1.12E-2</v>
      </c>
      <c r="L76" s="2435">
        <v>0</v>
      </c>
      <c r="M76" s="2435">
        <f t="shared" si="24"/>
        <v>-1.12E-2</v>
      </c>
      <c r="N76" s="2435">
        <f t="shared" si="24"/>
        <v>-2.24E-2</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1030</v>
      </c>
      <c r="B77" s="1847"/>
      <c r="C77" s="3288" t="s">
        <v>3228</v>
      </c>
      <c r="D77" s="2414">
        <f t="shared" si="20"/>
        <v>-3.0000000000000001E-3</v>
      </c>
      <c r="E77" s="2444"/>
      <c r="F77" s="2443"/>
      <c r="G77" s="2415">
        <f t="shared" si="25"/>
        <v>3.0000000000000001E-3</v>
      </c>
      <c r="H77" s="3286">
        <f t="shared" si="21"/>
        <v>3.0000000000000001E-3</v>
      </c>
      <c r="I77" s="2439">
        <v>0.04</v>
      </c>
      <c r="J77" s="2435">
        <f t="shared" si="22"/>
        <v>6.0000000000000001E-3</v>
      </c>
      <c r="K77" s="2435">
        <f t="shared" si="23"/>
        <v>3.0000000000000001E-3</v>
      </c>
      <c r="L77" s="2435">
        <v>0</v>
      </c>
      <c r="M77" s="2435">
        <f t="shared" si="24"/>
        <v>-3.0000000000000001E-3</v>
      </c>
      <c r="N77" s="2435">
        <f t="shared" si="24"/>
        <v>-6.0000000000000001E-3</v>
      </c>
      <c r="AC77" s="1401"/>
      <c r="AD77" s="1400"/>
      <c r="AJ77" s="1399"/>
      <c r="AN77" s="1400"/>
    </row>
    <row r="78" spans="1:40" ht="15">
      <c r="A78" s="2421" t="s">
        <v>1031</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1003</v>
      </c>
      <c r="B79" s="2405"/>
      <c r="C79" s="2427" t="s">
        <v>1005</v>
      </c>
      <c r="D79" s="2428" t="s">
        <v>1006</v>
      </c>
      <c r="E79" s="2429" t="s">
        <v>1008</v>
      </c>
      <c r="F79" s="2430" t="s">
        <v>2245</v>
      </c>
      <c r="G79" s="2428" t="s">
        <v>1009</v>
      </c>
      <c r="H79" s="2411" t="s">
        <v>2413</v>
      </c>
      <c r="I79" s="2428" t="s">
        <v>1007</v>
      </c>
      <c r="J79" s="2431" t="s">
        <v>1010</v>
      </c>
      <c r="K79" s="2431" t="s">
        <v>1011</v>
      </c>
      <c r="L79" s="2431" t="s">
        <v>1012</v>
      </c>
      <c r="M79" s="2431" t="s">
        <v>1013</v>
      </c>
      <c r="N79" s="2431" t="s">
        <v>1014</v>
      </c>
      <c r="AC79" s="1401"/>
      <c r="AD79" s="1400"/>
      <c r="AJ79" s="1399"/>
      <c r="AN79" s="1400"/>
    </row>
    <row r="80" spans="1:40" ht="36">
      <c r="A80" s="1063" t="s">
        <v>1032</v>
      </c>
      <c r="B80" s="2405" t="str">
        <f>估价对象房地状况!G15</f>
        <v>估价对象位于XX开发区，园区建设成熟度XX，产业集聚程度XX</v>
      </c>
      <c r="C80" s="1046"/>
      <c r="D80" s="2414">
        <f t="shared" ref="D80:D87" si="26">SUMIF($J$79:$N$79,C80,J80:N80)</f>
        <v>0</v>
      </c>
      <c r="E80" s="2433">
        <f>ROUND(SUM(D80:D87),4)</f>
        <v>0</v>
      </c>
      <c r="F80" s="2434" t="str">
        <f>IF(E2="工业",SUMIF(L1:L12,G2,N1:N12),"——")</f>
        <v>——</v>
      </c>
      <c r="G80" s="2412"/>
      <c r="H80" s="2458" t="str">
        <f t="shared" ref="H80:H87" si="27">IFERROR(ROUNDDOWN($F$80*I80/2,4),"——")</f>
        <v>——</v>
      </c>
      <c r="I80" s="2432">
        <v>0.26</v>
      </c>
      <c r="J80" s="2435">
        <f t="shared" ref="J80:J87" si="28">K80+$G80</f>
        <v>0</v>
      </c>
      <c r="K80" s="2435">
        <f t="shared" ref="K80:K87" si="29">$L80+$G80</f>
        <v>0</v>
      </c>
      <c r="L80" s="2435">
        <v>0</v>
      </c>
      <c r="M80" s="2435">
        <f t="shared" ref="M80:N87" si="30">L80-$G80</f>
        <v>0</v>
      </c>
      <c r="N80" s="2435">
        <f t="shared" si="30"/>
        <v>0</v>
      </c>
      <c r="AC80" s="1401"/>
      <c r="AD80" s="1400"/>
      <c r="AJ80" s="1399"/>
      <c r="AN80" s="1400"/>
    </row>
    <row r="81" spans="1:40" ht="48">
      <c r="A81" s="1063" t="s">
        <v>1028</v>
      </c>
      <c r="B81" s="2405" t="str">
        <f>估价对象房地状况!G16</f>
        <v>估价对象周边道路状况、公共交通通达情况、停车便捷程度，综合评价交通便捷度较好</v>
      </c>
      <c r="C81" s="1046"/>
      <c r="D81" s="2414">
        <f t="shared" si="26"/>
        <v>0</v>
      </c>
      <c r="E81" s="2442"/>
      <c r="F81" s="2443"/>
      <c r="G81" s="2412"/>
      <c r="H81" s="2458" t="str">
        <f t="shared" si="27"/>
        <v>——</v>
      </c>
      <c r="I81" s="2432">
        <v>0.33</v>
      </c>
      <c r="J81" s="2435">
        <f t="shared" si="28"/>
        <v>0</v>
      </c>
      <c r="K81" s="2435">
        <f t="shared" si="29"/>
        <v>0</v>
      </c>
      <c r="L81" s="2435">
        <v>0</v>
      </c>
      <c r="M81" s="2435">
        <f t="shared" si="30"/>
        <v>0</v>
      </c>
      <c r="N81" s="2435">
        <f t="shared" si="30"/>
        <v>0</v>
      </c>
      <c r="AC81" s="1401"/>
      <c r="AD81" s="1400"/>
      <c r="AJ81" s="1399"/>
      <c r="AN81" s="1400"/>
    </row>
    <row r="82" spans="1:40" ht="24">
      <c r="A82" s="1063" t="s">
        <v>1017</v>
      </c>
      <c r="B82" s="2405">
        <f>估价对象房地状况!G17</f>
        <v>0</v>
      </c>
      <c r="C82" s="1046"/>
      <c r="D82" s="2414">
        <f t="shared" si="26"/>
        <v>0</v>
      </c>
      <c r="E82" s="2442"/>
      <c r="F82" s="2443"/>
      <c r="G82" s="2412"/>
      <c r="H82" s="2458" t="str">
        <f t="shared" si="27"/>
        <v>——</v>
      </c>
      <c r="I82" s="2432">
        <v>0.05</v>
      </c>
      <c r="J82" s="2435">
        <f t="shared" si="28"/>
        <v>0</v>
      </c>
      <c r="K82" s="2435">
        <f t="shared" si="29"/>
        <v>0</v>
      </c>
      <c r="L82" s="2435">
        <v>0</v>
      </c>
      <c r="M82" s="2435">
        <f t="shared" si="30"/>
        <v>0</v>
      </c>
      <c r="N82" s="2435">
        <f t="shared" si="30"/>
        <v>0</v>
      </c>
      <c r="AC82" s="1401"/>
      <c r="AD82" s="1400"/>
      <c r="AJ82" s="1399"/>
      <c r="AN82" s="1400"/>
    </row>
    <row r="83" spans="1:40" ht="14.25">
      <c r="A83" s="1063" t="s">
        <v>1029</v>
      </c>
      <c r="B83" s="2405">
        <f>估价对象房地状况!G22</f>
        <v>0</v>
      </c>
      <c r="C83" s="1046"/>
      <c r="D83" s="2414">
        <f t="shared" si="26"/>
        <v>0</v>
      </c>
      <c r="E83" s="2442"/>
      <c r="F83" s="2443"/>
      <c r="G83" s="2412"/>
      <c r="H83" s="2458" t="str">
        <f t="shared" si="27"/>
        <v>——</v>
      </c>
      <c r="I83" s="2432">
        <v>0.04</v>
      </c>
      <c r="J83" s="2435">
        <f t="shared" si="28"/>
        <v>0</v>
      </c>
      <c r="K83" s="2435">
        <f t="shared" si="29"/>
        <v>0</v>
      </c>
      <c r="L83" s="2435">
        <v>0</v>
      </c>
      <c r="M83" s="2435">
        <f t="shared" si="30"/>
        <v>0</v>
      </c>
      <c r="N83" s="2435">
        <f t="shared" si="30"/>
        <v>0</v>
      </c>
      <c r="AC83" s="1401"/>
      <c r="AD83" s="1400"/>
      <c r="AJ83" s="1399"/>
      <c r="AN83" s="1400"/>
    </row>
    <row r="84" spans="1:40" ht="24">
      <c r="A84" s="1063" t="s">
        <v>1021</v>
      </c>
      <c r="B84" s="2406" t="str">
        <f>估价对象房地状况!G19</f>
        <v>估价对象所在区域公共配套设施齐备情况</v>
      </c>
      <c r="C84" s="1046"/>
      <c r="D84" s="2414">
        <f t="shared" si="26"/>
        <v>0</v>
      </c>
      <c r="E84" s="2442"/>
      <c r="F84" s="2443"/>
      <c r="G84" s="2412"/>
      <c r="H84" s="2458" t="str">
        <f t="shared" si="27"/>
        <v>——</v>
      </c>
      <c r="I84" s="2432">
        <v>0.06</v>
      </c>
      <c r="J84" s="2435">
        <f t="shared" si="28"/>
        <v>0</v>
      </c>
      <c r="K84" s="2435">
        <f t="shared" si="29"/>
        <v>0</v>
      </c>
      <c r="L84" s="2435">
        <v>0</v>
      </c>
      <c r="M84" s="2435">
        <f t="shared" si="30"/>
        <v>0</v>
      </c>
      <c r="N84" s="2435">
        <f t="shared" si="30"/>
        <v>0</v>
      </c>
      <c r="AC84" s="1401"/>
      <c r="AD84" s="1400"/>
      <c r="AJ84" s="1399"/>
      <c r="AN84" s="1400"/>
    </row>
    <row r="85" spans="1:40" ht="24">
      <c r="A85" s="1063" t="s">
        <v>1022</v>
      </c>
      <c r="B85" s="2406" t="str">
        <f>估价对象房地状况!G20</f>
        <v>估价对象所在区域基础设施水平</v>
      </c>
      <c r="C85" s="1046"/>
      <c r="D85" s="2414">
        <f t="shared" si="26"/>
        <v>0</v>
      </c>
      <c r="E85" s="2442"/>
      <c r="F85" s="2443"/>
      <c r="G85" s="2412"/>
      <c r="H85" s="2458" t="str">
        <f t="shared" si="27"/>
        <v>——</v>
      </c>
      <c r="I85" s="2432">
        <v>0.15</v>
      </c>
      <c r="J85" s="2435">
        <f t="shared" si="28"/>
        <v>0</v>
      </c>
      <c r="K85" s="2435">
        <f t="shared" si="29"/>
        <v>0</v>
      </c>
      <c r="L85" s="2435">
        <v>0</v>
      </c>
      <c r="M85" s="2435">
        <f t="shared" si="30"/>
        <v>0</v>
      </c>
      <c r="N85" s="2435">
        <f t="shared" si="30"/>
        <v>0</v>
      </c>
      <c r="AC85" s="1401"/>
      <c r="AD85" s="1400"/>
      <c r="AJ85" s="1399"/>
      <c r="AN85" s="1400"/>
    </row>
    <row r="86" spans="1:40" ht="24">
      <c r="A86" s="1063" t="s">
        <v>1020</v>
      </c>
      <c r="B86" s="3091" t="s">
        <v>2934</v>
      </c>
      <c r="C86" s="1046"/>
      <c r="D86" s="2414">
        <f t="shared" si="26"/>
        <v>0</v>
      </c>
      <c r="E86" s="2442"/>
      <c r="F86" s="2443"/>
      <c r="G86" s="2412"/>
      <c r="H86" s="2458" t="str">
        <f t="shared" si="27"/>
        <v>——</v>
      </c>
      <c r="I86" s="2432">
        <v>0.05</v>
      </c>
      <c r="J86" s="2435">
        <f t="shared" si="28"/>
        <v>0</v>
      </c>
      <c r="K86" s="2435">
        <f t="shared" si="29"/>
        <v>0</v>
      </c>
      <c r="L86" s="2435">
        <v>0</v>
      </c>
      <c r="M86" s="2435">
        <f t="shared" si="30"/>
        <v>0</v>
      </c>
      <c r="N86" s="2435">
        <f t="shared" si="30"/>
        <v>0</v>
      </c>
      <c r="AC86" s="1401"/>
      <c r="AD86" s="1400"/>
      <c r="AJ86" s="1399"/>
      <c r="AN86" s="1400"/>
    </row>
    <row r="87" spans="1:40" ht="36.75" thickBot="1">
      <c r="A87" s="2438" t="s">
        <v>1033</v>
      </c>
      <c r="B87" s="2407" t="str">
        <f>估价对象房地状况!G18</f>
        <v>该园区内是否有污染型企业，绿化情况，卫生条件，整体环境状况判断</v>
      </c>
      <c r="C87" s="1046"/>
      <c r="D87" s="2414">
        <f t="shared" si="26"/>
        <v>0</v>
      </c>
      <c r="E87" s="2444"/>
      <c r="F87" s="2443"/>
      <c r="G87" s="2412"/>
      <c r="H87" s="2458" t="str">
        <f t="shared" si="27"/>
        <v>——</v>
      </c>
      <c r="I87" s="2439">
        <v>0.06</v>
      </c>
      <c r="J87" s="2435">
        <f t="shared" si="28"/>
        <v>0</v>
      </c>
      <c r="K87" s="2435">
        <f t="shared" si="29"/>
        <v>0</v>
      </c>
      <c r="L87" s="2435">
        <v>0</v>
      </c>
      <c r="M87" s="2435">
        <f t="shared" si="30"/>
        <v>0</v>
      </c>
      <c r="N87" s="2435">
        <f t="shared" si="30"/>
        <v>0</v>
      </c>
      <c r="AC87" s="1401"/>
      <c r="AD87" s="1400"/>
      <c r="AJ87" s="1399"/>
      <c r="AN87" s="1400"/>
    </row>
    <row r="90" spans="1:40">
      <c r="A90" s="3527" t="s">
        <v>1628</v>
      </c>
      <c r="B90" s="3527"/>
      <c r="C90" s="3527"/>
      <c r="D90" s="3527"/>
      <c r="E90" s="3527"/>
      <c r="F90" s="3527"/>
      <c r="G90" s="3527"/>
      <c r="H90" s="3527"/>
      <c r="I90" s="3527"/>
      <c r="J90" s="3527"/>
      <c r="K90" s="3181"/>
      <c r="L90" s="3181"/>
      <c r="M90" s="3181"/>
      <c r="N90" s="3181"/>
    </row>
    <row r="91" spans="1:40">
      <c r="A91" s="3528" t="s">
        <v>916</v>
      </c>
      <c r="B91" s="3528" t="s">
        <v>1629</v>
      </c>
      <c r="C91" s="1136" t="s">
        <v>1630</v>
      </c>
      <c r="D91" s="1137"/>
      <c r="E91" s="1137"/>
      <c r="F91" s="1137"/>
      <c r="G91" s="1137"/>
      <c r="H91" s="1137"/>
      <c r="I91" s="1137"/>
      <c r="J91" s="1138"/>
      <c r="K91" s="1130"/>
      <c r="L91" s="1130"/>
      <c r="M91" s="1130"/>
      <c r="N91" s="1130"/>
    </row>
    <row r="92" spans="1:40">
      <c r="A92" s="3528"/>
      <c r="B92" s="3528"/>
      <c r="C92" s="3182" t="s">
        <v>878</v>
      </c>
      <c r="D92" s="3182" t="s">
        <v>879</v>
      </c>
      <c r="E92" s="3182" t="s">
        <v>880</v>
      </c>
      <c r="F92" s="3182" t="s">
        <v>881</v>
      </c>
      <c r="G92" s="3182" t="s">
        <v>882</v>
      </c>
      <c r="H92" s="3182" t="s">
        <v>883</v>
      </c>
      <c r="I92" s="3182" t="s">
        <v>884</v>
      </c>
      <c r="J92" s="3182" t="s">
        <v>885</v>
      </c>
      <c r="K92" s="3182" t="s">
        <v>886</v>
      </c>
      <c r="L92" s="3182" t="s">
        <v>887</v>
      </c>
      <c r="M92" s="3182" t="s">
        <v>888</v>
      </c>
      <c r="N92" s="3182" t="s">
        <v>912</v>
      </c>
    </row>
    <row r="93" spans="1:40">
      <c r="A93" s="352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0"/>
      <c r="B99" s="1139" t="s">
        <v>1631</v>
      </c>
      <c r="C99" s="1141">
        <f>$I$3</f>
        <v>0</v>
      </c>
      <c r="D99" s="1141">
        <f t="shared" ref="D99:N99" si="31">$I$3</f>
        <v>0</v>
      </c>
      <c r="E99" s="1141">
        <f t="shared" si="31"/>
        <v>0</v>
      </c>
      <c r="F99" s="1141">
        <f t="shared" si="31"/>
        <v>0</v>
      </c>
      <c r="G99" s="1141">
        <f t="shared" si="31"/>
        <v>0</v>
      </c>
      <c r="H99" s="1141">
        <f t="shared" si="31"/>
        <v>0</v>
      </c>
      <c r="I99" s="1141">
        <f t="shared" si="31"/>
        <v>0</v>
      </c>
      <c r="J99" s="1141">
        <f t="shared" si="31"/>
        <v>0</v>
      </c>
      <c r="K99" s="1141">
        <f t="shared" si="31"/>
        <v>0</v>
      </c>
      <c r="L99" s="1141">
        <f t="shared" si="31"/>
        <v>0</v>
      </c>
      <c r="M99" s="1141">
        <f t="shared" si="31"/>
        <v>0</v>
      </c>
      <c r="N99" s="1141">
        <f t="shared" si="31"/>
        <v>0</v>
      </c>
    </row>
    <row r="100" spans="1:14">
      <c r="A100" s="3531"/>
      <c r="B100" s="1139">
        <v>7</v>
      </c>
      <c r="C100" s="1142">
        <f>(-0.163*(C99^2)-0.59*C99+7617)*(10^(-4))</f>
        <v>0.76170000000000004</v>
      </c>
      <c r="D100" s="1142">
        <f>(-0.163*(D99^2)-0.59*D99+7617)*(10^(-4))</f>
        <v>0.76170000000000004</v>
      </c>
      <c r="E100" s="1142">
        <f>(-0.161*(E99^2)-7.509*E99+6533)*(10^(-4))</f>
        <v>0.65329999999999999</v>
      </c>
      <c r="F100" s="1142">
        <f>(-0.161*(F99^2)-7.509*F99+6533)*(10^(-4))</f>
        <v>0.65329999999999999</v>
      </c>
      <c r="G100" s="1142">
        <f>(-0.161*(G99^2)-7.509*G99+6533)*(10^(-4))</f>
        <v>0.65329999999999999</v>
      </c>
      <c r="H100" s="1142">
        <f>(-0.161*(H99^2)-7.509*H99+6533)*(10^(-4))</f>
        <v>0.65329999999999999</v>
      </c>
      <c r="I100" s="1142">
        <f>(-0.161*(I99^2)-7.509*I99+6533)*(10^(-4))</f>
        <v>0.65329999999999999</v>
      </c>
      <c r="J100" s="1142">
        <f>(-0.214*(J99^2)-21.991*J99+4665)*(10^(-4))</f>
        <v>0.46650000000000003</v>
      </c>
      <c r="K100" s="1142">
        <f>(-0.214*(K99^2)-21.991*K99+4665)*(10^(-4))</f>
        <v>0.46650000000000003</v>
      </c>
      <c r="L100" s="1142">
        <f>(-0.214*(L99^2)-21.991*L99+4665)*(10^(-4))</f>
        <v>0.46650000000000003</v>
      </c>
      <c r="M100" s="1142">
        <f>(-0.214*(M99^2)-21.991*M99+4665)*(10^(-4))</f>
        <v>0.46650000000000003</v>
      </c>
      <c r="N100" s="1142">
        <f>(-0.214*(N99^2)-21.991*N99+4665)*(10^(-4))</f>
        <v>0.46650000000000003</v>
      </c>
    </row>
    <row r="101" spans="1:14">
      <c r="A101" s="3529" t="s">
        <v>1632</v>
      </c>
      <c r="B101" s="1143" t="s">
        <v>877</v>
      </c>
      <c r="C101" s="1144">
        <f>$G$3</f>
        <v>2.5</v>
      </c>
      <c r="D101" s="1144">
        <f t="shared" ref="D101:N101" si="32">$G$3</f>
        <v>2.5</v>
      </c>
      <c r="E101" s="1144">
        <f t="shared" si="32"/>
        <v>2.5</v>
      </c>
      <c r="F101" s="1144">
        <f t="shared" si="32"/>
        <v>2.5</v>
      </c>
      <c r="G101" s="1144">
        <f t="shared" si="32"/>
        <v>2.5</v>
      </c>
      <c r="H101" s="1144">
        <f t="shared" si="32"/>
        <v>2.5</v>
      </c>
      <c r="I101" s="1144">
        <f t="shared" si="32"/>
        <v>2.5</v>
      </c>
      <c r="J101" s="1144">
        <f t="shared" si="32"/>
        <v>2.5</v>
      </c>
      <c r="K101" s="1144">
        <f t="shared" si="32"/>
        <v>2.5</v>
      </c>
      <c r="L101" s="1144">
        <f t="shared" si="32"/>
        <v>2.5</v>
      </c>
      <c r="M101" s="1144">
        <f t="shared" si="32"/>
        <v>2.5</v>
      </c>
      <c r="N101" s="1144">
        <f t="shared" si="32"/>
        <v>2.5</v>
      </c>
    </row>
    <row r="102" spans="1:14">
      <c r="A102" s="3530"/>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530"/>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530"/>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530"/>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530"/>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530"/>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530"/>
      <c r="B108" s="3532" t="s">
        <v>1633</v>
      </c>
      <c r="C108" s="1141">
        <f>C99</f>
        <v>0</v>
      </c>
      <c r="D108" s="1141">
        <f t="shared" ref="D108:N108" si="33">D99</f>
        <v>0</v>
      </c>
      <c r="E108" s="1141">
        <f t="shared" si="33"/>
        <v>0</v>
      </c>
      <c r="F108" s="1141">
        <f t="shared" si="33"/>
        <v>0</v>
      </c>
      <c r="G108" s="1141">
        <f t="shared" si="33"/>
        <v>0</v>
      </c>
      <c r="H108" s="1141">
        <f t="shared" si="33"/>
        <v>0</v>
      </c>
      <c r="I108" s="1141">
        <f t="shared" si="33"/>
        <v>0</v>
      </c>
      <c r="J108" s="1141">
        <f t="shared" si="33"/>
        <v>0</v>
      </c>
      <c r="K108" s="1141">
        <f t="shared" si="33"/>
        <v>0</v>
      </c>
      <c r="L108" s="1141">
        <f t="shared" si="33"/>
        <v>0</v>
      </c>
      <c r="M108" s="1141">
        <f t="shared" si="33"/>
        <v>0</v>
      </c>
      <c r="N108" s="1141">
        <f t="shared" si="33"/>
        <v>0</v>
      </c>
    </row>
    <row r="109" spans="1:14">
      <c r="A109" s="3531"/>
      <c r="B109" s="3533"/>
      <c r="C109" s="1142">
        <f>(-0.163*(C108^2)-0.59*C108+7617)*(10^(-4))/C101</f>
        <v>0.30468000000000001</v>
      </c>
      <c r="D109" s="1142">
        <f>(-0.163*(D108^2)-0.59*D108+7617)*(10^(-4))/D101</f>
        <v>0.30468000000000001</v>
      </c>
      <c r="E109" s="1142">
        <f>(-0.161*(E108^2)-7.509*E108+6533)*(10^(-4))/E101</f>
        <v>0.26132</v>
      </c>
      <c r="F109" s="1142">
        <f>(-0.161*(F108^2)-7.509*F108+6533)*(10^(-4))/F101</f>
        <v>0.26132</v>
      </c>
      <c r="G109" s="1142">
        <f>(-0.161*(G108^2)-7.509*G108+6533)*(10^(-4))/G101</f>
        <v>0.26132</v>
      </c>
      <c r="H109" s="1142">
        <f>(-0.161*(H108^2)-7.509*H108+6533)*(10^(-4))/H101</f>
        <v>0.26132</v>
      </c>
      <c r="I109" s="1142">
        <f>(-0.161*(I108^2)-7.509*I108+6533)*(10^(-4))/I101</f>
        <v>0.26132</v>
      </c>
      <c r="J109" s="1142">
        <f>(-0.214*(J108^2)-21.991*J108+4665)*(10^(-4))/J101</f>
        <v>0.18660000000000002</v>
      </c>
      <c r="K109" s="1142">
        <f>(-0.214*(K108^2)-21.991*K108+4665)*(10^(-4))/K101</f>
        <v>0.18660000000000002</v>
      </c>
      <c r="L109" s="1142">
        <f>(-0.214*(L108^2)-21.991*L108+4665)*(10^(-4))/L101</f>
        <v>0.18660000000000002</v>
      </c>
      <c r="M109" s="1142">
        <f>(-0.214*(M108^2)-21.991*M108+4665)*(10^(-4))/M101</f>
        <v>0.18660000000000002</v>
      </c>
      <c r="N109" s="1142">
        <f>(-0.214*(N108^2)-21.991*N108+4665)*(10^(-4))/N101</f>
        <v>0.18660000000000002</v>
      </c>
    </row>
    <row r="110" spans="1:14">
      <c r="A110" s="3523" t="s">
        <v>1634</v>
      </c>
      <c r="B110" s="3523"/>
      <c r="C110" s="3523"/>
      <c r="D110" s="3523"/>
      <c r="E110" s="3523"/>
      <c r="F110" s="3523"/>
      <c r="G110" s="3523"/>
      <c r="H110" s="3523"/>
      <c r="I110" s="3523"/>
      <c r="J110" s="3523"/>
      <c r="K110" s="3180"/>
      <c r="L110" s="3180"/>
      <c r="M110" s="3180"/>
      <c r="N110" s="3180"/>
    </row>
    <row r="112" spans="1:14" ht="12.75" thickBot="1"/>
    <row r="113" spans="1:13" ht="25.5" thickBot="1">
      <c r="A113" s="1012" t="s">
        <v>890</v>
      </c>
      <c r="B113" s="2448">
        <f>G3</f>
        <v>2.5</v>
      </c>
      <c r="C113" s="1013" t="s">
        <v>891</v>
      </c>
      <c r="D113" s="1014">
        <f>SUMPRODUCT((A115:A118=F113)*(B114:M114=H113)*B115:M118)</f>
        <v>0.71750000000000003</v>
      </c>
      <c r="E113" s="1015" t="s">
        <v>892</v>
      </c>
      <c r="F113" s="1016" t="str">
        <f>E2</f>
        <v>住宅</v>
      </c>
      <c r="G113" s="1015" t="s">
        <v>893</v>
      </c>
      <c r="H113" s="1016" t="str">
        <f>G2</f>
        <v>九级</v>
      </c>
      <c r="I113" s="1015"/>
      <c r="J113" s="1007"/>
      <c r="K113" s="1007"/>
      <c r="L113" s="1007"/>
      <c r="M113" s="1007"/>
    </row>
    <row r="114" spans="1:13" ht="12.75">
      <c r="A114" s="1019"/>
      <c r="B114" s="1020" t="s">
        <v>878</v>
      </c>
      <c r="C114" s="1020" t="s">
        <v>879</v>
      </c>
      <c r="D114" s="1020" t="s">
        <v>880</v>
      </c>
      <c r="E114" s="1021" t="s">
        <v>881</v>
      </c>
      <c r="F114" s="1021" t="s">
        <v>882</v>
      </c>
      <c r="G114" s="1021" t="s">
        <v>883</v>
      </c>
      <c r="H114" s="1022" t="s">
        <v>884</v>
      </c>
      <c r="I114" s="1022" t="s">
        <v>885</v>
      </c>
      <c r="J114" s="1023" t="s">
        <v>886</v>
      </c>
      <c r="K114" s="1023" t="s">
        <v>887</v>
      </c>
      <c r="L114" s="1023" t="s">
        <v>888</v>
      </c>
      <c r="M114" s="1024" t="s">
        <v>889</v>
      </c>
    </row>
    <row r="115" spans="1:13" ht="12.75">
      <c r="A115" s="1025" t="s">
        <v>894</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4">I115</f>
        <v>0.65029999999999999</v>
      </c>
      <c r="K115" s="1026">
        <f t="shared" si="34"/>
        <v>0.65029999999999999</v>
      </c>
      <c r="L115" s="1026">
        <f t="shared" si="34"/>
        <v>0.65029999999999999</v>
      </c>
      <c r="M115" s="1027">
        <f t="shared" si="34"/>
        <v>0.65029999999999999</v>
      </c>
    </row>
    <row r="116" spans="1:13" ht="12.75">
      <c r="A116" s="1025" t="s">
        <v>895</v>
      </c>
      <c r="B116" s="1026">
        <f>ROUND(0.949-0.012*B113,4)</f>
        <v>0.91900000000000004</v>
      </c>
      <c r="C116" s="1026">
        <f>B116</f>
        <v>0.91900000000000004</v>
      </c>
      <c r="D116" s="1026">
        <f>ROUND(0.8567-0.013*B113,4)</f>
        <v>0.82420000000000004</v>
      </c>
      <c r="E116" s="1026">
        <f t="shared" ref="E116:H117" si="35">D116</f>
        <v>0.82420000000000004</v>
      </c>
      <c r="F116" s="1026">
        <f t="shared" si="35"/>
        <v>0.82420000000000004</v>
      </c>
      <c r="G116" s="1026">
        <f t="shared" si="35"/>
        <v>0.82420000000000004</v>
      </c>
      <c r="H116" s="1026">
        <f t="shared" si="35"/>
        <v>0.82420000000000004</v>
      </c>
      <c r="I116" s="1026">
        <f>ROUND(0.7694-0.014*B113,4)</f>
        <v>0.73440000000000005</v>
      </c>
      <c r="J116" s="1026">
        <f t="shared" si="34"/>
        <v>0.73440000000000005</v>
      </c>
      <c r="K116" s="1026">
        <f t="shared" si="34"/>
        <v>0.73440000000000005</v>
      </c>
      <c r="L116" s="1026">
        <f t="shared" si="34"/>
        <v>0.73440000000000005</v>
      </c>
      <c r="M116" s="1027">
        <f t="shared" si="34"/>
        <v>0.73440000000000005</v>
      </c>
    </row>
    <row r="117" spans="1:13" ht="12.75">
      <c r="A117" s="1028" t="s">
        <v>896</v>
      </c>
      <c r="B117" s="1026">
        <f>ROUND(0.8808-0.006*B113,4)</f>
        <v>0.86580000000000001</v>
      </c>
      <c r="C117" s="1026">
        <f>B117</f>
        <v>0.86580000000000001</v>
      </c>
      <c r="D117" s="1026">
        <f>ROUND(0.8748-0.008*B113,4)</f>
        <v>0.8548</v>
      </c>
      <c r="E117" s="1026">
        <f t="shared" si="35"/>
        <v>0.8548</v>
      </c>
      <c r="F117" s="1026">
        <f t="shared" si="35"/>
        <v>0.8548</v>
      </c>
      <c r="G117" s="1026">
        <f t="shared" si="35"/>
        <v>0.8548</v>
      </c>
      <c r="H117" s="1026">
        <f t="shared" si="35"/>
        <v>0.8548</v>
      </c>
      <c r="I117" s="1026">
        <f>ROUND(0.7412-0.0095*B113,4)</f>
        <v>0.71750000000000003</v>
      </c>
      <c r="J117" s="1026">
        <f t="shared" si="34"/>
        <v>0.71750000000000003</v>
      </c>
      <c r="K117" s="1026">
        <f t="shared" si="34"/>
        <v>0.71750000000000003</v>
      </c>
      <c r="L117" s="1026">
        <f t="shared" si="34"/>
        <v>0.71750000000000003</v>
      </c>
      <c r="M117" s="1027">
        <f t="shared" si="34"/>
        <v>0.71750000000000003</v>
      </c>
    </row>
    <row r="118" spans="1:13" ht="13.5" thickBot="1">
      <c r="A118" s="1029" t="s">
        <v>897</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4"/>
        <v>0.53269999999999995</v>
      </c>
      <c r="K118" s="1030">
        <f t="shared" si="34"/>
        <v>0.53269999999999995</v>
      </c>
      <c r="L118" s="1030">
        <f t="shared" si="34"/>
        <v>0.53269999999999995</v>
      </c>
      <c r="M118" s="1031">
        <f t="shared" si="34"/>
        <v>0.53269999999999995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95" priority="5" stopIfTrue="1" operator="notEqual">
      <formula>"——"</formula>
    </cfRule>
  </conditionalFormatting>
  <conditionalFormatting sqref="F58">
    <cfRule type="cellIs" dxfId="194" priority="4" stopIfTrue="1" operator="notEqual">
      <formula>"——"</formula>
    </cfRule>
  </conditionalFormatting>
  <conditionalFormatting sqref="F69">
    <cfRule type="cellIs" dxfId="193" priority="3" stopIfTrue="1" operator="notEqual">
      <formula>"——"</formula>
    </cfRule>
  </conditionalFormatting>
  <conditionalFormatting sqref="F80">
    <cfRule type="cellIs" dxfId="192" priority="2" stopIfTrue="1" operator="notEqual">
      <formula>"——"</formula>
    </cfRule>
  </conditionalFormatting>
  <conditionalFormatting sqref="H58:H66 H47:H55 H69:H77 H80:H87">
    <cfRule type="cellIs" dxfId="19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view="pageLayout" topLeftCell="B7" zoomScaleNormal="100" workbookViewId="0">
      <selection activeCell="G39" sqref="G39"/>
    </sheetView>
  </sheetViews>
  <sheetFormatPr defaultColWidth="6.625" defaultRowHeight="12.75"/>
  <cols>
    <col min="1" max="1" width="9.75" style="2121" customWidth="1"/>
    <col min="2" max="2" width="25.75" style="2111" customWidth="1"/>
    <col min="3" max="3" width="16.12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460</v>
      </c>
      <c r="B1" s="2806" t="s">
        <v>917</v>
      </c>
      <c r="C1" s="2101"/>
      <c r="D1" s="2101"/>
      <c r="E1" s="2101"/>
      <c r="F1" s="2101"/>
      <c r="G1" s="2101"/>
      <c r="H1" s="2101"/>
      <c r="I1" s="2101"/>
      <c r="J1" s="2101"/>
      <c r="K1" s="418">
        <f>MATCH(B1,'数据-取费表'!A6:A16,0)+5</f>
        <v>6</v>
      </c>
    </row>
    <row r="2" spans="1:31" s="2038" customFormat="1" ht="18" customHeight="1">
      <c r="A2" s="2098" t="s">
        <v>461</v>
      </c>
      <c r="B2" s="2102">
        <f ca="1">C36</f>
        <v>614892</v>
      </c>
      <c r="C2" s="2101"/>
      <c r="D2" s="2101"/>
      <c r="E2" s="2101"/>
      <c r="F2" s="2101"/>
      <c r="G2" s="2101"/>
      <c r="H2" s="2101"/>
      <c r="I2" s="2101"/>
      <c r="J2" s="2101"/>
      <c r="K2" s="2101"/>
    </row>
    <row r="3" spans="1:31" s="2038" customFormat="1" ht="18" customHeight="1">
      <c r="A3" s="2103" t="s">
        <v>1677</v>
      </c>
      <c r="B3" s="2104">
        <f ca="1">ROUND(B2*10000/IF(B1="",'数据-汇总表'!E3,INDIRECT("'数据-取费表'!K"&amp;$K$1)),0)</f>
        <v>14172</v>
      </c>
      <c r="C3" s="2101"/>
      <c r="D3" s="2101"/>
      <c r="E3" s="2101"/>
      <c r="F3" s="2101"/>
      <c r="G3" s="2101"/>
      <c r="H3" s="2101"/>
      <c r="I3" s="2101"/>
      <c r="J3" s="2101"/>
      <c r="K3" s="2101"/>
    </row>
    <row r="4" spans="1:31" s="2038" customFormat="1" ht="18" customHeight="1">
      <c r="A4" s="422" t="s">
        <v>462</v>
      </c>
      <c r="B4" s="423">
        <f ca="1">ROUND(B2*10000/IF(B1="",'数据-汇总表'!D3,INDIRECT("'数据-取费表'!R"&amp;$K$1)),0)</f>
        <v>54964</v>
      </c>
      <c r="C4" s="424"/>
      <c r="D4" s="418"/>
      <c r="E4" s="418"/>
      <c r="F4" s="418"/>
      <c r="G4" s="418"/>
      <c r="H4" s="418"/>
      <c r="I4" s="418"/>
      <c r="J4" s="418"/>
      <c r="K4" s="418"/>
    </row>
    <row r="5" spans="1:31" s="2038" customFormat="1" ht="18" customHeight="1" thickBot="1">
      <c r="A5" s="425"/>
      <c r="B5" s="426">
        <f ca="1">ROUND(B2/(IF(B1="",'数据-汇总表'!D3,INDIRECT("'数据-取费表'!R"&amp;$K$1))/666.67),0)</f>
        <v>3664</v>
      </c>
      <c r="C5" s="427" t="s">
        <v>463</v>
      </c>
      <c r="D5" s="418"/>
      <c r="E5" s="418"/>
      <c r="F5" s="418"/>
      <c r="G5" s="418"/>
      <c r="H5" s="418"/>
      <c r="I5" s="418"/>
      <c r="J5" s="418"/>
      <c r="K5" s="418"/>
    </row>
    <row r="6" spans="1:31" s="2108" customFormat="1" ht="16.5" customHeight="1">
      <c r="A6" s="2825" t="s">
        <v>1835</v>
      </c>
      <c r="B6" s="2826"/>
      <c r="C6" s="2827">
        <f>SUM(C10:K10)</f>
        <v>1280094</v>
      </c>
      <c r="D6" s="2826"/>
      <c r="E6" s="2826"/>
      <c r="F6" s="2826"/>
      <c r="G6" s="2826"/>
      <c r="H6" s="2826"/>
      <c r="I6" s="2826"/>
      <c r="J6" s="2826"/>
      <c r="K6" s="2828"/>
    </row>
    <row r="7" spans="1:31" s="2110" customFormat="1" ht="15.75" customHeight="1">
      <c r="A7" s="2829" t="s">
        <v>464</v>
      </c>
      <c r="B7" s="2830" t="s">
        <v>465</v>
      </c>
      <c r="C7" s="432" t="s">
        <v>917</v>
      </c>
      <c r="D7" s="432"/>
      <c r="E7" s="432"/>
      <c r="F7" s="432"/>
      <c r="G7" s="432"/>
      <c r="H7" s="432"/>
      <c r="I7" s="432"/>
      <c r="J7" s="432"/>
      <c r="K7" s="433"/>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799" t="s">
        <v>1838</v>
      </c>
      <c r="B8" s="260" t="s">
        <v>466</v>
      </c>
      <c r="C8" s="2831"/>
      <c r="D8" s="2831"/>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799" t="s">
        <v>1839</v>
      </c>
      <c r="B9" s="260" t="s">
        <v>467</v>
      </c>
      <c r="C9" s="437">
        <f>SUMIF('数据-汇总表'!$C19:$C33,'剩余法-住宅'!C7,'数据-汇总表'!$E19:$E33)</f>
        <v>433886</v>
      </c>
      <c r="D9" s="437">
        <f>SUMIF('数据-汇总表'!$C19:$C33,'剩余法-住宅'!D7,'数据-汇总表'!$E19:$E33)</f>
        <v>0</v>
      </c>
      <c r="E9" s="437">
        <f>SUMIF('数据-汇总表'!$C19:$C33,'剩余法-住宅'!E7,'数据-汇总表'!$E19:$E33)</f>
        <v>0</v>
      </c>
      <c r="F9" s="437">
        <f>SUMIF('数据-汇总表'!$C19:$C33,'剩余法-住宅'!F7,'数据-汇总表'!$E19:$E33)</f>
        <v>0</v>
      </c>
      <c r="G9" s="437">
        <f>SUMIF('数据-汇总表'!$C19:$C33,'剩余法-住宅'!G7,'数据-汇总表'!$E19:$E33)</f>
        <v>0</v>
      </c>
      <c r="H9" s="437">
        <f>SUMIF('数据-汇总表'!$C19:$C33,'剩余法-住宅'!H7,'数据-汇总表'!$E19:$E33)</f>
        <v>0</v>
      </c>
      <c r="I9" s="437">
        <f>SUMIF('数据-汇总表'!$C19:$C33,'剩余法-住宅'!I7,'数据-汇总表'!$E19:$E33)</f>
        <v>0</v>
      </c>
      <c r="J9" s="437">
        <f>SUMIF('数据-汇总表'!$C19:$C33,'剩余法-住宅'!J7,'数据-汇总表'!$E19:$E33)</f>
        <v>0</v>
      </c>
      <c r="K9" s="438">
        <f>SUMIF('数据-汇总表'!$C19:$C33,'剩余法-住宅'!K7,'数据-汇总表'!$E19:$E33)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1840</v>
      </c>
      <c r="B10" s="2819" t="s">
        <v>468</v>
      </c>
      <c r="C10" s="3023">
        <f>'不动产比较法-住宅'!B2</f>
        <v>1280094</v>
      </c>
      <c r="D10" s="3023">
        <f>ROUND(D8*D9/10000,0)</f>
        <v>0</v>
      </c>
      <c r="E10" s="3023"/>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1836</v>
      </c>
      <c r="B11" s="2826"/>
      <c r="C11" s="2826"/>
      <c r="D11" s="2826"/>
      <c r="E11" s="2826"/>
      <c r="F11" s="2826"/>
      <c r="G11" s="2826"/>
      <c r="H11" s="2826"/>
      <c r="I11" s="2826"/>
      <c r="J11" s="2826"/>
      <c r="K11" s="2828"/>
    </row>
    <row r="12" spans="1:31" s="2082" customFormat="1" ht="13.5" customHeight="1">
      <c r="A12" s="2837" t="s">
        <v>464</v>
      </c>
      <c r="B12" s="2809" t="s">
        <v>465</v>
      </c>
      <c r="C12" s="2838" t="s">
        <v>469</v>
      </c>
      <c r="D12" s="3173" t="s">
        <v>470</v>
      </c>
      <c r="E12" s="3173" t="s">
        <v>471</v>
      </c>
      <c r="F12" s="3173" t="s">
        <v>472</v>
      </c>
      <c r="G12" s="2809"/>
      <c r="H12" s="2810"/>
      <c r="I12" s="2810"/>
      <c r="J12" s="2810"/>
      <c r="K12" s="2811"/>
    </row>
    <row r="13" spans="1:31" s="2113" customFormat="1" ht="13.5" customHeight="1">
      <c r="A13" s="2839" t="s">
        <v>1841</v>
      </c>
      <c r="B13" s="2840" t="s">
        <v>473</v>
      </c>
      <c r="C13" s="446">
        <f ca="1">IF(B1="",'数据-取费表'!P16,INDIRECT("'数据-取费表'!p"&amp;$K$1)+INDIRECT("'数据-取费表'!t"&amp;$K$1))</f>
        <v>184402</v>
      </c>
      <c r="D13" s="2841"/>
      <c r="E13" s="2842"/>
      <c r="F13" s="2843"/>
      <c r="G13" s="2809"/>
      <c r="H13" s="2810"/>
      <c r="I13" s="2810"/>
      <c r="J13" s="2810"/>
      <c r="K13" s="2811"/>
    </row>
    <row r="14" spans="1:31" s="2113" customFormat="1" ht="13.5" customHeight="1">
      <c r="A14" s="2839" t="s">
        <v>1842</v>
      </c>
      <c r="B14" s="2840" t="s">
        <v>474</v>
      </c>
      <c r="C14" s="53">
        <f ca="1">ROUND(C13*F14,0)</f>
        <v>5532</v>
      </c>
      <c r="D14" s="2841"/>
      <c r="E14" s="2842"/>
      <c r="F14" s="2844">
        <f>'数据-取费表'!B33</f>
        <v>0.03</v>
      </c>
      <c r="G14" s="2809" t="s">
        <v>475</v>
      </c>
      <c r="H14" s="2810"/>
      <c r="I14" s="2810"/>
      <c r="J14" s="2810"/>
      <c r="K14" s="2811"/>
    </row>
    <row r="15" spans="1:31" s="2113" customFormat="1" ht="13.5" customHeight="1">
      <c r="A15" s="2839" t="s">
        <v>1843</v>
      </c>
      <c r="B15" s="2840" t="s">
        <v>476</v>
      </c>
      <c r="C15" s="53">
        <f ca="1">ROUND(IF(B1="",SUMIF('数据-取费表'!C:C,"住宅",'数据-取费表'!P:P)*F15,IF(INDIRECT("'数据-取费表'!c"&amp;$K$1)="住宅",INDIRECT("'数据-取费表'!P"&amp;$K$1)*F15,0)),0)</f>
        <v>27660</v>
      </c>
      <c r="D15" s="2841"/>
      <c r="E15" s="2842"/>
      <c r="F15" s="2844">
        <f>'数据-取费表'!B34</f>
        <v>0.15</v>
      </c>
      <c r="G15" s="2809" t="s">
        <v>477</v>
      </c>
      <c r="H15" s="2810"/>
      <c r="I15" s="2810"/>
      <c r="J15" s="2810"/>
      <c r="K15" s="2811"/>
    </row>
    <row r="16" spans="1:31" s="2114" customFormat="1" ht="13.5" customHeight="1">
      <c r="A16" s="2839" t="s">
        <v>1844</v>
      </c>
      <c r="B16" s="2840" t="s">
        <v>478</v>
      </c>
      <c r="C16" s="53">
        <f ca="1">ROUND(D16*E16/10000,0)</f>
        <v>8678</v>
      </c>
      <c r="D16" s="2841">
        <f ca="1">IF(B1="",'数据-汇总表'!E3,INDIRECT("'数据-取费表'!K"&amp;$K$1)+INDIRECT("'数据-取费表'!S"&amp;$K$1))</f>
        <v>433886</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1845</v>
      </c>
      <c r="B17" s="2840" t="s">
        <v>479</v>
      </c>
      <c r="C17" s="2845">
        <f ca="1">ROUND(C13*F17,0)</f>
        <v>2766</v>
      </c>
      <c r="D17" s="471"/>
      <c r="E17" s="2845"/>
      <c r="F17" s="2846">
        <f>'数据-取费表'!B36</f>
        <v>1.4999999999999999E-2</v>
      </c>
      <c r="G17" s="260" t="s">
        <v>480</v>
      </c>
      <c r="H17" s="2812"/>
      <c r="I17" s="2812"/>
      <c r="J17" s="2812"/>
      <c r="K17" s="275"/>
    </row>
    <row r="18" spans="1:14" s="2113" customFormat="1" ht="13.5" customHeight="1">
      <c r="A18" s="2847" t="s">
        <v>1846</v>
      </c>
      <c r="B18" s="2848" t="s">
        <v>481</v>
      </c>
      <c r="C18" s="2849">
        <f ca="1">SUM(C13:C17)</f>
        <v>229038</v>
      </c>
      <c r="D18" s="2850"/>
      <c r="E18" s="464"/>
      <c r="F18" s="464"/>
      <c r="G18" s="2813" t="s">
        <v>2425</v>
      </c>
      <c r="H18" s="2814"/>
      <c r="I18" s="2814"/>
      <c r="J18" s="2814"/>
      <c r="K18" s="2815"/>
    </row>
    <row r="19" spans="1:14" s="2113" customFormat="1" ht="13.5" customHeight="1">
      <c r="A19" s="2847" t="s">
        <v>1847</v>
      </c>
      <c r="B19" s="2848" t="s">
        <v>482</v>
      </c>
      <c r="C19" s="3173">
        <f ca="1">ROUND(D19*E19/10000,0)</f>
        <v>0</v>
      </c>
      <c r="D19" s="2851">
        <f ca="1">D16</f>
        <v>433886</v>
      </c>
      <c r="E19" s="3173">
        <f>'数据-取费表'!B32</f>
        <v>0</v>
      </c>
      <c r="F19" s="464"/>
      <c r="G19" s="2809" t="s">
        <v>483</v>
      </c>
      <c r="H19" s="2810"/>
      <c r="I19" s="2814"/>
      <c r="J19" s="2814"/>
      <c r="K19" s="2815"/>
    </row>
    <row r="20" spans="1:14" s="2113" customFormat="1" ht="13.5" customHeight="1">
      <c r="A20" s="2847" t="s">
        <v>1848</v>
      </c>
      <c r="B20" s="2848" t="s">
        <v>484</v>
      </c>
      <c r="C20" s="3173">
        <f ca="1">C21+C22-IF(B1="",'数据-取费表'!B29,IF(G20="已全部缴纳",C21+C22,H20))</f>
        <v>6942</v>
      </c>
      <c r="D20" s="2851"/>
      <c r="E20" s="3173"/>
      <c r="F20" s="2852"/>
      <c r="G20" s="3083" t="s">
        <v>3229</v>
      </c>
      <c r="H20" s="2807">
        <v>0</v>
      </c>
      <c r="I20" s="2808" t="s">
        <v>2646</v>
      </c>
      <c r="J20" s="2814"/>
      <c r="K20" s="2815"/>
    </row>
    <row r="21" spans="1:14" s="2113" customFormat="1" ht="13.5" customHeight="1">
      <c r="A21" s="2839" t="s">
        <v>1849</v>
      </c>
      <c r="B21" s="2840" t="s">
        <v>485</v>
      </c>
      <c r="C21" s="53">
        <f ca="1">ROUND(D21*E21/10000,0)</f>
        <v>6942</v>
      </c>
      <c r="D21" s="2841">
        <f ca="1">IF(B1="",'数据-汇总表'!E5,IF(INDIRECT("'数据-取费表'!c"&amp;$K$1)="住宅",INDIRECT("'数据-取费表'!k"&amp;$K$1),0))</f>
        <v>433886</v>
      </c>
      <c r="E21" s="53">
        <f>'数据-取费表'!B27</f>
        <v>160</v>
      </c>
      <c r="F21" s="2844"/>
      <c r="G21" s="26"/>
      <c r="H21" s="51"/>
      <c r="I21" s="51"/>
      <c r="J21" s="51"/>
      <c r="K21" s="2816"/>
    </row>
    <row r="22" spans="1:14" s="2113" customFormat="1" ht="13.5" customHeight="1">
      <c r="A22" s="2839" t="s">
        <v>1850</v>
      </c>
      <c r="B22" s="2840" t="s">
        <v>486</v>
      </c>
      <c r="C22" s="53">
        <f ca="1">ROUND(D22*E22/10000,0)</f>
        <v>0</v>
      </c>
      <c r="D22" s="2841">
        <f ca="1">IF(B1="",'数据-汇总表'!E6,IF(INDIRECT("'数据-取费表'!c"&amp;$K$1)="住宅",INDIRECT("'数据-取费表'!s"&amp;$K$1),INDIRECT("'数据-取费表'!k"&amp;$K$1)+INDIRECT("'数据-取费表'!s"&amp;$K$1)))</f>
        <v>0</v>
      </c>
      <c r="E22" s="53">
        <f>'数据-取费表'!B28</f>
        <v>200</v>
      </c>
      <c r="F22" s="2844"/>
      <c r="G22" s="26"/>
      <c r="H22" s="51"/>
      <c r="I22" s="51"/>
      <c r="J22" s="51"/>
      <c r="K22" s="2816"/>
    </row>
    <row r="23" spans="1:14" s="2113" customFormat="1" ht="13.5" customHeight="1">
      <c r="A23" s="2847" t="s">
        <v>1851</v>
      </c>
      <c r="B23" s="3029" t="s">
        <v>2829</v>
      </c>
      <c r="C23" s="2849">
        <f ca="1">ROUND((C18+C19+C20)*F23,0)</f>
        <v>7079</v>
      </c>
      <c r="D23" s="464"/>
      <c r="E23" s="464"/>
      <c r="F23" s="2853">
        <f>'数据-取费表'!B37</f>
        <v>0.03</v>
      </c>
      <c r="G23" s="2809" t="s">
        <v>2426</v>
      </c>
      <c r="H23" s="2810"/>
      <c r="I23" s="2810"/>
      <c r="J23" s="2810"/>
      <c r="K23" s="2811"/>
      <c r="L23" s="2115"/>
      <c r="M23" s="2115"/>
      <c r="N23" s="2115"/>
    </row>
    <row r="24" spans="1:14" s="2113" customFormat="1" ht="13.5" customHeight="1">
      <c r="A24" s="2847" t="s">
        <v>1852</v>
      </c>
      <c r="B24" s="3029" t="s">
        <v>2832</v>
      </c>
      <c r="C24" s="2849">
        <f>ROUND(C6*F24,0)</f>
        <v>38403</v>
      </c>
      <c r="D24" s="471"/>
      <c r="E24" s="469"/>
      <c r="F24" s="2853">
        <f>'数据-取费表'!B38</f>
        <v>0.03</v>
      </c>
      <c r="G24" s="2818" t="s">
        <v>493</v>
      </c>
      <c r="H24" s="2812"/>
      <c r="I24" s="2812"/>
      <c r="J24" s="2812"/>
      <c r="K24" s="275"/>
      <c r="L24" s="2115"/>
      <c r="M24" s="2115"/>
      <c r="N24" s="2115"/>
    </row>
    <row r="25" spans="1:14" s="2116" customFormat="1" ht="13.5" customHeight="1">
      <c r="A25" s="2847" t="s">
        <v>1853</v>
      </c>
      <c r="B25" s="3029" t="s">
        <v>2830</v>
      </c>
      <c r="C25" s="463">
        <f>ROUND(F25/(1+'数据-取费表'!C42),4)</f>
        <v>2.9000000000000001E-2</v>
      </c>
      <c r="D25" s="458" t="s">
        <v>2824</v>
      </c>
      <c r="E25" s="465"/>
      <c r="F25" s="2853">
        <f>'数据-取费表'!B48+'数据-取费表'!B49</f>
        <v>3.0499999999999999E-2</v>
      </c>
      <c r="G25" s="2817" t="s">
        <v>2284</v>
      </c>
      <c r="H25" s="2810"/>
      <c r="I25" s="2810"/>
      <c r="J25" s="2810"/>
      <c r="K25" s="2811"/>
    </row>
    <row r="26" spans="1:14" s="2115" customFormat="1" ht="13.5" customHeight="1">
      <c r="A26" s="2847" t="s">
        <v>1854</v>
      </c>
      <c r="B26" s="3030" t="s">
        <v>2831</v>
      </c>
      <c r="C26" s="2854">
        <f ca="1">C28</f>
        <v>20290</v>
      </c>
      <c r="D26" s="463">
        <f ca="1">C27</f>
        <v>0.1537</v>
      </c>
      <c r="E26" s="465" t="s">
        <v>489</v>
      </c>
      <c r="F26" s="467">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799" t="s">
        <v>1849</v>
      </c>
      <c r="B27" s="2855" t="s">
        <v>490</v>
      </c>
      <c r="C27" s="2856">
        <f ca="1">ROUND(IF('数据-取费表'!B22&lt;=1,(1+C25)*F26*'数据-取费表'!B24,(1+C25)*(POWER((1+F26),'数据-取费表'!B24)-1)),4)</f>
        <v>0.1537</v>
      </c>
      <c r="D27" s="468"/>
      <c r="E27" s="469"/>
      <c r="F27" s="470"/>
      <c r="G27" s="2569" t="str">
        <f>IF('数据-取费表'!B22&lt;=1,"（1+取得税费率/(1+5%)）×年利率×建设期","（1+取得税费率）/(1+5%)×((1+年利率)^建设期-1)")</f>
        <v>（1+取得税费率）/(1+5%)×((1+年利率)^建设期-1)</v>
      </c>
      <c r="H27" s="2812"/>
      <c r="I27" s="2812"/>
      <c r="J27" s="2812"/>
      <c r="K27" s="275"/>
    </row>
    <row r="28" spans="1:14" s="2117" customFormat="1" ht="13.5" customHeight="1">
      <c r="A28" s="799" t="s">
        <v>1850</v>
      </c>
      <c r="B28" s="2855" t="s">
        <v>2833</v>
      </c>
      <c r="C28" s="2857">
        <f ca="1">ROUND(IF('数据-取费表'!B22&lt;=1,(C18+C19+C20+C23+C24)*F26*'数据-取费表'!B24/2,(C18+C19+C20+C23+C24)*(POWER((1+F26),'数据-取费表'!B24/2)-1)),0)</f>
        <v>20290</v>
      </c>
      <c r="D28" s="468"/>
      <c r="E28" s="469"/>
      <c r="F28" s="470"/>
      <c r="G28" s="2569" t="str">
        <f>IF('数据-取费表'!B22&lt;=1,"（1）-（4）项×年利率×建设期÷2","（1）-（4）项×((1+年利率)^(建设期÷2)-1)")</f>
        <v>（1）-（4）项×((1+年利率)^(建设期÷2)-1)</v>
      </c>
      <c r="H28" s="2812"/>
      <c r="I28" s="2812"/>
      <c r="J28" s="2812"/>
      <c r="K28" s="275"/>
    </row>
    <row r="29" spans="1:14" s="2117" customFormat="1" ht="13.5" customHeight="1">
      <c r="A29" s="2858" t="s">
        <v>1855</v>
      </c>
      <c r="B29" s="2848" t="s">
        <v>491</v>
      </c>
      <c r="C29" s="2849">
        <f>ROUND(C6*F29/(1+'数据-取费表'!C42),0)</f>
        <v>68272</v>
      </c>
      <c r="D29" s="464"/>
      <c r="E29" s="464"/>
      <c r="F29" s="3031">
        <f>'数据-取费表'!B41</f>
        <v>5.6000000000000001E-2</v>
      </c>
      <c r="G29" s="2818" t="s">
        <v>492</v>
      </c>
      <c r="H29" s="2810"/>
      <c r="I29" s="2810"/>
      <c r="J29" s="2810"/>
      <c r="K29" s="2811"/>
    </row>
    <row r="30" spans="1:14" s="2118" customFormat="1" ht="13.5" customHeight="1">
      <c r="A30" s="1631" t="s">
        <v>1856</v>
      </c>
      <c r="B30" s="2859" t="s">
        <v>494</v>
      </c>
      <c r="C30" s="2854">
        <f ca="1">C31</f>
        <v>370024</v>
      </c>
      <c r="D30" s="473">
        <f ca="1">C32</f>
        <v>0.1827</v>
      </c>
      <c r="E30" s="465" t="s">
        <v>489</v>
      </c>
      <c r="F30" s="467"/>
      <c r="G30" s="2817" t="s">
        <v>2969</v>
      </c>
      <c r="H30" s="2810"/>
      <c r="I30" s="2810"/>
      <c r="J30" s="2810"/>
      <c r="K30" s="2811"/>
    </row>
    <row r="31" spans="1:14" s="2117" customFormat="1" ht="13.5" customHeight="1">
      <c r="A31" s="799" t="s">
        <v>1849</v>
      </c>
      <c r="B31" s="2855"/>
      <c r="C31" s="446">
        <f ca="1">C18+C19+C20+C23+C24+C26+C29</f>
        <v>370024</v>
      </c>
      <c r="D31" s="468"/>
      <c r="E31" s="469"/>
      <c r="F31" s="470"/>
      <c r="G31" s="260"/>
      <c r="H31" s="2812"/>
      <c r="I31" s="2812"/>
      <c r="J31" s="2812"/>
      <c r="K31" s="275"/>
    </row>
    <row r="32" spans="1:14" s="2117" customFormat="1" ht="13.5" customHeight="1">
      <c r="A32" s="799" t="s">
        <v>1850</v>
      </c>
      <c r="B32" s="2855"/>
      <c r="C32" s="53">
        <f ca="1">ROUND(C25+D26,4)</f>
        <v>0.1827</v>
      </c>
      <c r="D32" s="468"/>
      <c r="E32" s="469"/>
      <c r="F32" s="470"/>
      <c r="G32" s="260"/>
      <c r="H32" s="2812"/>
      <c r="I32" s="2812"/>
      <c r="J32" s="2812"/>
      <c r="K32" s="275"/>
    </row>
    <row r="33" spans="1:11" s="2119" customFormat="1" ht="13.5" customHeight="1">
      <c r="A33" s="3028" t="s">
        <v>2828</v>
      </c>
      <c r="B33" s="3026" t="s">
        <v>2826</v>
      </c>
      <c r="C33" s="474">
        <f ca="1">C35</f>
        <v>56292</v>
      </c>
      <c r="D33" s="463">
        <f ca="1">C34</f>
        <v>0.20580000000000001</v>
      </c>
      <c r="E33" s="465" t="s">
        <v>489</v>
      </c>
      <c r="F33" s="475">
        <f ca="1">IF(B1="",'数据-取费表'!Q16,INDIRECT("'数据-取费表'!q"&amp;$K$1))</f>
        <v>0.2</v>
      </c>
      <c r="G33" s="2813"/>
      <c r="H33" s="2814"/>
      <c r="I33" s="2814"/>
      <c r="J33" s="2814"/>
      <c r="K33" s="2815"/>
    </row>
    <row r="34" spans="1:11" s="2120" customFormat="1" ht="13.5" customHeight="1">
      <c r="A34" s="371" t="s">
        <v>1849</v>
      </c>
      <c r="B34" s="2860" t="s">
        <v>495</v>
      </c>
      <c r="C34" s="468">
        <f ca="1">ROUND((1+C25)*F33,4)</f>
        <v>0.20580000000000001</v>
      </c>
      <c r="D34" s="468"/>
      <c r="E34" s="469"/>
      <c r="F34" s="476"/>
      <c r="G34" s="260" t="s">
        <v>2285</v>
      </c>
      <c r="H34" s="2812"/>
      <c r="I34" s="2812"/>
      <c r="J34" s="2812"/>
      <c r="K34" s="275"/>
    </row>
    <row r="35" spans="1:11" s="2120" customFormat="1" ht="13.5" customHeight="1" thickBot="1">
      <c r="A35" s="1632" t="s">
        <v>1850</v>
      </c>
      <c r="B35" s="3027" t="s">
        <v>2834</v>
      </c>
      <c r="C35" s="1624">
        <f ca="1">ROUND((C18+C19+C20+C23+C24)*F33,0)</f>
        <v>56292</v>
      </c>
      <c r="D35" s="1625"/>
      <c r="E35" s="2861"/>
      <c r="F35" s="1626"/>
      <c r="G35" s="2819"/>
      <c r="H35" s="2820"/>
      <c r="I35" s="2820"/>
      <c r="J35" s="2820"/>
      <c r="K35" s="2821"/>
    </row>
    <row r="36" spans="1:11" s="2082" customFormat="1" ht="13.5" customHeight="1" thickBot="1">
      <c r="A36" s="280" t="s">
        <v>1837</v>
      </c>
      <c r="B36" s="2823"/>
      <c r="C36" s="2862">
        <f ca="1">ROUND((C6-C30-C33)/(1+D30+D33),0)</f>
        <v>614892</v>
      </c>
      <c r="D36" s="2823"/>
      <c r="E36" s="2823"/>
      <c r="F36" s="2823"/>
      <c r="G36" s="2822" t="s">
        <v>2835</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5" sqref="A5:XFD5"/>
    </sheetView>
  </sheetViews>
  <sheetFormatPr defaultRowHeight="14.25"/>
  <cols>
    <col min="1" max="1" width="10.5" style="1333" customWidth="1"/>
    <col min="2" max="2" width="15.75" style="1333" customWidth="1"/>
    <col min="3" max="3" width="15.125" style="1333" customWidth="1"/>
    <col min="4" max="4" width="12.25" style="1333" customWidth="1"/>
    <col min="5" max="5" width="17.5" style="1333" customWidth="1"/>
    <col min="6" max="6" width="12.25" style="1333" customWidth="1"/>
    <col min="7" max="7" width="20.625" style="1333" customWidth="1"/>
    <col min="8" max="8" width="12.25" style="1333" customWidth="1"/>
    <col min="9" max="9" width="1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2620" t="s">
        <v>713</v>
      </c>
      <c r="C1" s="2621" t="s">
        <v>714</v>
      </c>
      <c r="D1" s="2622" t="s">
        <v>917</v>
      </c>
      <c r="E1" s="2623"/>
      <c r="F1" s="2804" t="s">
        <v>3097</v>
      </c>
      <c r="G1" s="1597" t="s">
        <v>715</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19" t="s">
        <v>461</v>
      </c>
      <c r="B2" s="2619">
        <f>ROUND(B3*D3/10000,0)</f>
        <v>1280094</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5" t="s">
        <v>513</v>
      </c>
      <c r="B3" s="847">
        <f>C49</f>
        <v>29503</v>
      </c>
      <c r="C3" s="848" t="s">
        <v>716</v>
      </c>
      <c r="D3" s="847">
        <f>SUMIF('数据-汇总表'!$C19:$C33,D1,'数据-汇总表'!$E19:$E33)</f>
        <v>433886</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8" t="s">
        <v>515</v>
      </c>
      <c r="B4" s="509"/>
      <c r="C4" s="3552" t="s">
        <v>516</v>
      </c>
      <c r="D4" s="3553"/>
      <c r="E4" s="3554" t="s">
        <v>517</v>
      </c>
      <c r="F4" s="3555"/>
      <c r="G4" s="3552" t="s">
        <v>518</v>
      </c>
      <c r="H4" s="3553"/>
      <c r="I4" s="3552" t="s">
        <v>519</v>
      </c>
      <c r="J4" s="3553"/>
      <c r="K4" s="849" t="s">
        <v>520</v>
      </c>
      <c r="L4" s="2130"/>
      <c r="M4" s="2131"/>
      <c r="N4" s="2131"/>
      <c r="O4" s="2131"/>
      <c r="P4" s="3556" t="s">
        <v>521</v>
      </c>
      <c r="Q4" s="3557"/>
      <c r="R4" s="3539" t="s">
        <v>517</v>
      </c>
      <c r="S4" s="3540"/>
      <c r="T4" s="3539" t="s">
        <v>518</v>
      </c>
      <c r="U4" s="3540"/>
      <c r="V4" s="3564" t="s">
        <v>519</v>
      </c>
      <c r="W4" s="3564"/>
      <c r="X4" s="1563"/>
      <c r="Y4" s="3539" t="s">
        <v>521</v>
      </c>
      <c r="Z4" s="3540"/>
      <c r="AA4" s="3534" t="s">
        <v>517</v>
      </c>
      <c r="AB4" s="3534" t="s">
        <v>518</v>
      </c>
      <c r="AC4" s="3534" t="s">
        <v>519</v>
      </c>
    </row>
    <row r="5" spans="1:29" ht="15.75" thickBot="1">
      <c r="A5" s="511"/>
      <c r="B5" s="512"/>
      <c r="C5" s="3545" t="s">
        <v>3098</v>
      </c>
      <c r="D5" s="3546"/>
      <c r="E5" s="3543" t="s">
        <v>3099</v>
      </c>
      <c r="F5" s="3544"/>
      <c r="G5" s="3545" t="s">
        <v>3225</v>
      </c>
      <c r="H5" s="3546"/>
      <c r="I5" s="3545" t="s">
        <v>3100</v>
      </c>
      <c r="J5" s="3546"/>
      <c r="K5" s="850"/>
      <c r="L5" s="2130"/>
      <c r="M5" s="2131"/>
      <c r="N5" s="2131"/>
      <c r="O5" s="2131"/>
      <c r="P5" s="3558"/>
      <c r="Q5" s="3559"/>
      <c r="R5" s="3541"/>
      <c r="S5" s="3542"/>
      <c r="T5" s="3541"/>
      <c r="U5" s="3542"/>
      <c r="V5" s="3564"/>
      <c r="W5" s="3564"/>
      <c r="X5" s="1563"/>
      <c r="Y5" s="3541"/>
      <c r="Z5" s="3542"/>
      <c r="AA5" s="3535"/>
      <c r="AB5" s="3535"/>
      <c r="AC5" s="3535"/>
    </row>
    <row r="6" spans="1:29" ht="15.75" hidden="1" thickBot="1">
      <c r="A6" s="513"/>
      <c r="B6" s="514"/>
      <c r="C6" s="3547" t="s">
        <v>2929</v>
      </c>
      <c r="D6" s="3548"/>
      <c r="E6" s="3549" t="s">
        <v>2929</v>
      </c>
      <c r="F6" s="3550"/>
      <c r="G6" s="3547" t="s">
        <v>2929</v>
      </c>
      <c r="H6" s="3548"/>
      <c r="I6" s="3547" t="s">
        <v>2929</v>
      </c>
      <c r="J6" s="3548"/>
      <c r="K6" s="850" t="s">
        <v>522</v>
      </c>
      <c r="L6" s="2130"/>
      <c r="M6" s="2131"/>
      <c r="N6" s="2131"/>
      <c r="O6" s="2131"/>
      <c r="P6" s="3560"/>
      <c r="Q6" s="3561"/>
      <c r="R6" s="3541"/>
      <c r="S6" s="3542"/>
      <c r="T6" s="3562"/>
      <c r="U6" s="3563"/>
      <c r="V6" s="3564"/>
      <c r="W6" s="3564"/>
      <c r="X6" s="1563"/>
      <c r="Y6" s="3562"/>
      <c r="Z6" s="3563"/>
      <c r="AA6" s="3536"/>
      <c r="AB6" s="3536"/>
      <c r="AC6" s="3536"/>
    </row>
    <row r="7" spans="1:29" s="1216" customFormat="1" ht="15.75" thickBot="1">
      <c r="A7" s="2909"/>
      <c r="B7" s="2916" t="s">
        <v>523</v>
      </c>
      <c r="C7" s="515">
        <f>'数据-取费表'!B2</f>
        <v>43388</v>
      </c>
      <c r="D7" s="516">
        <v>100</v>
      </c>
      <c r="E7" s="517">
        <v>43388</v>
      </c>
      <c r="F7" s="518">
        <f>SUMIF(58:58,YEAR(E7)&amp;"-"&amp;MONTH(E7),59:59)</f>
        <v>100</v>
      </c>
      <c r="G7" s="519">
        <v>43388</v>
      </c>
      <c r="H7" s="516">
        <f>SUMIF(58:58,YEAR(G7)&amp;"-"&amp;MONTH(G7),59:59)</f>
        <v>100</v>
      </c>
      <c r="I7" s="519">
        <v>43388</v>
      </c>
      <c r="J7" s="516">
        <f>SUMIF(58:58,YEAR(I7)&amp;"-"&amp;MONTH(I7),59:59)</f>
        <v>100</v>
      </c>
      <c r="K7" s="851"/>
      <c r="L7" s="2132"/>
      <c r="M7" s="2133"/>
      <c r="N7" s="2133"/>
      <c r="O7" s="2133"/>
      <c r="P7" s="3537" t="s">
        <v>524</v>
      </c>
      <c r="Q7" s="3565"/>
      <c r="R7" s="1564" t="s">
        <v>13</v>
      </c>
      <c r="S7" s="1565">
        <f t="shared" ref="S7:S15" si="0">F7</f>
        <v>100</v>
      </c>
      <c r="T7" s="1564" t="s">
        <v>13</v>
      </c>
      <c r="U7" s="1565">
        <f t="shared" ref="U7:U15" si="1">H7</f>
        <v>100</v>
      </c>
      <c r="V7" s="1564" t="s">
        <v>13</v>
      </c>
      <c r="W7" s="1565">
        <f t="shared" ref="W7:W15" si="2">J7</f>
        <v>100</v>
      </c>
      <c r="X7" s="1566"/>
      <c r="Y7" s="3537" t="s">
        <v>524</v>
      </c>
      <c r="Z7" s="3538"/>
      <c r="AA7" s="1567">
        <f>D7/F7</f>
        <v>1</v>
      </c>
      <c r="AB7" s="1567">
        <f>D7/H7</f>
        <v>1</v>
      </c>
      <c r="AC7" s="1567">
        <f>D7/J7</f>
        <v>1</v>
      </c>
    </row>
    <row r="8" spans="1:29" s="1216" customFormat="1" ht="15.75" thickBot="1">
      <c r="A8" s="2910"/>
      <c r="B8" s="2917" t="s">
        <v>525</v>
      </c>
      <c r="C8" s="521" t="s">
        <v>570</v>
      </c>
      <c r="D8" s="516">
        <v>100</v>
      </c>
      <c r="E8" s="852" t="s">
        <v>3236</v>
      </c>
      <c r="F8" s="518">
        <f>SUMIF(61:61,E8,62:62)-SUMIF(61:61,C8,62:62)+100</f>
        <v>100</v>
      </c>
      <c r="G8" s="852" t="s">
        <v>3236</v>
      </c>
      <c r="H8" s="516">
        <f>SUMIF(61:61,G8,62:62)-SUMIF(61:61,C8,62:62)+100</f>
        <v>100</v>
      </c>
      <c r="I8" s="852" t="s">
        <v>3236</v>
      </c>
      <c r="J8" s="516">
        <f>SUMIF(61:61,I8,62:62)-SUMIF(61:61,C8,62:62)+100</f>
        <v>100</v>
      </c>
      <c r="K8" s="851"/>
      <c r="L8" s="2132"/>
      <c r="M8" s="2133"/>
      <c r="N8" s="2133"/>
      <c r="O8" s="2133"/>
      <c r="P8" s="3537" t="s">
        <v>527</v>
      </c>
      <c r="Q8" s="3538"/>
      <c r="R8" s="1564" t="s">
        <v>13</v>
      </c>
      <c r="S8" s="1565">
        <f t="shared" si="0"/>
        <v>100</v>
      </c>
      <c r="T8" s="1564" t="s">
        <v>13</v>
      </c>
      <c r="U8" s="1565">
        <f t="shared" si="1"/>
        <v>100</v>
      </c>
      <c r="V8" s="1564" t="s">
        <v>13</v>
      </c>
      <c r="W8" s="1565">
        <f t="shared" si="2"/>
        <v>100</v>
      </c>
      <c r="X8" s="1566"/>
      <c r="Y8" s="3537" t="s">
        <v>527</v>
      </c>
      <c r="Z8" s="3538"/>
      <c r="AA8" s="1567">
        <f t="shared" ref="AA8:AA46" si="3">D8/F8</f>
        <v>1</v>
      </c>
      <c r="AB8" s="1567">
        <f t="shared" ref="AB8:AB46" si="4">D8/H8</f>
        <v>1</v>
      </c>
      <c r="AC8" s="1567">
        <f t="shared" ref="AC8:AC46" si="5">D8/J8</f>
        <v>1</v>
      </c>
    </row>
    <row r="9" spans="1:29" s="1216" customFormat="1" ht="15">
      <c r="A9" s="2911"/>
      <c r="B9" s="2918" t="s">
        <v>2751</v>
      </c>
      <c r="C9" s="3258" t="s">
        <v>3102</v>
      </c>
      <c r="D9" s="253">
        <v>100</v>
      </c>
      <c r="E9" s="854" t="s">
        <v>917</v>
      </c>
      <c r="F9" s="855">
        <f>SUMIF(63:63,E9,64:64)-SUMIF(63:63,C9,64:64)+100</f>
        <v>100</v>
      </c>
      <c r="G9" s="856" t="s">
        <v>917</v>
      </c>
      <c r="H9" s="253">
        <f>SUMIF(63:63,G9,64:64)-SUMIF(63:63,C9,64:64)+100</f>
        <v>100</v>
      </c>
      <c r="I9" s="856" t="s">
        <v>917</v>
      </c>
      <c r="J9" s="253">
        <f>SUMIF(63:63,I9,64:64)-SUMIF(63:63,C9,64:64)+100</f>
        <v>100</v>
      </c>
      <c r="K9" s="851"/>
      <c r="L9" s="2132"/>
      <c r="M9" s="2133"/>
      <c r="N9" s="2133"/>
      <c r="O9" s="2134"/>
      <c r="P9" s="3551" t="s">
        <v>529</v>
      </c>
      <c r="Q9" s="1147" t="str">
        <f t="shared" ref="Q9:Q15" si="6">B9</f>
        <v>用途</v>
      </c>
      <c r="R9" s="1564" t="s">
        <v>8</v>
      </c>
      <c r="S9" s="1565">
        <f t="shared" si="0"/>
        <v>100</v>
      </c>
      <c r="T9" s="1564" t="s">
        <v>8</v>
      </c>
      <c r="U9" s="1565">
        <f t="shared" si="1"/>
        <v>100</v>
      </c>
      <c r="V9" s="1564" t="s">
        <v>8</v>
      </c>
      <c r="W9" s="1565">
        <f t="shared" si="2"/>
        <v>100</v>
      </c>
      <c r="X9" s="1566"/>
      <c r="Y9" s="3489" t="s">
        <v>530</v>
      </c>
      <c r="Z9" s="1146" t="str">
        <f t="shared" ref="Z9:Z15" si="7">Q9</f>
        <v>用途</v>
      </c>
      <c r="AA9" s="1567">
        <f t="shared" si="3"/>
        <v>1</v>
      </c>
      <c r="AB9" s="1567">
        <f t="shared" si="4"/>
        <v>1</v>
      </c>
      <c r="AC9" s="1567">
        <f t="shared" si="5"/>
        <v>1</v>
      </c>
    </row>
    <row r="10" spans="1:29" s="1334" customFormat="1" ht="27.75" thickBot="1">
      <c r="A10" s="2912"/>
      <c r="B10" s="2917" t="s">
        <v>2752</v>
      </c>
      <c r="C10" s="857" t="s">
        <v>3103</v>
      </c>
      <c r="D10" s="254">
        <v>100</v>
      </c>
      <c r="E10" s="858" t="s">
        <v>3103</v>
      </c>
      <c r="F10" s="859">
        <f>SUMIF(65:65,E10,66:66)-SUMIF(65:65,C10,66:66)+100</f>
        <v>100</v>
      </c>
      <c r="G10" s="857" t="s">
        <v>3103</v>
      </c>
      <c r="H10" s="254">
        <f>SUMIF(65:65,G10,66:66)-SUMIF(65:65,C10,66:66)+100</f>
        <v>100</v>
      </c>
      <c r="I10" s="857" t="s">
        <v>3103</v>
      </c>
      <c r="J10" s="254">
        <f>SUMIF(65:65,I10,66:66)-SUMIF(65:65,C10,66:66)+100</f>
        <v>100</v>
      </c>
      <c r="K10" s="860">
        <v>1</v>
      </c>
      <c r="L10" s="2135"/>
      <c r="M10" s="2175"/>
      <c r="N10" s="2175"/>
      <c r="O10" s="2136"/>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hidden="1">
      <c r="A11" s="2913"/>
      <c r="B11" s="2917" t="s">
        <v>2753</v>
      </c>
      <c r="C11" s="529">
        <v>1</v>
      </c>
      <c r="D11" s="254">
        <v>100</v>
      </c>
      <c r="E11" s="530">
        <v>1</v>
      </c>
      <c r="F11" s="859">
        <f>LOOKUP(E11,68:68,69:69)-LOOKUP(C11,68:68,69:69)+100</f>
        <v>100</v>
      </c>
      <c r="G11" s="529">
        <v>1</v>
      </c>
      <c r="H11" s="254">
        <f>LOOKUP(G11,68:68,69:69)-LOOKUP(C11,68:68,69:69)+100</f>
        <v>100</v>
      </c>
      <c r="I11" s="529">
        <v>1</v>
      </c>
      <c r="J11" s="254">
        <f>LOOKUP(I11,68:68,69:69)-LOOKUP(C11,68:68,69:69)+100</f>
        <v>100</v>
      </c>
      <c r="K11" s="860"/>
      <c r="L11" s="2137"/>
      <c r="M11" s="2131"/>
      <c r="N11" s="2131"/>
      <c r="O11" s="2138"/>
      <c r="P11" s="3551"/>
      <c r="Q11" s="1147" t="str">
        <f t="shared" si="6"/>
        <v>容积率</v>
      </c>
      <c r="R11" s="1564" t="s">
        <v>11</v>
      </c>
      <c r="S11" s="1565">
        <f t="shared" si="0"/>
        <v>100</v>
      </c>
      <c r="T11" s="1564" t="s">
        <v>11</v>
      </c>
      <c r="U11" s="1565">
        <f t="shared" si="1"/>
        <v>100</v>
      </c>
      <c r="V11" s="1564" t="s">
        <v>11</v>
      </c>
      <c r="W11" s="1565">
        <f t="shared" si="2"/>
        <v>100</v>
      </c>
      <c r="X11" s="1566"/>
      <c r="Y11" s="3489"/>
      <c r="Z11" s="1146" t="str">
        <f t="shared" si="7"/>
        <v>容积率</v>
      </c>
      <c r="AA11" s="1567">
        <f t="shared" si="3"/>
        <v>1</v>
      </c>
      <c r="AB11" s="1567">
        <f t="shared" si="4"/>
        <v>1</v>
      </c>
      <c r="AC11" s="1567">
        <f t="shared" si="5"/>
        <v>1</v>
      </c>
    </row>
    <row r="12" spans="1:29" s="1216" customFormat="1" ht="15" hidden="1">
      <c r="A12" s="2914"/>
      <c r="B12" s="2920"/>
      <c r="C12" s="524"/>
      <c r="D12" s="534">
        <v>100</v>
      </c>
      <c r="E12" s="524"/>
      <c r="F12" s="859">
        <f>SUMIF(70:70,E12,71:71)-SUMIF(70:70,C12,71:71)+100</f>
        <v>100</v>
      </c>
      <c r="G12" s="524"/>
      <c r="H12" s="254">
        <f>SUMIF(70:70,G12,71:71)-SUMIF(70:70,C12,71:71)+100</f>
        <v>100</v>
      </c>
      <c r="I12" s="524"/>
      <c r="J12" s="254">
        <f>SUMIF(70:70,I12,71:71)-SUMIF(70:70,C12,71:71)+100</f>
        <v>100</v>
      </c>
      <c r="K12" s="861"/>
      <c r="L12" s="2132"/>
      <c r="M12" s="2133"/>
      <c r="N12" s="2133"/>
      <c r="O12" s="2134"/>
      <c r="P12" s="3551"/>
      <c r="Q12" s="1147">
        <f t="shared" si="6"/>
        <v>0</v>
      </c>
      <c r="R12" s="1564" t="s">
        <v>11</v>
      </c>
      <c r="S12" s="1565">
        <f t="shared" si="0"/>
        <v>100</v>
      </c>
      <c r="T12" s="1564" t="s">
        <v>11</v>
      </c>
      <c r="U12" s="1565">
        <f t="shared" si="1"/>
        <v>100</v>
      </c>
      <c r="V12" s="1564" t="s">
        <v>11</v>
      </c>
      <c r="W12" s="1565">
        <f t="shared" si="2"/>
        <v>100</v>
      </c>
      <c r="X12" s="1566"/>
      <c r="Y12" s="3489"/>
      <c r="Z12" s="1146">
        <f t="shared" si="7"/>
        <v>0</v>
      </c>
      <c r="AA12" s="1567">
        <f>D12/F12</f>
        <v>1</v>
      </c>
      <c r="AB12" s="1567">
        <f>D12/H12</f>
        <v>1</v>
      </c>
      <c r="AC12" s="1567">
        <f>D12/J12</f>
        <v>1</v>
      </c>
    </row>
    <row r="13" spans="1:29" ht="15" hidden="1">
      <c r="A13" s="2914"/>
      <c r="B13" s="2920">
        <v>111</v>
      </c>
      <c r="C13" s="535"/>
      <c r="D13" s="536">
        <v>100</v>
      </c>
      <c r="E13" s="535"/>
      <c r="F13" s="859">
        <f>SUMIF(72:72,E13,73:73)-SUMIF(72:72,C13,73:73)+100</f>
        <v>100</v>
      </c>
      <c r="G13" s="535"/>
      <c r="H13" s="536">
        <f>SUMIF(72:72,G13,73:73)-SUMIF(72:72,C13,73:73)+100</f>
        <v>100</v>
      </c>
      <c r="I13" s="535"/>
      <c r="J13" s="536">
        <f>SUMIF(72:72,I13,73:73)-SUMIF(72:72,C13,73:73)+100</f>
        <v>100</v>
      </c>
      <c r="K13" s="861"/>
      <c r="L13" s="2139"/>
      <c r="M13" s="2131"/>
      <c r="N13" s="2131"/>
      <c r="O13" s="2138"/>
      <c r="P13" s="3551"/>
      <c r="Q13" s="1147">
        <f t="shared" si="6"/>
        <v>111</v>
      </c>
      <c r="R13" s="1564" t="s">
        <v>11</v>
      </c>
      <c r="S13" s="1565">
        <f t="shared" si="0"/>
        <v>100</v>
      </c>
      <c r="T13" s="1564" t="s">
        <v>11</v>
      </c>
      <c r="U13" s="1565">
        <f t="shared" si="1"/>
        <v>100</v>
      </c>
      <c r="V13" s="1564" t="s">
        <v>11</v>
      </c>
      <c r="W13" s="1565">
        <f t="shared" si="2"/>
        <v>100</v>
      </c>
      <c r="X13" s="1566"/>
      <c r="Y13" s="3489"/>
      <c r="Z13" s="1146">
        <f t="shared" si="7"/>
        <v>111</v>
      </c>
      <c r="AA13" s="1567">
        <f t="shared" si="3"/>
        <v>1</v>
      </c>
      <c r="AB13" s="1567">
        <f t="shared" si="4"/>
        <v>1</v>
      </c>
      <c r="AC13" s="1567">
        <f t="shared" si="5"/>
        <v>1</v>
      </c>
    </row>
    <row r="14" spans="1:29" ht="15.75" hidden="1" thickBot="1">
      <c r="A14" s="2915"/>
      <c r="B14" s="2921">
        <v>111</v>
      </c>
      <c r="C14" s="541"/>
      <c r="D14" s="542">
        <v>100</v>
      </c>
      <c r="E14" s="541"/>
      <c r="F14" s="862">
        <f>SUMIF(74:74,E14,75:75)-SUMIF(74:74,C14,75:75)+100</f>
        <v>100</v>
      </c>
      <c r="G14" s="541"/>
      <c r="H14" s="542">
        <f>SUMIF(74:74,G14,75:75)-SUMIF(74:74,C14,75:75)+100</f>
        <v>100</v>
      </c>
      <c r="I14" s="541"/>
      <c r="J14" s="542">
        <f>SUMIF(74:74,I14,75:75)-SUMIF(74:74,C14,75:75)+100</f>
        <v>100</v>
      </c>
      <c r="K14" s="861"/>
      <c r="L14" s="2139"/>
      <c r="M14" s="2131"/>
      <c r="N14" s="2131"/>
      <c r="O14" s="2138"/>
      <c r="P14" s="3551"/>
      <c r="Q14" s="1147">
        <f t="shared" si="6"/>
        <v>111</v>
      </c>
      <c r="R14" s="1564" t="s">
        <v>11</v>
      </c>
      <c r="S14" s="1565">
        <f t="shared" si="0"/>
        <v>100</v>
      </c>
      <c r="T14" s="1564" t="s">
        <v>11</v>
      </c>
      <c r="U14" s="1565">
        <f t="shared" si="1"/>
        <v>100</v>
      </c>
      <c r="V14" s="1564" t="s">
        <v>11</v>
      </c>
      <c r="W14" s="1565">
        <f t="shared" si="2"/>
        <v>100</v>
      </c>
      <c r="X14" s="1566"/>
      <c r="Y14" s="3489"/>
      <c r="Z14" s="1146">
        <f t="shared" si="7"/>
        <v>111</v>
      </c>
      <c r="AA14" s="1567">
        <f t="shared" si="3"/>
        <v>1</v>
      </c>
      <c r="AB14" s="1567">
        <f t="shared" si="4"/>
        <v>1</v>
      </c>
      <c r="AC14" s="1567">
        <f t="shared" si="5"/>
        <v>1</v>
      </c>
    </row>
    <row r="15" spans="1:29" ht="99.75">
      <c r="A15" s="2907" t="s">
        <v>2749</v>
      </c>
      <c r="B15" s="165" t="s">
        <v>289</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2</v>
      </c>
      <c r="L15" s="2139"/>
      <c r="M15" s="2131"/>
      <c r="N15" s="2131"/>
      <c r="O15" s="2138"/>
      <c r="P15" s="3570" t="s">
        <v>534</v>
      </c>
      <c r="Q15" s="1568" t="str">
        <f t="shared" si="6"/>
        <v>居住社区成熟度</v>
      </c>
      <c r="R15" s="1569" t="s">
        <v>11</v>
      </c>
      <c r="S15" s="1570">
        <f t="shared" si="0"/>
        <v>100</v>
      </c>
      <c r="T15" s="1569" t="s">
        <v>11</v>
      </c>
      <c r="U15" s="1570">
        <f t="shared" si="1"/>
        <v>100</v>
      </c>
      <c r="V15" s="1569" t="s">
        <v>11</v>
      </c>
      <c r="W15" s="1570">
        <f t="shared" si="2"/>
        <v>100</v>
      </c>
      <c r="X15" s="1563"/>
      <c r="Y15" s="3570" t="s">
        <v>534</v>
      </c>
      <c r="Z15" s="1571" t="str">
        <f t="shared" si="7"/>
        <v>居住社区成熟度</v>
      </c>
      <c r="AA15" s="1572">
        <f t="shared" si="3"/>
        <v>1</v>
      </c>
      <c r="AB15" s="1572">
        <f t="shared" si="4"/>
        <v>1</v>
      </c>
      <c r="AC15" s="1572">
        <f t="shared" si="5"/>
        <v>1</v>
      </c>
    </row>
    <row r="16" spans="1:29" ht="15">
      <c r="A16" s="528"/>
      <c r="B16" s="865"/>
      <c r="C16" s="572" t="s">
        <v>3001</v>
      </c>
      <c r="D16" s="551"/>
      <c r="E16" s="552" t="s">
        <v>3001</v>
      </c>
      <c r="F16" s="553"/>
      <c r="G16" s="554" t="s">
        <v>3001</v>
      </c>
      <c r="H16" s="555"/>
      <c r="I16" s="552" t="s">
        <v>3001</v>
      </c>
      <c r="J16" s="551"/>
      <c r="K16" s="866"/>
      <c r="L16" s="2139"/>
      <c r="M16" s="2131"/>
      <c r="N16" s="2131"/>
      <c r="O16" s="2138"/>
      <c r="P16" s="3571"/>
      <c r="Q16" s="1568"/>
      <c r="R16" s="1569"/>
      <c r="S16" s="1570"/>
      <c r="T16" s="1569"/>
      <c r="U16" s="1570"/>
      <c r="V16" s="1569"/>
      <c r="W16" s="1570"/>
      <c r="X16" s="1563"/>
      <c r="Y16" s="3571"/>
      <c r="Z16" s="1571"/>
      <c r="AA16" s="1572">
        <v>1</v>
      </c>
      <c r="AB16" s="1572">
        <v>1</v>
      </c>
      <c r="AC16" s="1572">
        <v>1</v>
      </c>
    </row>
    <row r="17" spans="1:29" ht="85.5">
      <c r="A17" s="528"/>
      <c r="B17" s="867" t="s">
        <v>290</v>
      </c>
      <c r="C17" s="868" t="str">
        <f>估价对象房地状况!C6</f>
        <v>估价对象周边道路状况、公共交通通达情况、停车便捷程度，综合评价交通便捷度较好</v>
      </c>
      <c r="D17" s="555">
        <v>100</v>
      </c>
      <c r="E17" s="558"/>
      <c r="F17" s="559">
        <f>SUMIF(78:78,E18,79:79)-SUMIF(78:78,C18,79:79)+100</f>
        <v>98</v>
      </c>
      <c r="G17" s="560"/>
      <c r="H17" s="561">
        <f>SUMIF(78:78,G18,79:79)-SUMIF(78:78,C18,79:79)+100</f>
        <v>98</v>
      </c>
      <c r="I17" s="558"/>
      <c r="J17" s="561">
        <f>SUMIF(78:78,I18,79:79)-SUMIF(78:78,C18,79:79)+100</f>
        <v>98</v>
      </c>
      <c r="K17" s="864">
        <v>2</v>
      </c>
      <c r="L17" s="2139"/>
      <c r="M17" s="2131"/>
      <c r="N17" s="2131"/>
      <c r="O17" s="2138"/>
      <c r="P17" s="3571"/>
      <c r="Q17" s="1568" t="str">
        <f>B17</f>
        <v>交通便捷度</v>
      </c>
      <c r="R17" s="1569" t="s">
        <v>11</v>
      </c>
      <c r="S17" s="1570">
        <f>F17</f>
        <v>98</v>
      </c>
      <c r="T17" s="1569" t="s">
        <v>11</v>
      </c>
      <c r="U17" s="1570">
        <f>H17</f>
        <v>98</v>
      </c>
      <c r="V17" s="1569" t="s">
        <v>11</v>
      </c>
      <c r="W17" s="1570">
        <f>J17</f>
        <v>98</v>
      </c>
      <c r="X17" s="1563"/>
      <c r="Y17" s="3571"/>
      <c r="Z17" s="1571" t="str">
        <f>Q17</f>
        <v>交通便捷度</v>
      </c>
      <c r="AA17" s="1572">
        <f t="shared" si="3"/>
        <v>1.0204081632653061</v>
      </c>
      <c r="AB17" s="1572">
        <f t="shared" si="4"/>
        <v>1.0204081632653061</v>
      </c>
      <c r="AC17" s="1572">
        <f t="shared" si="5"/>
        <v>1.0204081632653061</v>
      </c>
    </row>
    <row r="18" spans="1:29" ht="15">
      <c r="A18" s="528"/>
      <c r="B18" s="591"/>
      <c r="C18" s="869" t="s">
        <v>3014</v>
      </c>
      <c r="D18" s="555"/>
      <c r="E18" s="564" t="s">
        <v>3001</v>
      </c>
      <c r="F18" s="559"/>
      <c r="G18" s="565" t="s">
        <v>3001</v>
      </c>
      <c r="H18" s="551"/>
      <c r="I18" s="564" t="s">
        <v>3001</v>
      </c>
      <c r="J18" s="551"/>
      <c r="K18" s="866"/>
      <c r="L18" s="2139"/>
      <c r="M18" s="2131"/>
      <c r="N18" s="2131"/>
      <c r="O18" s="2138"/>
      <c r="P18" s="3571"/>
      <c r="Q18" s="1568"/>
      <c r="R18" s="1569"/>
      <c r="S18" s="1570"/>
      <c r="T18" s="1569"/>
      <c r="U18" s="1570"/>
      <c r="V18" s="1569"/>
      <c r="W18" s="1570"/>
      <c r="X18" s="1563"/>
      <c r="Y18" s="3571"/>
      <c r="Z18" s="1571"/>
      <c r="AA18" s="1572">
        <v>1</v>
      </c>
      <c r="AB18" s="1572">
        <v>1</v>
      </c>
      <c r="AC18" s="1572">
        <v>1</v>
      </c>
    </row>
    <row r="19" spans="1:29" ht="42.75">
      <c r="A19" s="528"/>
      <c r="B19" s="2597" t="s">
        <v>2541</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v>2</v>
      </c>
      <c r="L19" s="2139"/>
      <c r="M19" s="2131"/>
      <c r="N19" s="2131"/>
      <c r="O19" s="2138"/>
      <c r="P19" s="3571"/>
      <c r="Q19" s="1568" t="str">
        <f>B19</f>
        <v>公共配套设施</v>
      </c>
      <c r="R19" s="1569" t="s">
        <v>11</v>
      </c>
      <c r="S19" s="1570">
        <f>F19</f>
        <v>100</v>
      </c>
      <c r="T19" s="1569" t="s">
        <v>11</v>
      </c>
      <c r="U19" s="1570">
        <f>H19</f>
        <v>100</v>
      </c>
      <c r="V19" s="1569" t="s">
        <v>11</v>
      </c>
      <c r="W19" s="1570">
        <f>J19</f>
        <v>100</v>
      </c>
      <c r="X19" s="1563"/>
      <c r="Y19" s="3571"/>
      <c r="Z19" s="1571" t="str">
        <f>Q19</f>
        <v>公共配套设施</v>
      </c>
      <c r="AA19" s="1572">
        <f t="shared" si="3"/>
        <v>1</v>
      </c>
      <c r="AB19" s="1572">
        <f t="shared" si="4"/>
        <v>1</v>
      </c>
      <c r="AC19" s="1572">
        <f t="shared" si="5"/>
        <v>1</v>
      </c>
    </row>
    <row r="20" spans="1:29" ht="15">
      <c r="A20" s="528"/>
      <c r="B20" s="591"/>
      <c r="C20" s="572" t="s">
        <v>3001</v>
      </c>
      <c r="D20" s="551"/>
      <c r="E20" s="552" t="s">
        <v>3001</v>
      </c>
      <c r="F20" s="553"/>
      <c r="G20" s="554" t="s">
        <v>3001</v>
      </c>
      <c r="H20" s="551"/>
      <c r="I20" s="552" t="s">
        <v>3001</v>
      </c>
      <c r="J20" s="551"/>
      <c r="K20" s="866"/>
      <c r="L20" s="2139"/>
      <c r="M20" s="2131"/>
      <c r="N20" s="2131"/>
      <c r="O20" s="2138"/>
      <c r="P20" s="3571"/>
      <c r="Q20" s="1568"/>
      <c r="R20" s="1569"/>
      <c r="S20" s="1570"/>
      <c r="T20" s="1569"/>
      <c r="U20" s="1570"/>
      <c r="V20" s="1569"/>
      <c r="W20" s="1570"/>
      <c r="X20" s="1563"/>
      <c r="Y20" s="3571"/>
      <c r="Z20" s="1571"/>
      <c r="AA20" s="1572">
        <v>1</v>
      </c>
      <c r="AB20" s="1572">
        <v>1</v>
      </c>
      <c r="AC20" s="1572">
        <v>1</v>
      </c>
    </row>
    <row r="21" spans="1:29" ht="28.5">
      <c r="A21" s="528"/>
      <c r="B21" s="2590" t="s">
        <v>2553</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1</v>
      </c>
      <c r="L21" s="2139"/>
      <c r="M21" s="2131"/>
      <c r="N21" s="2131"/>
      <c r="O21" s="2138"/>
      <c r="P21" s="3571"/>
      <c r="Q21" s="2576" t="str">
        <f>B21</f>
        <v>基础设施水平</v>
      </c>
      <c r="R21" s="1569" t="s">
        <v>11</v>
      </c>
      <c r="S21" s="1570">
        <f>F21</f>
        <v>100</v>
      </c>
      <c r="T21" s="1569" t="s">
        <v>11</v>
      </c>
      <c r="U21" s="1570">
        <f>H21</f>
        <v>100</v>
      </c>
      <c r="V21" s="1569" t="s">
        <v>11</v>
      </c>
      <c r="W21" s="1570">
        <f>J21</f>
        <v>100</v>
      </c>
      <c r="X21" s="2578"/>
      <c r="Y21" s="3571"/>
      <c r="Z21" s="2577" t="str">
        <f>Q21</f>
        <v>基础设施水平</v>
      </c>
      <c r="AA21" s="1572">
        <f t="shared" ref="AA21" si="8">D21/F21</f>
        <v>1</v>
      </c>
      <c r="AB21" s="1572">
        <f t="shared" ref="AB21" si="9">D21/H21</f>
        <v>1</v>
      </c>
      <c r="AC21" s="1572">
        <f t="shared" ref="AC21" si="10">D21/J21</f>
        <v>1</v>
      </c>
    </row>
    <row r="22" spans="1:29" ht="15">
      <c r="A22" s="528"/>
      <c r="B22" s="918"/>
      <c r="C22" s="869" t="s">
        <v>3104</v>
      </c>
      <c r="D22" s="551"/>
      <c r="E22" s="3289" t="s">
        <v>3104</v>
      </c>
      <c r="F22" s="553"/>
      <c r="G22" s="3289" t="s">
        <v>3104</v>
      </c>
      <c r="H22" s="551"/>
      <c r="I22" s="3289" t="s">
        <v>3104</v>
      </c>
      <c r="J22" s="551"/>
      <c r="K22" s="2596"/>
      <c r="L22" s="2139"/>
      <c r="M22" s="2131"/>
      <c r="N22" s="2131"/>
      <c r="O22" s="2138"/>
      <c r="P22" s="3571"/>
      <c r="Q22" s="2576"/>
      <c r="R22" s="1569"/>
      <c r="S22" s="1570"/>
      <c r="T22" s="1569"/>
      <c r="U22" s="1570"/>
      <c r="V22" s="1569"/>
      <c r="W22" s="1570"/>
      <c r="X22" s="2578"/>
      <c r="Y22" s="3571"/>
      <c r="Z22" s="2577"/>
      <c r="AA22" s="1572">
        <v>1</v>
      </c>
      <c r="AB22" s="1572">
        <v>1</v>
      </c>
      <c r="AC22" s="1572">
        <v>1</v>
      </c>
    </row>
    <row r="23" spans="1:29" ht="57">
      <c r="A23" s="528"/>
      <c r="B23" s="867" t="s">
        <v>291</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2</v>
      </c>
      <c r="L23" s="2139"/>
      <c r="M23" s="2131"/>
      <c r="N23" s="2131"/>
      <c r="O23" s="2138"/>
      <c r="P23" s="3571"/>
      <c r="Q23" s="1568" t="str">
        <f>B23</f>
        <v>自然及人文环境</v>
      </c>
      <c r="R23" s="1569" t="s">
        <v>11</v>
      </c>
      <c r="S23" s="1570">
        <f>F23</f>
        <v>100</v>
      </c>
      <c r="T23" s="1569" t="s">
        <v>11</v>
      </c>
      <c r="U23" s="1570">
        <f>H23</f>
        <v>100</v>
      </c>
      <c r="V23" s="1569" t="s">
        <v>11</v>
      </c>
      <c r="W23" s="1570">
        <f>J23</f>
        <v>100</v>
      </c>
      <c r="X23" s="1563"/>
      <c r="Y23" s="3571"/>
      <c r="Z23" s="1571" t="str">
        <f>Q23</f>
        <v>自然及人文环境</v>
      </c>
      <c r="AA23" s="1572">
        <f t="shared" si="3"/>
        <v>1</v>
      </c>
      <c r="AB23" s="1572">
        <f t="shared" si="4"/>
        <v>1</v>
      </c>
      <c r="AC23" s="1572">
        <f t="shared" si="5"/>
        <v>1</v>
      </c>
    </row>
    <row r="24" spans="1:29" ht="15">
      <c r="A24" s="528"/>
      <c r="B24" s="591"/>
      <c r="C24" s="3289" t="s">
        <v>3014</v>
      </c>
      <c r="D24" s="551"/>
      <c r="E24" s="552" t="s">
        <v>3014</v>
      </c>
      <c r="F24" s="553"/>
      <c r="G24" s="554" t="s">
        <v>3014</v>
      </c>
      <c r="H24" s="551"/>
      <c r="I24" s="552" t="s">
        <v>3014</v>
      </c>
      <c r="J24" s="551"/>
      <c r="K24" s="866"/>
      <c r="L24" s="2139"/>
      <c r="M24" s="2131"/>
      <c r="N24" s="2131"/>
      <c r="O24" s="2138"/>
      <c r="P24" s="3571"/>
      <c r="Q24" s="1568"/>
      <c r="R24" s="1569"/>
      <c r="S24" s="1570"/>
      <c r="T24" s="1569"/>
      <c r="U24" s="1570"/>
      <c r="V24" s="1569"/>
      <c r="W24" s="1570"/>
      <c r="X24" s="1563"/>
      <c r="Y24" s="3571"/>
      <c r="Z24" s="1571"/>
      <c r="AA24" s="1572">
        <v>1</v>
      </c>
      <c r="AB24" s="1572">
        <v>1</v>
      </c>
      <c r="AC24" s="1572">
        <v>1</v>
      </c>
    </row>
    <row r="25" spans="1:29" ht="15" hidden="1">
      <c r="A25" s="528"/>
      <c r="B25" s="1892" t="s">
        <v>2251</v>
      </c>
      <c r="C25" s="570"/>
      <c r="D25" s="536">
        <v>100</v>
      </c>
      <c r="E25" s="870"/>
      <c r="F25" s="571">
        <f>SUMIF(86:86,E25,87:87)-SUMIF(86:86,C25,87:87)+100</f>
        <v>100</v>
      </c>
      <c r="G25" s="595"/>
      <c r="H25" s="536">
        <f>SUMIF(86:86,G25,87:87)-SUMIF(86:86,C25,87:87)+100</f>
        <v>100</v>
      </c>
      <c r="I25" s="870"/>
      <c r="J25" s="536">
        <f>SUMIF(86:86,I25,87:87)-SUMIF(86:86,C25,87:87)+100</f>
        <v>100</v>
      </c>
      <c r="K25" s="860"/>
      <c r="L25" s="2139"/>
      <c r="M25" s="2131"/>
      <c r="N25" s="2131"/>
      <c r="O25" s="2138"/>
      <c r="P25" s="3571"/>
      <c r="Q25" s="1568" t="str">
        <f t="shared" ref="Q25:Q46" si="11">B25</f>
        <v>楼层-1</v>
      </c>
      <c r="R25" s="1569" t="s">
        <v>11</v>
      </c>
      <c r="S25" s="1570">
        <f>F25</f>
        <v>100</v>
      </c>
      <c r="T25" s="1569" t="s">
        <v>11</v>
      </c>
      <c r="U25" s="1570">
        <f>H25</f>
        <v>100</v>
      </c>
      <c r="V25" s="1569" t="s">
        <v>11</v>
      </c>
      <c r="W25" s="1570">
        <f>J25</f>
        <v>100</v>
      </c>
      <c r="X25" s="1563"/>
      <c r="Y25" s="3571"/>
      <c r="Z25" s="1571" t="str">
        <f>Q25</f>
        <v>楼层-1</v>
      </c>
      <c r="AA25" s="1572">
        <f t="shared" si="3"/>
        <v>1</v>
      </c>
      <c r="AB25" s="1572">
        <f t="shared" si="4"/>
        <v>1</v>
      </c>
      <c r="AC25" s="1572">
        <f t="shared" si="5"/>
        <v>1</v>
      </c>
    </row>
    <row r="26" spans="1:29" ht="15" hidden="1">
      <c r="A26" s="528"/>
      <c r="B26" s="523" t="s">
        <v>717</v>
      </c>
      <c r="C26" s="570" t="s">
        <v>3148</v>
      </c>
      <c r="D26" s="536">
        <v>100</v>
      </c>
      <c r="E26" s="870" t="s">
        <v>3148</v>
      </c>
      <c r="F26" s="571">
        <f>SUMIF(88:88,E26,89:89)-SUMIF(88:88,C26,89:89)+100</f>
        <v>100</v>
      </c>
      <c r="G26" s="595" t="s">
        <v>3149</v>
      </c>
      <c r="H26" s="536">
        <f>SUMIF(88:88,G26,89:89)-SUMIF(88:88,C26,89:89)+100</f>
        <v>100</v>
      </c>
      <c r="I26" s="870" t="s">
        <v>3148</v>
      </c>
      <c r="J26" s="536">
        <f>SUMIF(88:88,I26,89:89)-SUMIF(88:88,C26,89:89)+100</f>
        <v>100</v>
      </c>
      <c r="K26" s="860">
        <v>0</v>
      </c>
      <c r="L26" s="2139"/>
      <c r="M26" s="2131"/>
      <c r="N26" s="2131"/>
      <c r="O26" s="2138"/>
      <c r="P26" s="3571"/>
      <c r="Q26" s="1568" t="str">
        <f t="shared" si="11"/>
        <v>朝向</v>
      </c>
      <c r="R26" s="1569" t="s">
        <v>11</v>
      </c>
      <c r="S26" s="1570">
        <f>F26</f>
        <v>100</v>
      </c>
      <c r="T26" s="1569" t="s">
        <v>11</v>
      </c>
      <c r="U26" s="1570">
        <f>H26</f>
        <v>100</v>
      </c>
      <c r="V26" s="1569" t="s">
        <v>11</v>
      </c>
      <c r="W26" s="1570">
        <f>J26</f>
        <v>100</v>
      </c>
      <c r="X26" s="1563"/>
      <c r="Y26" s="3571"/>
      <c r="Z26" s="1571" t="str">
        <f>Q26</f>
        <v>朝向</v>
      </c>
      <c r="AA26" s="1572">
        <f t="shared" si="3"/>
        <v>1</v>
      </c>
      <c r="AB26" s="1572">
        <f t="shared" si="4"/>
        <v>1</v>
      </c>
      <c r="AC26" s="1572">
        <f t="shared" si="5"/>
        <v>1</v>
      </c>
    </row>
    <row r="27" spans="1:29" s="1216" customFormat="1" ht="17.25" customHeight="1" thickBot="1">
      <c r="A27" s="532"/>
      <c r="B27" s="533" t="s">
        <v>718</v>
      </c>
      <c r="C27" s="3270" t="s">
        <v>3163</v>
      </c>
      <c r="D27" s="871">
        <v>100</v>
      </c>
      <c r="E27" s="3270" t="s">
        <v>3230</v>
      </c>
      <c r="F27" s="872">
        <f>SUMIF(90:90,E27,91:91)-SUMIF(90:90,C27,91:91)+100</f>
        <v>98</v>
      </c>
      <c r="G27" s="3270" t="s">
        <v>3231</v>
      </c>
      <c r="H27" s="871">
        <f>SUMIF(90:90,G27,91:91)-SUMIF(90:90,C27,91:91)+100</f>
        <v>98</v>
      </c>
      <c r="I27" s="3270" t="s">
        <v>3230</v>
      </c>
      <c r="J27" s="871">
        <f>SUMIF(90:90,I27,91:91)-SUMIF(90:90,C27,91:91)+100</f>
        <v>98</v>
      </c>
      <c r="K27" s="861"/>
      <c r="L27" s="2132"/>
      <c r="M27" s="2133"/>
      <c r="N27" s="2133"/>
      <c r="O27" s="2134"/>
      <c r="P27" s="3571"/>
      <c r="Q27" s="1147" t="str">
        <f t="shared" si="11"/>
        <v>道路级别</v>
      </c>
      <c r="R27" s="1564" t="s">
        <v>11</v>
      </c>
      <c r="S27" s="1565">
        <f>F27</f>
        <v>98</v>
      </c>
      <c r="T27" s="1564" t="s">
        <v>11</v>
      </c>
      <c r="U27" s="1565">
        <f>H27</f>
        <v>98</v>
      </c>
      <c r="V27" s="1564" t="s">
        <v>11</v>
      </c>
      <c r="W27" s="1565">
        <f>J27</f>
        <v>98</v>
      </c>
      <c r="X27" s="1566"/>
      <c r="Y27" s="3571"/>
      <c r="Z27" s="1146" t="str">
        <f>Q27</f>
        <v>道路级别</v>
      </c>
      <c r="AA27" s="1572">
        <f>D27/F27</f>
        <v>1.0204081632653061</v>
      </c>
      <c r="AB27" s="1572">
        <f>D27/H27</f>
        <v>1.0204081632653061</v>
      </c>
      <c r="AC27" s="1572">
        <f>D27/J27</f>
        <v>1.0204081632653061</v>
      </c>
    </row>
    <row r="28" spans="1:29" ht="15.75" hidden="1" thickBot="1">
      <c r="A28" s="528"/>
      <c r="B28" s="3259" t="s">
        <v>3105</v>
      </c>
      <c r="C28" s="535"/>
      <c r="D28" s="536">
        <v>100</v>
      </c>
      <c r="E28" s="535"/>
      <c r="F28" s="571">
        <f>SUMIF(92:92,E28,93:93)-SUMIF(92:92,C28,93:93)+100</f>
        <v>100</v>
      </c>
      <c r="G28" s="535"/>
      <c r="H28" s="536">
        <f>SUMIF(92:92,G28,93:93)-SUMIF(92:92,C28,93:93)+100</f>
        <v>100</v>
      </c>
      <c r="I28" s="535"/>
      <c r="J28" s="536">
        <f>SUMIF(92:92,I28,93:93)-SUMIF(92:92,C28,93:93)+100</f>
        <v>100</v>
      </c>
      <c r="K28" s="861"/>
      <c r="L28" s="2139"/>
      <c r="M28" s="2131"/>
      <c r="N28" s="2131"/>
      <c r="O28" s="2138"/>
      <c r="P28" s="3571"/>
      <c r="Q28" s="1568" t="str">
        <f t="shared" si="11"/>
        <v>楼层</v>
      </c>
      <c r="R28" s="1569" t="s">
        <v>11</v>
      </c>
      <c r="S28" s="1570">
        <f t="shared" ref="S28:S46" si="12">F28</f>
        <v>100</v>
      </c>
      <c r="T28" s="1569" t="s">
        <v>11</v>
      </c>
      <c r="U28" s="1570">
        <f t="shared" ref="U28:U46" si="13">H28</f>
        <v>100</v>
      </c>
      <c r="V28" s="1569" t="s">
        <v>11</v>
      </c>
      <c r="W28" s="1570">
        <f t="shared" ref="W28:W46" si="14">J28</f>
        <v>100</v>
      </c>
      <c r="X28" s="1563"/>
      <c r="Y28" s="3571"/>
      <c r="Z28" s="1571" t="str">
        <f t="shared" ref="Z28:Z46" si="15">Q28</f>
        <v>楼层</v>
      </c>
      <c r="AA28" s="1572">
        <f t="shared" si="3"/>
        <v>1</v>
      </c>
      <c r="AB28" s="1572">
        <f t="shared" si="4"/>
        <v>1</v>
      </c>
      <c r="AC28" s="1572">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9"/>
      <c r="M29" s="2131"/>
      <c r="N29" s="2131"/>
      <c r="O29" s="2138"/>
      <c r="P29" s="3571"/>
      <c r="Q29" s="1568">
        <f t="shared" si="11"/>
        <v>111</v>
      </c>
      <c r="R29" s="1569" t="s">
        <v>11</v>
      </c>
      <c r="S29" s="1570">
        <f t="shared" si="12"/>
        <v>100</v>
      </c>
      <c r="T29" s="1569" t="s">
        <v>11</v>
      </c>
      <c r="U29" s="1570">
        <f t="shared" si="13"/>
        <v>100</v>
      </c>
      <c r="V29" s="1569" t="s">
        <v>11</v>
      </c>
      <c r="W29" s="1570">
        <f t="shared" si="14"/>
        <v>100</v>
      </c>
      <c r="X29" s="1563"/>
      <c r="Y29" s="3571"/>
      <c r="Z29" s="1571">
        <f t="shared" si="15"/>
        <v>111</v>
      </c>
      <c r="AA29" s="1572">
        <f t="shared" si="3"/>
        <v>1</v>
      </c>
      <c r="AB29" s="1572">
        <f t="shared" si="4"/>
        <v>1</v>
      </c>
      <c r="AC29" s="1572">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9"/>
      <c r="M30" s="2131"/>
      <c r="N30" s="2131"/>
      <c r="O30" s="2138"/>
      <c r="P30" s="3571"/>
      <c r="Q30" s="1568">
        <f t="shared" si="11"/>
        <v>111</v>
      </c>
      <c r="R30" s="1569" t="s">
        <v>11</v>
      </c>
      <c r="S30" s="1570">
        <f t="shared" si="12"/>
        <v>100</v>
      </c>
      <c r="T30" s="1569" t="s">
        <v>11</v>
      </c>
      <c r="U30" s="1570">
        <f t="shared" si="13"/>
        <v>100</v>
      </c>
      <c r="V30" s="1569" t="s">
        <v>11</v>
      </c>
      <c r="W30" s="1570">
        <f t="shared" si="14"/>
        <v>100</v>
      </c>
      <c r="X30" s="1563"/>
      <c r="Y30" s="3571"/>
      <c r="Z30" s="1571">
        <f t="shared" si="15"/>
        <v>111</v>
      </c>
      <c r="AA30" s="1572">
        <f t="shared" si="3"/>
        <v>1</v>
      </c>
      <c r="AB30" s="1572">
        <f t="shared" si="4"/>
        <v>1</v>
      </c>
      <c r="AC30" s="1572">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9"/>
      <c r="M31" s="2131"/>
      <c r="N31" s="2131"/>
      <c r="O31" s="2138"/>
      <c r="P31" s="3571"/>
      <c r="Q31" s="1568">
        <f t="shared" si="11"/>
        <v>111</v>
      </c>
      <c r="R31" s="1569" t="s">
        <v>11</v>
      </c>
      <c r="S31" s="1570">
        <f t="shared" si="12"/>
        <v>100</v>
      </c>
      <c r="T31" s="1569" t="s">
        <v>11</v>
      </c>
      <c r="U31" s="1570">
        <f t="shared" si="13"/>
        <v>100</v>
      </c>
      <c r="V31" s="1569" t="s">
        <v>11</v>
      </c>
      <c r="W31" s="1570">
        <f t="shared" si="14"/>
        <v>100</v>
      </c>
      <c r="X31" s="1563"/>
      <c r="Y31" s="3571"/>
      <c r="Z31" s="1571">
        <f t="shared" si="15"/>
        <v>111</v>
      </c>
      <c r="AA31" s="1572">
        <f t="shared" si="3"/>
        <v>1</v>
      </c>
      <c r="AB31" s="1572">
        <f t="shared" si="4"/>
        <v>1</v>
      </c>
      <c r="AC31" s="1572">
        <f t="shared" si="5"/>
        <v>1</v>
      </c>
    </row>
    <row r="32" spans="1:29" ht="15">
      <c r="A32" s="2904" t="s">
        <v>2750</v>
      </c>
      <c r="B32" s="171" t="s">
        <v>719</v>
      </c>
      <c r="C32" s="874" t="s">
        <v>3248</v>
      </c>
      <c r="D32" s="593">
        <v>100</v>
      </c>
      <c r="E32" s="875" t="s">
        <v>3153</v>
      </c>
      <c r="F32" s="571">
        <f>SUMIF(100:100,E32,101:101)-SUMIF(100:100,C32,101:101)+100</f>
        <v>110</v>
      </c>
      <c r="G32" s="874" t="s">
        <v>3153</v>
      </c>
      <c r="H32" s="593">
        <f>SUMIF(100:100,G32,101:101)-SUMIF(100:100,C32,101:101)+100</f>
        <v>110</v>
      </c>
      <c r="I32" s="875" t="s">
        <v>3153</v>
      </c>
      <c r="J32" s="536">
        <f>SUMIF(100:100,I32,101:101)-SUMIF(100:100,C32,101:101)+100</f>
        <v>110</v>
      </c>
      <c r="K32" s="860">
        <v>10</v>
      </c>
      <c r="L32" s="2139"/>
      <c r="M32" s="2131"/>
      <c r="N32" s="2131"/>
      <c r="O32" s="2138"/>
      <c r="P32" s="3572" t="s">
        <v>544</v>
      </c>
      <c r="Q32" s="1568" t="str">
        <f t="shared" si="11"/>
        <v>建筑类型</v>
      </c>
      <c r="R32" s="1569" t="s">
        <v>11</v>
      </c>
      <c r="S32" s="1570">
        <f t="shared" si="12"/>
        <v>110</v>
      </c>
      <c r="T32" s="1569" t="s">
        <v>11</v>
      </c>
      <c r="U32" s="1570">
        <f t="shared" si="13"/>
        <v>110</v>
      </c>
      <c r="V32" s="1569" t="s">
        <v>11</v>
      </c>
      <c r="W32" s="1570">
        <f t="shared" si="14"/>
        <v>110</v>
      </c>
      <c r="X32" s="1563"/>
      <c r="Y32" s="3573" t="s">
        <v>544</v>
      </c>
      <c r="Z32" s="1571" t="str">
        <f t="shared" si="15"/>
        <v>建筑类型</v>
      </c>
      <c r="AA32" s="1572">
        <f t="shared" si="3"/>
        <v>0.90909090909090906</v>
      </c>
      <c r="AB32" s="1572">
        <f t="shared" si="4"/>
        <v>0.90909090909090906</v>
      </c>
      <c r="AC32" s="1572">
        <f t="shared" si="5"/>
        <v>0.90909090909090906</v>
      </c>
    </row>
    <row r="33" spans="1:29" s="1335" customFormat="1" ht="15" hidden="1">
      <c r="A33" s="599"/>
      <c r="B33" s="523" t="s">
        <v>720</v>
      </c>
      <c r="C33" s="876">
        <v>1</v>
      </c>
      <c r="D33" s="254">
        <v>100</v>
      </c>
      <c r="E33" s="530">
        <v>1</v>
      </c>
      <c r="F33" s="859">
        <f>LOOKUP(E33,103:103,104:104)-LOOKUP(C33,103:103,104:104)+100</f>
        <v>100</v>
      </c>
      <c r="G33" s="529">
        <v>1</v>
      </c>
      <c r="H33" s="254">
        <f>LOOKUP(G33,103:103,104:104)-LOOKUP(C33,103:103,104:104)+100</f>
        <v>100</v>
      </c>
      <c r="I33" s="530">
        <v>1</v>
      </c>
      <c r="J33" s="254">
        <f>LOOKUP(I33,103:103,104:104)-LOOKUP(C33,103:103,104:104)+100</f>
        <v>100</v>
      </c>
      <c r="K33" s="861"/>
      <c r="L33" s="2137"/>
      <c r="M33" s="2168"/>
      <c r="N33" s="2168"/>
      <c r="O33" s="2140"/>
      <c r="P33" s="3573"/>
      <c r="Q33" s="1601" t="str">
        <f t="shared" si="11"/>
        <v>项目建筑规模</v>
      </c>
      <c r="R33" s="1573" t="s">
        <v>11</v>
      </c>
      <c r="S33" s="1574">
        <f t="shared" si="12"/>
        <v>100</v>
      </c>
      <c r="T33" s="1573" t="s">
        <v>11</v>
      </c>
      <c r="U33" s="1574">
        <f t="shared" si="13"/>
        <v>100</v>
      </c>
      <c r="V33" s="1573" t="s">
        <v>11</v>
      </c>
      <c r="W33" s="1574">
        <f t="shared" si="14"/>
        <v>100</v>
      </c>
      <c r="X33" s="1575"/>
      <c r="Y33" s="3573"/>
      <c r="Z33" s="1576" t="str">
        <f t="shared" si="15"/>
        <v>项目建筑规模</v>
      </c>
      <c r="AA33" s="1572">
        <f t="shared" si="3"/>
        <v>1</v>
      </c>
      <c r="AB33" s="1572">
        <f t="shared" si="4"/>
        <v>1</v>
      </c>
      <c r="AC33" s="1572">
        <f t="shared" si="5"/>
        <v>1</v>
      </c>
    </row>
    <row r="34" spans="1:29" ht="15">
      <c r="A34" s="590"/>
      <c r="B34" s="523" t="s">
        <v>721</v>
      </c>
      <c r="C34" s="877" t="s">
        <v>3152</v>
      </c>
      <c r="D34" s="536">
        <v>100</v>
      </c>
      <c r="E34" s="878" t="s">
        <v>3152</v>
      </c>
      <c r="F34" s="571">
        <f>SUMIF(105:105,E34,106:106)-SUMIF(105:105,C34,106:106)+100</f>
        <v>100</v>
      </c>
      <c r="G34" s="877" t="s">
        <v>3152</v>
      </c>
      <c r="H34" s="536">
        <f>SUMIF(105:105,G34,106:106)-SUMIF(105:105,C34,106:106)+100</f>
        <v>100</v>
      </c>
      <c r="I34" s="878" t="s">
        <v>3152</v>
      </c>
      <c r="J34" s="536">
        <f>SUMIF(105:105,I34,106:106)-SUMIF(105:105,C34,106:106)+100</f>
        <v>100</v>
      </c>
      <c r="K34" s="860"/>
      <c r="L34" s="2139"/>
      <c r="M34" s="2131"/>
      <c r="N34" s="2131"/>
      <c r="O34" s="2138"/>
      <c r="P34" s="3573"/>
      <c r="Q34" s="1568" t="str">
        <f t="shared" si="11"/>
        <v>建筑结构</v>
      </c>
      <c r="R34" s="1569" t="s">
        <v>11</v>
      </c>
      <c r="S34" s="1570">
        <f t="shared" si="12"/>
        <v>100</v>
      </c>
      <c r="T34" s="1569" t="s">
        <v>11</v>
      </c>
      <c r="U34" s="1570">
        <f t="shared" si="13"/>
        <v>100</v>
      </c>
      <c r="V34" s="1569" t="s">
        <v>11</v>
      </c>
      <c r="W34" s="1570">
        <f t="shared" si="14"/>
        <v>100</v>
      </c>
      <c r="X34" s="1563"/>
      <c r="Y34" s="3573"/>
      <c r="Z34" s="1571" t="str">
        <f t="shared" si="15"/>
        <v>建筑结构</v>
      </c>
      <c r="AA34" s="1572">
        <f t="shared" si="3"/>
        <v>1</v>
      </c>
      <c r="AB34" s="1572">
        <f t="shared" si="4"/>
        <v>1</v>
      </c>
      <c r="AC34" s="1572">
        <f t="shared" si="5"/>
        <v>1</v>
      </c>
    </row>
    <row r="35" spans="1:29" ht="15" hidden="1">
      <c r="A35" s="590"/>
      <c r="B35" s="523"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9"/>
      <c r="M35" s="2131"/>
      <c r="N35" s="2131"/>
      <c r="O35" s="2138"/>
      <c r="P35" s="3573"/>
      <c r="Q35" s="1568" t="str">
        <f t="shared" si="11"/>
        <v>建筑品质</v>
      </c>
      <c r="R35" s="1569" t="s">
        <v>11</v>
      </c>
      <c r="S35" s="1570">
        <f t="shared" si="12"/>
        <v>100</v>
      </c>
      <c r="T35" s="1569" t="s">
        <v>11</v>
      </c>
      <c r="U35" s="1570">
        <f t="shared" si="13"/>
        <v>100</v>
      </c>
      <c r="V35" s="1569" t="s">
        <v>11</v>
      </c>
      <c r="W35" s="1570">
        <f t="shared" si="14"/>
        <v>100</v>
      </c>
      <c r="X35" s="1563"/>
      <c r="Y35" s="3573"/>
      <c r="Z35" s="1571" t="str">
        <f t="shared" si="15"/>
        <v>建筑品质</v>
      </c>
      <c r="AA35" s="1572">
        <f t="shared" si="3"/>
        <v>1</v>
      </c>
      <c r="AB35" s="1572">
        <f t="shared" si="4"/>
        <v>1</v>
      </c>
      <c r="AC35" s="1572">
        <f t="shared" si="5"/>
        <v>1</v>
      </c>
    </row>
    <row r="36" spans="1:29" ht="15" hidden="1">
      <c r="A36" s="590"/>
      <c r="B36" s="523" t="s">
        <v>723</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9"/>
      <c r="M36" s="2131"/>
      <c r="N36" s="2131"/>
      <c r="O36" s="2138"/>
      <c r="P36" s="3573"/>
      <c r="Q36" s="1568" t="str">
        <f t="shared" si="11"/>
        <v>公共部分装修</v>
      </c>
      <c r="R36" s="1569" t="s">
        <v>11</v>
      </c>
      <c r="S36" s="1570">
        <f t="shared" si="12"/>
        <v>100</v>
      </c>
      <c r="T36" s="1569" t="s">
        <v>11</v>
      </c>
      <c r="U36" s="1570">
        <f t="shared" si="13"/>
        <v>100</v>
      </c>
      <c r="V36" s="1569" t="s">
        <v>11</v>
      </c>
      <c r="W36" s="1570">
        <f t="shared" si="14"/>
        <v>100</v>
      </c>
      <c r="X36" s="1563"/>
      <c r="Y36" s="3573"/>
      <c r="Z36" s="1571" t="str">
        <f t="shared" si="15"/>
        <v>公共部分装修</v>
      </c>
      <c r="AA36" s="1572">
        <f t="shared" si="3"/>
        <v>1</v>
      </c>
      <c r="AB36" s="1572">
        <f t="shared" si="4"/>
        <v>1</v>
      </c>
      <c r="AC36" s="1572">
        <f t="shared" si="5"/>
        <v>1</v>
      </c>
    </row>
    <row r="37" spans="1:29" s="1216" customFormat="1" ht="15" hidden="1">
      <c r="A37" s="596"/>
      <c r="B37" s="523" t="s">
        <v>724</v>
      </c>
      <c r="C37" s="879">
        <v>1</v>
      </c>
      <c r="D37" s="254">
        <v>100</v>
      </c>
      <c r="E37" s="880">
        <v>1</v>
      </c>
      <c r="F37" s="859">
        <f>LOOKUP(E37,112:112,113:113)-LOOKUP(C37,112:112,113:113)+100</f>
        <v>100</v>
      </c>
      <c r="G37" s="881">
        <v>1</v>
      </c>
      <c r="H37" s="254">
        <f>LOOKUP(G37,112:112,113:113)-LOOKUP(C37,112:112,113:113)+100</f>
        <v>100</v>
      </c>
      <c r="I37" s="880">
        <v>1</v>
      </c>
      <c r="J37" s="254">
        <f>LOOKUP(I37,112:112,113:113)-LOOKUP(C37,112:112,113:113)+100</f>
        <v>100</v>
      </c>
      <c r="K37" s="860"/>
      <c r="L37" s="2132"/>
      <c r="M37" s="2133"/>
      <c r="N37" s="2133"/>
      <c r="O37" s="2134"/>
      <c r="P37" s="3573"/>
      <c r="Q37" s="1147" t="str">
        <f t="shared" si="11"/>
        <v>成新度</v>
      </c>
      <c r="R37" s="1564" t="s">
        <v>11</v>
      </c>
      <c r="S37" s="1565">
        <f t="shared" si="12"/>
        <v>100</v>
      </c>
      <c r="T37" s="1564" t="s">
        <v>11</v>
      </c>
      <c r="U37" s="1565">
        <f t="shared" si="13"/>
        <v>100</v>
      </c>
      <c r="V37" s="1564" t="s">
        <v>11</v>
      </c>
      <c r="W37" s="1565">
        <f t="shared" si="14"/>
        <v>100</v>
      </c>
      <c r="X37" s="1566"/>
      <c r="Y37" s="3573"/>
      <c r="Z37" s="1146" t="str">
        <f t="shared" si="15"/>
        <v>成新度</v>
      </c>
      <c r="AA37" s="1567">
        <f t="shared" si="3"/>
        <v>1</v>
      </c>
      <c r="AB37" s="1567">
        <f t="shared" si="4"/>
        <v>1</v>
      </c>
      <c r="AC37" s="1567">
        <f t="shared" si="5"/>
        <v>1</v>
      </c>
    </row>
    <row r="38" spans="1:29" ht="15" hidden="1">
      <c r="A38" s="590"/>
      <c r="B38" s="523" t="s">
        <v>725</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9"/>
      <c r="M38" s="2131"/>
      <c r="N38" s="2131"/>
      <c r="O38" s="2138"/>
      <c r="P38" s="3573" t="s">
        <v>544</v>
      </c>
      <c r="Q38" s="1568" t="str">
        <f t="shared" si="11"/>
        <v>物业管理</v>
      </c>
      <c r="R38" s="1569" t="s">
        <v>11</v>
      </c>
      <c r="S38" s="1570">
        <f t="shared" si="12"/>
        <v>100</v>
      </c>
      <c r="T38" s="1569" t="s">
        <v>11</v>
      </c>
      <c r="U38" s="1570">
        <f t="shared" si="13"/>
        <v>100</v>
      </c>
      <c r="V38" s="1569" t="s">
        <v>11</v>
      </c>
      <c r="W38" s="1570">
        <f t="shared" si="14"/>
        <v>100</v>
      </c>
      <c r="X38" s="1563"/>
      <c r="Y38" s="3573" t="s">
        <v>544</v>
      </c>
      <c r="Z38" s="1571" t="str">
        <f t="shared" si="15"/>
        <v>物业管理</v>
      </c>
      <c r="AA38" s="1572">
        <f t="shared" si="3"/>
        <v>1</v>
      </c>
      <c r="AB38" s="1572">
        <f t="shared" si="4"/>
        <v>1</v>
      </c>
      <c r="AC38" s="1572">
        <f t="shared" si="5"/>
        <v>1</v>
      </c>
    </row>
    <row r="39" spans="1:29" ht="15">
      <c r="A39" s="590"/>
      <c r="B39" s="1892" t="s">
        <v>2559</v>
      </c>
      <c r="C39" s="595" t="s">
        <v>3104</v>
      </c>
      <c r="D39" s="536">
        <v>100</v>
      </c>
      <c r="E39" s="3290" t="s">
        <v>3254</v>
      </c>
      <c r="F39" s="571">
        <f>SUMIF(116:116,E39,117:117)-SUMIF(116:116,C39,117:117)+100</f>
        <v>106</v>
      </c>
      <c r="G39" s="3291" t="s">
        <v>3254</v>
      </c>
      <c r="H39" s="536">
        <f>SUMIF(116:116,G39,117:117)-SUMIF(116:116,C39,117:117)+100</f>
        <v>106</v>
      </c>
      <c r="I39" s="3290" t="s">
        <v>3254</v>
      </c>
      <c r="J39" s="536">
        <f>SUMIF(116:116,I39,117:117)-SUMIF(116:116,C39,117:117)+100</f>
        <v>106</v>
      </c>
      <c r="K39" s="860">
        <v>6</v>
      </c>
      <c r="L39" s="2139"/>
      <c r="M39" s="2131"/>
      <c r="N39" s="2131"/>
      <c r="O39" s="2138"/>
      <c r="P39" s="3573"/>
      <c r="Q39" s="1568" t="str">
        <f t="shared" si="11"/>
        <v>市政基础设施</v>
      </c>
      <c r="R39" s="1569" t="s">
        <v>11</v>
      </c>
      <c r="S39" s="1570">
        <f t="shared" si="12"/>
        <v>106</v>
      </c>
      <c r="T39" s="1569" t="s">
        <v>11</v>
      </c>
      <c r="U39" s="1570">
        <f t="shared" si="13"/>
        <v>106</v>
      </c>
      <c r="V39" s="1569" t="s">
        <v>11</v>
      </c>
      <c r="W39" s="1570">
        <f t="shared" si="14"/>
        <v>106</v>
      </c>
      <c r="X39" s="1563"/>
      <c r="Y39" s="3573"/>
      <c r="Z39" s="1571" t="str">
        <f t="shared" si="15"/>
        <v>市政基础设施</v>
      </c>
      <c r="AA39" s="1572">
        <f t="shared" si="3"/>
        <v>0.94339622641509435</v>
      </c>
      <c r="AB39" s="1572">
        <f t="shared" si="4"/>
        <v>0.94339622641509435</v>
      </c>
      <c r="AC39" s="1572">
        <f t="shared" si="5"/>
        <v>0.94339622641509435</v>
      </c>
    </row>
    <row r="40" spans="1:29" ht="15" hidden="1">
      <c r="A40" s="590"/>
      <c r="B40" s="523" t="s">
        <v>726</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9"/>
      <c r="M40" s="2131"/>
      <c r="N40" s="2131"/>
      <c r="O40" s="2138"/>
      <c r="P40" s="3573"/>
      <c r="Q40" s="1568" t="str">
        <f t="shared" si="11"/>
        <v>房型</v>
      </c>
      <c r="R40" s="1569" t="s">
        <v>11</v>
      </c>
      <c r="S40" s="1570">
        <f t="shared" si="12"/>
        <v>100</v>
      </c>
      <c r="T40" s="1569" t="s">
        <v>11</v>
      </c>
      <c r="U40" s="1570">
        <f t="shared" si="13"/>
        <v>100</v>
      </c>
      <c r="V40" s="1569" t="s">
        <v>11</v>
      </c>
      <c r="W40" s="1570">
        <f t="shared" si="14"/>
        <v>100</v>
      </c>
      <c r="X40" s="1563"/>
      <c r="Y40" s="3573"/>
      <c r="Z40" s="1571" t="str">
        <f t="shared" si="15"/>
        <v>房型</v>
      </c>
      <c r="AA40" s="1572">
        <f t="shared" si="3"/>
        <v>1</v>
      </c>
      <c r="AB40" s="1572">
        <f t="shared" si="4"/>
        <v>1</v>
      </c>
      <c r="AC40" s="1572">
        <f t="shared" si="5"/>
        <v>1</v>
      </c>
    </row>
    <row r="41" spans="1:29" s="1335" customFormat="1" ht="28.5" hidden="1">
      <c r="A41" s="599"/>
      <c r="B41" s="523" t="s">
        <v>727</v>
      </c>
      <c r="C41" s="876"/>
      <c r="D41" s="254">
        <v>100</v>
      </c>
      <c r="E41" s="530"/>
      <c r="F41" s="859">
        <f>SUMIF(120:120,E41,121:121)-SUMIF(120:120,C41,121:121)+100</f>
        <v>100</v>
      </c>
      <c r="G41" s="529"/>
      <c r="H41" s="254">
        <f>SUMIF(120:120,G41,121:121)-SUMIF(120:120,C41,121:121)+100</f>
        <v>100</v>
      </c>
      <c r="I41" s="582"/>
      <c r="J41" s="536">
        <f>SUMIF(120:120,I41,121:121)-SUMIF(120:120,C41,121:121)+100</f>
        <v>100</v>
      </c>
      <c r="K41" s="861"/>
      <c r="L41" s="2137"/>
      <c r="M41" s="2168"/>
      <c r="N41" s="2168"/>
      <c r="O41" s="2140"/>
      <c r="P41" s="3573"/>
      <c r="Q41" s="1601" t="str">
        <f t="shared" si="11"/>
        <v>单套/主力户型建筑面积</v>
      </c>
      <c r="R41" s="1573" t="s">
        <v>11</v>
      </c>
      <c r="S41" s="1574">
        <f t="shared" si="12"/>
        <v>100</v>
      </c>
      <c r="T41" s="1573" t="s">
        <v>11</v>
      </c>
      <c r="U41" s="1574">
        <f t="shared" si="13"/>
        <v>100</v>
      </c>
      <c r="V41" s="1573" t="s">
        <v>11</v>
      </c>
      <c r="W41" s="1574">
        <f t="shared" si="14"/>
        <v>100</v>
      </c>
      <c r="X41" s="1575"/>
      <c r="Y41" s="3573"/>
      <c r="Z41" s="1576" t="str">
        <f t="shared" si="15"/>
        <v>单套/主力户型建筑面积</v>
      </c>
      <c r="AA41" s="1572">
        <f t="shared" si="3"/>
        <v>1</v>
      </c>
      <c r="AB41" s="1572">
        <f t="shared" si="4"/>
        <v>1</v>
      </c>
      <c r="AC41" s="1572">
        <f t="shared" si="5"/>
        <v>1</v>
      </c>
    </row>
    <row r="42" spans="1:29" ht="15">
      <c r="A42" s="590"/>
      <c r="B42" s="523" t="s">
        <v>728</v>
      </c>
      <c r="C42" s="595" t="s">
        <v>3151</v>
      </c>
      <c r="D42" s="536">
        <v>100</v>
      </c>
      <c r="E42" s="870" t="s">
        <v>3151</v>
      </c>
      <c r="F42" s="571">
        <f>SUMIF(122:122,E42,123:123)-SUMIF(122:122,C42,123:123)+100</f>
        <v>100</v>
      </c>
      <c r="G42" s="595" t="s">
        <v>3151</v>
      </c>
      <c r="H42" s="536">
        <f>SUMIF(122:122,G42,123:123)-SUMIF(122:122,C42,123:123)+100</f>
        <v>100</v>
      </c>
      <c r="I42" s="870" t="s">
        <v>3151</v>
      </c>
      <c r="J42" s="536">
        <f>SUMIF(122:122,I42,123:123)-SUMIF(122:122,C42,123:123)+100</f>
        <v>100</v>
      </c>
      <c r="K42" s="860"/>
      <c r="L42" s="2139"/>
      <c r="M42" s="2131"/>
      <c r="N42" s="2131"/>
      <c r="O42" s="2138"/>
      <c r="P42" s="3573"/>
      <c r="Q42" s="1568" t="str">
        <f t="shared" si="11"/>
        <v>内部装修</v>
      </c>
      <c r="R42" s="1569" t="s">
        <v>11</v>
      </c>
      <c r="S42" s="1570">
        <f t="shared" si="12"/>
        <v>100</v>
      </c>
      <c r="T42" s="1569" t="s">
        <v>11</v>
      </c>
      <c r="U42" s="1570">
        <f t="shared" si="13"/>
        <v>100</v>
      </c>
      <c r="V42" s="1569" t="s">
        <v>11</v>
      </c>
      <c r="W42" s="1570">
        <f t="shared" si="14"/>
        <v>100</v>
      </c>
      <c r="X42" s="1563"/>
      <c r="Y42" s="3573"/>
      <c r="Z42" s="1571" t="str">
        <f t="shared" si="15"/>
        <v>内部装修</v>
      </c>
      <c r="AA42" s="1572">
        <f t="shared" si="3"/>
        <v>1</v>
      </c>
      <c r="AB42" s="1572">
        <f t="shared" si="4"/>
        <v>1</v>
      </c>
      <c r="AC42" s="1572">
        <f t="shared" si="5"/>
        <v>1</v>
      </c>
    </row>
    <row r="43" spans="1:29" ht="27" hidden="1">
      <c r="A43" s="590"/>
      <c r="B43" s="523" t="s">
        <v>729</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9"/>
      <c r="M43" s="2131"/>
      <c r="N43" s="2131"/>
      <c r="O43" s="2138"/>
      <c r="P43" s="3573"/>
      <c r="Q43" s="1568" t="str">
        <f t="shared" si="11"/>
        <v>内部装修维护情况</v>
      </c>
      <c r="R43" s="1569" t="s">
        <v>11</v>
      </c>
      <c r="S43" s="1570">
        <f t="shared" si="12"/>
        <v>100</v>
      </c>
      <c r="T43" s="1569" t="s">
        <v>11</v>
      </c>
      <c r="U43" s="1570">
        <f t="shared" si="13"/>
        <v>100</v>
      </c>
      <c r="V43" s="1569" t="s">
        <v>11</v>
      </c>
      <c r="W43" s="1570">
        <f t="shared" si="14"/>
        <v>100</v>
      </c>
      <c r="X43" s="1563"/>
      <c r="Y43" s="3573"/>
      <c r="Z43" s="1571" t="str">
        <f t="shared" si="15"/>
        <v>内部装修维护情况</v>
      </c>
      <c r="AA43" s="1572">
        <f t="shared" si="3"/>
        <v>1</v>
      </c>
      <c r="AB43" s="1572">
        <f t="shared" si="4"/>
        <v>1</v>
      </c>
      <c r="AC43" s="1572">
        <f t="shared" si="5"/>
        <v>1</v>
      </c>
    </row>
    <row r="44" spans="1:29" s="1216" customFormat="1" ht="15" hidden="1">
      <c r="A44" s="596"/>
      <c r="B44" s="3259" t="s">
        <v>3134</v>
      </c>
      <c r="C44" s="3267" t="s">
        <v>3136</v>
      </c>
      <c r="D44" s="254">
        <v>100</v>
      </c>
      <c r="E44" s="3267" t="s">
        <v>3137</v>
      </c>
      <c r="F44" s="859">
        <f>SUMIF(126:126,E44,127:127)-SUMIF(126:126,C44,127:127)+100</f>
        <v>100</v>
      </c>
      <c r="G44" s="3267" t="s">
        <v>3137</v>
      </c>
      <c r="H44" s="254">
        <f>SUMIF(126:126,G44,127:127)-SUMIF(126:126,C44,127:127)+100</f>
        <v>100</v>
      </c>
      <c r="I44" s="3267" t="s">
        <v>3137</v>
      </c>
      <c r="J44" s="254">
        <f>SUMIF(126:126,I44,127:127)-SUMIF(126:126,C44,127:127)+100</f>
        <v>100</v>
      </c>
      <c r="K44" s="861"/>
      <c r="L44" s="2132"/>
      <c r="M44" s="2133"/>
      <c r="N44" s="2133"/>
      <c r="O44" s="2134"/>
      <c r="P44" s="3573"/>
      <c r="Q44" s="1147" t="str">
        <f t="shared" si="11"/>
        <v>交房时间</v>
      </c>
      <c r="R44" s="1564" t="s">
        <v>11</v>
      </c>
      <c r="S44" s="1565">
        <f t="shared" si="12"/>
        <v>100</v>
      </c>
      <c r="T44" s="1564" t="s">
        <v>11</v>
      </c>
      <c r="U44" s="1565">
        <f t="shared" si="13"/>
        <v>100</v>
      </c>
      <c r="V44" s="1564" t="s">
        <v>11</v>
      </c>
      <c r="W44" s="1565">
        <f t="shared" si="14"/>
        <v>100</v>
      </c>
      <c r="X44" s="1566"/>
      <c r="Y44" s="3573"/>
      <c r="Z44" s="1146" t="str">
        <f t="shared" si="15"/>
        <v>交房时间</v>
      </c>
      <c r="AA44" s="1567">
        <f t="shared" si="3"/>
        <v>1</v>
      </c>
      <c r="AB44" s="1567">
        <f t="shared" si="4"/>
        <v>1</v>
      </c>
      <c r="AC44" s="1567">
        <f t="shared" si="5"/>
        <v>1</v>
      </c>
    </row>
    <row r="45" spans="1:29" ht="15">
      <c r="A45" s="590"/>
      <c r="B45" s="3259" t="s">
        <v>3176</v>
      </c>
      <c r="C45" s="3260">
        <f>'数据-汇总表'!E19</f>
        <v>433886</v>
      </c>
      <c r="D45" s="536">
        <v>100</v>
      </c>
      <c r="E45" s="3260">
        <v>68</v>
      </c>
      <c r="F45" s="571">
        <f>SUMIF(128:128,E45,129:129)-SUMIF(128:128,C45,129:129)+100</f>
        <v>104</v>
      </c>
      <c r="G45" s="3260">
        <v>86</v>
      </c>
      <c r="H45" s="536">
        <f>SUMIF(128:128,G45,129:129)-SUMIF(128:128,C45,129:129)+100</f>
        <v>104</v>
      </c>
      <c r="I45" s="3260">
        <v>86</v>
      </c>
      <c r="J45" s="536">
        <f>SUMIF(128:128,I45,129:129)-SUMIF(128:128,C45,129:129)+100</f>
        <v>104</v>
      </c>
      <c r="K45" s="861"/>
      <c r="L45" s="2139"/>
      <c r="M45" s="2131"/>
      <c r="N45" s="2131"/>
      <c r="O45" s="2138"/>
      <c r="P45" s="3573"/>
      <c r="Q45" s="1568" t="str">
        <f t="shared" si="11"/>
        <v>建筑面积</v>
      </c>
      <c r="R45" s="1569" t="s">
        <v>11</v>
      </c>
      <c r="S45" s="1570">
        <f t="shared" si="12"/>
        <v>104</v>
      </c>
      <c r="T45" s="1569" t="s">
        <v>11</v>
      </c>
      <c r="U45" s="1570">
        <f t="shared" si="13"/>
        <v>104</v>
      </c>
      <c r="V45" s="1569" t="s">
        <v>11</v>
      </c>
      <c r="W45" s="1570">
        <f t="shared" si="14"/>
        <v>104</v>
      </c>
      <c r="X45" s="1563"/>
      <c r="Y45" s="3573"/>
      <c r="Z45" s="1571" t="str">
        <f t="shared" si="15"/>
        <v>建筑面积</v>
      </c>
      <c r="AA45" s="1572">
        <f t="shared" si="3"/>
        <v>0.96153846153846156</v>
      </c>
      <c r="AB45" s="1572">
        <f t="shared" si="4"/>
        <v>0.96153846153846156</v>
      </c>
      <c r="AC45" s="1572">
        <f t="shared" si="5"/>
        <v>0.96153846153846156</v>
      </c>
    </row>
    <row r="46" spans="1:29" ht="27.75" thickBot="1">
      <c r="A46" s="882"/>
      <c r="B46" s="3304" t="s">
        <v>3232</v>
      </c>
      <c r="C46" s="3305" t="s">
        <v>3234</v>
      </c>
      <c r="D46" s="542">
        <v>100</v>
      </c>
      <c r="E46" s="3305" t="s">
        <v>3233</v>
      </c>
      <c r="F46" s="862">
        <f>SUMIF(130:130,E46,131:131)-SUMIF(130:130,C46,131:131)+100</f>
        <v>110</v>
      </c>
      <c r="G46" s="3305" t="s">
        <v>3233</v>
      </c>
      <c r="H46" s="542">
        <f>SUMIF(130:130,G46,131:131)-SUMIF(130:130,C46,131:131)+100</f>
        <v>110</v>
      </c>
      <c r="I46" s="3305" t="s">
        <v>3233</v>
      </c>
      <c r="J46" s="542">
        <f>SUMIF(130:130,I46,131:131)-SUMIF(130:130,C46,131:131)+100</f>
        <v>110</v>
      </c>
      <c r="K46" s="861"/>
      <c r="L46" s="2139"/>
      <c r="M46" s="2131"/>
      <c r="N46" s="2131"/>
      <c r="O46" s="2138"/>
      <c r="P46" s="3574"/>
      <c r="Q46" s="1568" t="str">
        <f t="shared" si="11"/>
        <v>房屋性质</v>
      </c>
      <c r="R46" s="1569" t="s">
        <v>10</v>
      </c>
      <c r="S46" s="1570">
        <f t="shared" si="12"/>
        <v>110</v>
      </c>
      <c r="T46" s="1569" t="s">
        <v>10</v>
      </c>
      <c r="U46" s="1570">
        <f t="shared" si="13"/>
        <v>110</v>
      </c>
      <c r="V46" s="1569" t="s">
        <v>10</v>
      </c>
      <c r="W46" s="1570">
        <f t="shared" si="14"/>
        <v>110</v>
      </c>
      <c r="X46" s="1563"/>
      <c r="Y46" s="3574"/>
      <c r="Z46" s="1571" t="str">
        <f t="shared" si="15"/>
        <v>房屋性质</v>
      </c>
      <c r="AA46" s="1572">
        <f t="shared" si="3"/>
        <v>0.90909090909090906</v>
      </c>
      <c r="AB46" s="1572">
        <f t="shared" si="4"/>
        <v>0.90909090909090906</v>
      </c>
      <c r="AC46" s="1572">
        <f t="shared" si="5"/>
        <v>0.90909090909090906</v>
      </c>
    </row>
    <row r="47" spans="1:29" ht="15">
      <c r="A47" s="603" t="s">
        <v>730</v>
      </c>
      <c r="B47" s="883"/>
      <c r="C47" s="2624" t="s">
        <v>9</v>
      </c>
      <c r="D47" s="2625"/>
      <c r="E47" s="2626">
        <v>38970</v>
      </c>
      <c r="F47" s="2627"/>
      <c r="G47" s="2628">
        <v>36627</v>
      </c>
      <c r="H47" s="2629"/>
      <c r="I47" s="2626">
        <v>37790</v>
      </c>
      <c r="J47" s="2629"/>
      <c r="K47" s="1602"/>
      <c r="L47" s="2141"/>
      <c r="M47" s="2142"/>
      <c r="N47" s="2131"/>
      <c r="O47" s="2142"/>
      <c r="P47" s="3551" t="str">
        <f>A47</f>
        <v>成交单价（元/平方米）</v>
      </c>
      <c r="Q47" s="3551"/>
      <c r="R47" s="3569">
        <f>E47</f>
        <v>38970</v>
      </c>
      <c r="S47" s="3569"/>
      <c r="T47" s="3569">
        <f>G47</f>
        <v>36627</v>
      </c>
      <c r="U47" s="3569"/>
      <c r="V47" s="3569">
        <f>I47</f>
        <v>37790</v>
      </c>
      <c r="W47" s="3569"/>
      <c r="X47" s="1555"/>
      <c r="Y47" s="1577"/>
      <c r="Z47" s="1555"/>
      <c r="AA47" s="1555"/>
      <c r="AB47" s="1555"/>
      <c r="AC47" s="1555"/>
    </row>
    <row r="48" spans="1:29" ht="15.75" thickBot="1">
      <c r="A48" s="611" t="s">
        <v>2755</v>
      </c>
      <c r="B48" s="884"/>
      <c r="C48" s="2630">
        <f>R49</f>
        <v>29503</v>
      </c>
      <c r="D48" s="2631"/>
      <c r="E48" s="2632">
        <f>R48</f>
        <v>30420</v>
      </c>
      <c r="F48" s="2632"/>
      <c r="G48" s="2630">
        <f>T48</f>
        <v>28591</v>
      </c>
      <c r="H48" s="2631"/>
      <c r="I48" s="2632">
        <f>V48</f>
        <v>29499</v>
      </c>
      <c r="J48" s="2631"/>
      <c r="K48" s="1603"/>
      <c r="L48" s="2141"/>
      <c r="M48" s="2142"/>
      <c r="N48" s="2142"/>
      <c r="O48" s="2142"/>
      <c r="P48" s="3551" t="str">
        <f>A48</f>
        <v>比较价格（元/平方米）</v>
      </c>
      <c r="Q48" s="3551"/>
      <c r="R48" s="3569">
        <f>IF(F1="售价",ROUND(PRODUCT(R47,AA7:AA46),0),ROUND(PRODUCT(R47,AA7:AA46),1))</f>
        <v>30420</v>
      </c>
      <c r="S48" s="3569"/>
      <c r="T48" s="3569">
        <f>IF(F1="售价",ROUND(PRODUCT(T47,AB7:AB46),0),ROUND(PRODUCT(T47,AB7:AB46),1))</f>
        <v>28591</v>
      </c>
      <c r="U48" s="3569"/>
      <c r="V48" s="3569">
        <f>IF(F1="售价",ROUND(PRODUCT(V47,AC7:AC46),0),ROUND(PRODUCT(V47,AC7:AC46),1))</f>
        <v>29499</v>
      </c>
      <c r="W48" s="3569"/>
      <c r="X48" s="1555"/>
      <c r="Y48" s="1555"/>
      <c r="Z48" s="1555"/>
      <c r="AA48" s="1555"/>
      <c r="AB48" s="1555"/>
      <c r="AC48" s="1555"/>
    </row>
    <row r="49" spans="1:29" ht="15.75" thickBot="1">
      <c r="A49" s="617" t="s">
        <v>2931</v>
      </c>
      <c r="B49" s="618"/>
      <c r="C49" s="2633">
        <f>R49</f>
        <v>29503</v>
      </c>
      <c r="D49" s="2633"/>
      <c r="E49" s="2633"/>
      <c r="F49" s="2633"/>
      <c r="G49" s="2633"/>
      <c r="H49" s="2633"/>
      <c r="I49" s="2633"/>
      <c r="J49" s="2633"/>
      <c r="K49" s="1604"/>
      <c r="L49" s="2141"/>
      <c r="M49" s="2142"/>
      <c r="N49" s="2142"/>
      <c r="O49" s="2142"/>
      <c r="P49" s="3566" t="str">
        <f>A49</f>
        <v>估价对象XX用房的比较价格（楼面单价，元/平方米）</v>
      </c>
      <c r="Q49" s="3567"/>
      <c r="R49" s="3568">
        <f>IF(F1="售价",ROUND(AVERAGE(R48:V48),0),ROUND(AVERAGE(R48:V48),1))</f>
        <v>29503</v>
      </c>
      <c r="S49" s="3568"/>
      <c r="T49" s="3568"/>
      <c r="U49" s="3568"/>
      <c r="V49" s="3568"/>
      <c r="W49" s="356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0" t="s">
        <v>551</v>
      </c>
      <c r="D52" s="621"/>
      <c r="E52" s="622">
        <f>IF(E47&lt;E48,E48/E47-1,E47/E48-1)</f>
        <v>0.28106508875739644</v>
      </c>
      <c r="F52" s="623" t="str">
        <f>IF(OR(E52&gt;=0.3,E52&lt;=-0.3),"超过30%","")</f>
        <v/>
      </c>
      <c r="G52" s="622">
        <f>IF(G47&lt;G48,G48/G47-1,G47/G48-1)</f>
        <v>0.281067468783883</v>
      </c>
      <c r="H52" s="623" t="str">
        <f>IF(OR(G52&gt;=0.3,G52&lt;=-0.3),"超过30%","")</f>
        <v/>
      </c>
      <c r="I52" s="622">
        <f>IF(I47&lt;I48,I48/I47-1,I47/I48-1)</f>
        <v>0.28106037492796365</v>
      </c>
      <c r="J52" s="623"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0" t="s">
        <v>552</v>
      </c>
      <c r="D53" s="624"/>
      <c r="E53" s="622">
        <f>IF(E48&lt;G48,G48/E48-1,E48/G48-1)</f>
        <v>6.3971179741876716E-2</v>
      </c>
      <c r="F53" s="623" t="str">
        <f>IF(OR(E53&gt;=0.2,E53&lt;=-0.2),"超过20%","")</f>
        <v/>
      </c>
      <c r="G53" s="622">
        <f>IF(G48&lt;I48,I48/G48-1,G48/I48-1)</f>
        <v>3.175824560176288E-2</v>
      </c>
      <c r="H53" s="623" t="str">
        <f>IF(OR(G53&gt;=0.2,G53&lt;=-0.2),"超过20%","")</f>
        <v/>
      </c>
      <c r="I53" s="622">
        <f>IF(I48&lt;E48,E48/I48-1,I48/E48-1)</f>
        <v>3.1221397335502887E-2</v>
      </c>
      <c r="J53" s="623"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0" t="s">
        <v>553</v>
      </c>
      <c r="D54" s="624"/>
      <c r="E54" s="622">
        <f>IF(E47&lt;G47,G47/E47-1,E47/G47-1)</f>
        <v>6.3969203046932543E-2</v>
      </c>
      <c r="F54" s="623" t="str">
        <f>IF(OR(E54&gt;=0.3,E54&lt;=-0.3),"超过30%","")</f>
        <v/>
      </c>
      <c r="G54" s="622">
        <f>IF(G47&lt;I47,I47/G47-1,G47/I47-1)</f>
        <v>3.175253228492636E-2</v>
      </c>
      <c r="H54" s="623" t="str">
        <f>IF(OR(G54&gt;=0.3,G54&lt;=-0.3),"超过30%","")</f>
        <v/>
      </c>
      <c r="I54" s="622">
        <f>IF(I47&lt;E47,E47/I47-1,I47/E47-1)</f>
        <v>3.1225191849695744E-2</v>
      </c>
      <c r="J54" s="623"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568</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1" t="s">
        <v>523</v>
      </c>
      <c r="B58" s="642"/>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6" customFormat="1" ht="15">
      <c r="A59" s="643"/>
      <c r="B59" s="644"/>
      <c r="C59" s="645">
        <v>100</v>
      </c>
      <c r="D59" s="646">
        <v>99</v>
      </c>
      <c r="E59" s="646">
        <v>99</v>
      </c>
      <c r="F59" s="646">
        <v>99</v>
      </c>
      <c r="G59" s="646">
        <v>98</v>
      </c>
      <c r="H59" s="646">
        <v>98</v>
      </c>
      <c r="I59" s="646">
        <v>98</v>
      </c>
      <c r="J59" s="646">
        <v>97</v>
      </c>
      <c r="K59" s="646">
        <v>97</v>
      </c>
      <c r="L59" s="646">
        <v>97</v>
      </c>
      <c r="M59" s="646"/>
      <c r="N59" s="646"/>
      <c r="O59" s="646"/>
      <c r="P59" s="2155"/>
      <c r="Q59" s="1990"/>
      <c r="R59" s="1990"/>
      <c r="S59" s="1990"/>
      <c r="T59" s="1990"/>
      <c r="U59" s="1990"/>
      <c r="V59" s="1990"/>
      <c r="W59" s="1990"/>
      <c r="X59" s="1990"/>
      <c r="Y59" s="1990"/>
      <c r="Z59" s="1990"/>
      <c r="AA59" s="1990"/>
      <c r="AB59" s="1990"/>
      <c r="AC59" s="1990"/>
    </row>
    <row r="60" spans="1:29" s="1216" customFormat="1" ht="15.75" thickBot="1">
      <c r="A60" s="649" t="s">
        <v>569</v>
      </c>
      <c r="B60" s="650"/>
      <c r="C60" s="651"/>
      <c r="D60" s="652"/>
      <c r="E60" s="652"/>
      <c r="F60" s="652"/>
      <c r="G60" s="652"/>
      <c r="H60" s="652"/>
      <c r="I60" s="652"/>
      <c r="J60" s="652"/>
      <c r="K60" s="652"/>
      <c r="L60" s="652"/>
      <c r="M60" s="653"/>
      <c r="N60" s="652"/>
      <c r="O60" s="654"/>
      <c r="P60" s="2155"/>
      <c r="Q60" s="2155"/>
      <c r="R60" s="1990"/>
      <c r="S60" s="1990"/>
      <c r="T60" s="1990"/>
      <c r="U60" s="1990"/>
      <c r="V60" s="1990"/>
      <c r="W60" s="1990"/>
      <c r="X60" s="1990"/>
      <c r="Y60" s="1990"/>
      <c r="Z60" s="1990"/>
      <c r="AA60" s="1990"/>
      <c r="AB60" s="1990"/>
      <c r="AC60" s="1990"/>
    </row>
    <row r="61" spans="1:29" s="1216" customFormat="1" ht="15">
      <c r="A61" s="655" t="s">
        <v>525</v>
      </c>
      <c r="B61" s="644"/>
      <c r="C61" s="656" t="s">
        <v>570</v>
      </c>
      <c r="D61" s="3257" t="s">
        <v>3101</v>
      </c>
      <c r="E61" s="657"/>
      <c r="F61" s="657"/>
      <c r="G61" s="657"/>
      <c r="H61" s="657"/>
      <c r="I61" s="657"/>
      <c r="J61" s="657"/>
      <c r="K61" s="657"/>
      <c r="L61" s="658"/>
      <c r="M61" s="659"/>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5"/>
      <c r="B62" s="644"/>
      <c r="C62" s="885">
        <v>100</v>
      </c>
      <c r="D62" s="646">
        <v>106</v>
      </c>
      <c r="E62" s="646"/>
      <c r="F62" s="646"/>
      <c r="G62" s="646"/>
      <c r="H62" s="646"/>
      <c r="I62" s="646"/>
      <c r="J62" s="646"/>
      <c r="K62" s="646"/>
      <c r="L62" s="646"/>
      <c r="M62" s="648"/>
      <c r="N62" s="2159"/>
      <c r="O62" s="2159"/>
      <c r="P62" s="2155"/>
      <c r="Q62" s="2155"/>
      <c r="R62" s="1990"/>
      <c r="S62" s="1990"/>
      <c r="T62" s="1990"/>
      <c r="U62" s="1990"/>
      <c r="V62" s="1990"/>
      <c r="W62" s="1990"/>
      <c r="X62" s="1990"/>
      <c r="Y62" s="1990"/>
      <c r="Z62" s="1990"/>
      <c r="AA62" s="1990"/>
      <c r="AB62" s="1990"/>
      <c r="AC62" s="1990"/>
    </row>
    <row r="63" spans="1:29">
      <c r="A63" s="660" t="s">
        <v>571</v>
      </c>
      <c r="B63" s="661" t="s">
        <v>528</v>
      </c>
      <c r="C63" s="700" t="str">
        <f>C9</f>
        <v>住宅</v>
      </c>
      <c r="D63" s="594"/>
      <c r="E63" s="594"/>
      <c r="F63" s="594"/>
      <c r="G63" s="594"/>
      <c r="H63" s="594"/>
      <c r="I63" s="594"/>
      <c r="J63" s="594"/>
      <c r="K63" s="662"/>
      <c r="L63" s="663"/>
      <c r="M63" s="664"/>
      <c r="N63" s="2161"/>
      <c r="O63" s="2161"/>
      <c r="P63" s="2162"/>
      <c r="Q63" s="2155"/>
      <c r="R63" s="2142"/>
      <c r="S63" s="2142"/>
      <c r="T63" s="2142"/>
      <c r="U63" s="2142"/>
      <c r="V63" s="2142"/>
      <c r="W63" s="2142"/>
      <c r="X63" s="2142"/>
      <c r="Y63" s="2142"/>
      <c r="Z63" s="2142"/>
      <c r="AA63" s="2142"/>
      <c r="AB63" s="2142"/>
      <c r="AC63" s="2142"/>
    </row>
    <row r="64" spans="1:29" ht="15.75" thickBot="1">
      <c r="A64" s="665"/>
      <c r="B64" s="666"/>
      <c r="C64" s="667"/>
      <c r="D64" s="667"/>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5"/>
      <c r="B65" s="669" t="s">
        <v>531</v>
      </c>
      <c r="C65" s="670" t="s">
        <v>731</v>
      </c>
      <c r="D65" s="670" t="s">
        <v>732</v>
      </c>
      <c r="E65" s="670" t="s">
        <v>733</v>
      </c>
      <c r="F65" s="670" t="s">
        <v>734</v>
      </c>
      <c r="G65" s="670" t="s">
        <v>735</v>
      </c>
      <c r="H65" s="670" t="s">
        <v>736</v>
      </c>
      <c r="I65" s="670" t="s">
        <v>737</v>
      </c>
      <c r="J65" s="670"/>
      <c r="K65" s="671"/>
      <c r="L65" s="672"/>
      <c r="M65" s="673"/>
      <c r="N65" s="2161"/>
      <c r="O65" s="2161"/>
      <c r="P65" s="2162"/>
      <c r="Q65" s="2155"/>
      <c r="R65" s="2142"/>
      <c r="S65" s="2142"/>
      <c r="T65" s="2142"/>
      <c r="U65" s="2142"/>
      <c r="V65" s="2142"/>
      <c r="W65" s="2142"/>
      <c r="X65" s="2142"/>
      <c r="Y65" s="2142"/>
      <c r="Z65" s="2142"/>
      <c r="AA65" s="2142"/>
      <c r="AB65" s="2142"/>
      <c r="AC65" s="2142"/>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3"/>
      <c r="O66" s="2163"/>
      <c r="P66" s="2162"/>
      <c r="Q66" s="2155"/>
      <c r="R66" s="2142"/>
      <c r="S66" s="2142"/>
      <c r="T66" s="2142"/>
      <c r="U66" s="2142"/>
      <c r="V66" s="2142"/>
      <c r="W66" s="2142"/>
      <c r="X66" s="2142"/>
      <c r="Y66" s="2142"/>
      <c r="Z66" s="2142"/>
      <c r="AA66" s="2142"/>
      <c r="AB66" s="2142"/>
      <c r="AC66" s="2142"/>
    </row>
    <row r="67" spans="1:29" ht="15.75" thickTop="1">
      <c r="A67" s="665"/>
      <c r="B67" s="677" t="s">
        <v>532</v>
      </c>
      <c r="C67" s="678" t="str">
        <f>C68&amp;"（含）"&amp;"-"&amp;D68</f>
        <v>1（含）-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5"/>
      <c r="B68" s="679"/>
      <c r="C68" s="537">
        <v>1</v>
      </c>
      <c r="D68" s="537"/>
      <c r="E68" s="537"/>
      <c r="F68" s="537"/>
      <c r="G68" s="537"/>
      <c r="H68" s="537"/>
      <c r="I68" s="537"/>
      <c r="J68" s="537"/>
      <c r="K68" s="680"/>
      <c r="L68" s="681"/>
      <c r="M68" s="682"/>
      <c r="N68" s="2161"/>
      <c r="O68" s="2161"/>
      <c r="P68" s="2162"/>
      <c r="Q68" s="2155"/>
      <c r="R68" s="2142"/>
      <c r="S68" s="2142"/>
      <c r="T68" s="2142"/>
      <c r="U68" s="2142"/>
      <c r="V68" s="2142"/>
      <c r="W68" s="2142"/>
      <c r="X68" s="2142"/>
      <c r="Y68" s="2142"/>
      <c r="Z68" s="2142"/>
      <c r="AA68" s="2142"/>
      <c r="AB68" s="2142"/>
      <c r="AC68" s="2142"/>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3"/>
      <c r="B70" s="669">
        <f>B12</f>
        <v>0</v>
      </c>
      <c r="C70" s="684"/>
      <c r="D70" s="684"/>
      <c r="E70" s="684"/>
      <c r="F70" s="684"/>
      <c r="G70" s="684"/>
      <c r="H70" s="685"/>
      <c r="I70" s="685"/>
      <c r="J70" s="685"/>
      <c r="K70" s="685"/>
      <c r="L70" s="686"/>
      <c r="M70" s="687"/>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3"/>
      <c r="B71" s="674"/>
      <c r="C71" s="688"/>
      <c r="D71" s="667"/>
      <c r="E71" s="667"/>
      <c r="F71" s="667"/>
      <c r="G71" s="667"/>
      <c r="H71" s="667"/>
      <c r="I71" s="667"/>
      <c r="J71" s="667"/>
      <c r="K71" s="667"/>
      <c r="L71" s="667"/>
      <c r="M71" s="668"/>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3"/>
      <c r="B72" s="669">
        <f>B13</f>
        <v>111</v>
      </c>
      <c r="C72" s="684"/>
      <c r="D72" s="684"/>
      <c r="E72" s="684"/>
      <c r="F72" s="684"/>
      <c r="G72" s="684"/>
      <c r="H72" s="685"/>
      <c r="I72" s="685"/>
      <c r="J72" s="685"/>
      <c r="K72" s="685"/>
      <c r="L72" s="686"/>
      <c r="M72" s="687"/>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3"/>
      <c r="B73" s="674"/>
      <c r="C73" s="688"/>
      <c r="D73" s="688"/>
      <c r="E73" s="688"/>
      <c r="F73" s="688"/>
      <c r="G73" s="688"/>
      <c r="H73" s="689"/>
      <c r="I73" s="689"/>
      <c r="J73" s="689"/>
      <c r="K73" s="689"/>
      <c r="L73" s="689"/>
      <c r="M73" s="690"/>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3"/>
      <c r="B74" s="677">
        <f>B14</f>
        <v>111</v>
      </c>
      <c r="C74" s="684"/>
      <c r="D74" s="684"/>
      <c r="E74" s="684"/>
      <c r="F74" s="684"/>
      <c r="G74" s="657"/>
      <c r="H74" s="691"/>
      <c r="I74" s="691"/>
      <c r="J74" s="691"/>
      <c r="K74" s="691"/>
      <c r="L74" s="692"/>
      <c r="M74" s="693"/>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4"/>
      <c r="B75" s="695"/>
      <c r="C75" s="696"/>
      <c r="D75" s="696"/>
      <c r="E75" s="696"/>
      <c r="F75" s="696"/>
      <c r="G75" s="696"/>
      <c r="H75" s="697"/>
      <c r="I75" s="697"/>
      <c r="J75" s="697"/>
      <c r="K75" s="697"/>
      <c r="L75" s="697"/>
      <c r="M75" s="698"/>
      <c r="N75" s="2164"/>
      <c r="O75" s="2164"/>
      <c r="P75" s="2165"/>
      <c r="Q75" s="2166"/>
      <c r="R75" s="2167"/>
      <c r="S75" s="2167"/>
      <c r="T75" s="2167"/>
      <c r="U75" s="2167"/>
      <c r="V75" s="2167"/>
      <c r="W75" s="2167"/>
      <c r="X75" s="2167"/>
      <c r="Y75" s="2167"/>
      <c r="Z75" s="2167"/>
      <c r="AA75" s="2167"/>
      <c r="AB75" s="2167"/>
      <c r="AC75" s="2167"/>
    </row>
    <row r="76" spans="1:29">
      <c r="A76" s="660" t="s">
        <v>533</v>
      </c>
      <c r="B76" s="661" t="s">
        <v>572</v>
      </c>
      <c r="C76" s="699" t="s">
        <v>573</v>
      </c>
      <c r="D76" s="699" t="s">
        <v>574</v>
      </c>
      <c r="E76" s="699" t="s">
        <v>575</v>
      </c>
      <c r="F76" s="699" t="s">
        <v>576</v>
      </c>
      <c r="G76" s="699" t="s">
        <v>577</v>
      </c>
      <c r="H76" s="700"/>
      <c r="I76" s="700"/>
      <c r="J76" s="700"/>
      <c r="K76" s="701"/>
      <c r="L76" s="702"/>
      <c r="M76" s="703"/>
      <c r="N76" s="2161"/>
      <c r="O76" s="2161"/>
      <c r="P76" s="2171"/>
      <c r="Q76" s="2155"/>
      <c r="R76" s="2142"/>
      <c r="S76" s="2142"/>
      <c r="T76" s="2142"/>
      <c r="U76" s="2142"/>
      <c r="V76" s="2142"/>
      <c r="W76" s="2142"/>
      <c r="X76" s="2142"/>
      <c r="Y76" s="2142"/>
      <c r="Z76" s="2142"/>
      <c r="AA76" s="2142"/>
      <c r="AB76" s="2142"/>
      <c r="AC76" s="2142"/>
    </row>
    <row r="77" spans="1:29" ht="15.75" thickBot="1">
      <c r="A77" s="665"/>
      <c r="B77" s="674"/>
      <c r="C77" s="675">
        <v>100</v>
      </c>
      <c r="D77" s="675">
        <f>C77-$K15</f>
        <v>98</v>
      </c>
      <c r="E77" s="675">
        <f>D77-$K15</f>
        <v>96</v>
      </c>
      <c r="F77" s="675">
        <f>E77-$K15</f>
        <v>94</v>
      </c>
      <c r="G77" s="675">
        <f>F77-$K15</f>
        <v>92</v>
      </c>
      <c r="H77" s="675"/>
      <c r="I77" s="675"/>
      <c r="J77" s="675"/>
      <c r="K77" s="675"/>
      <c r="L77" s="675"/>
      <c r="M77" s="676"/>
      <c r="N77" s="2163"/>
      <c r="O77" s="2163"/>
      <c r="P77" s="2162"/>
      <c r="Q77" s="2155"/>
      <c r="R77" s="2142"/>
      <c r="S77" s="2142"/>
      <c r="T77" s="2142"/>
      <c r="U77" s="2142"/>
      <c r="V77" s="2142"/>
      <c r="W77" s="2142"/>
      <c r="X77" s="2142"/>
      <c r="Y77" s="2142"/>
      <c r="Z77" s="2142"/>
      <c r="AA77" s="2142"/>
      <c r="AB77" s="2142"/>
      <c r="AC77" s="2142"/>
    </row>
    <row r="78" spans="1:29" ht="15.75" thickTop="1">
      <c r="A78" s="665"/>
      <c r="B78" s="669" t="s">
        <v>580</v>
      </c>
      <c r="C78" s="704" t="s">
        <v>573</v>
      </c>
      <c r="D78" s="704" t="s">
        <v>574</v>
      </c>
      <c r="E78" s="704" t="s">
        <v>575</v>
      </c>
      <c r="F78" s="704" t="s">
        <v>576</v>
      </c>
      <c r="G78" s="704" t="s">
        <v>577</v>
      </c>
      <c r="H78" s="670"/>
      <c r="I78" s="670"/>
      <c r="J78" s="670"/>
      <c r="K78" s="671"/>
      <c r="L78" s="672"/>
      <c r="M78" s="673"/>
      <c r="N78" s="2161"/>
      <c r="O78" s="2161"/>
      <c r="P78" s="2162"/>
      <c r="Q78" s="2155"/>
      <c r="R78" s="2142"/>
      <c r="S78" s="2142"/>
      <c r="T78" s="2142"/>
      <c r="U78" s="2142"/>
      <c r="V78" s="2142"/>
      <c r="W78" s="2142"/>
      <c r="X78" s="2142"/>
      <c r="Y78" s="2142"/>
      <c r="Z78" s="2142"/>
      <c r="AA78" s="2142"/>
      <c r="AB78" s="2142"/>
      <c r="AC78" s="2142"/>
    </row>
    <row r="79" spans="1:29" ht="15.75" thickBot="1">
      <c r="A79" s="665"/>
      <c r="B79" s="674"/>
      <c r="C79" s="675">
        <v>100</v>
      </c>
      <c r="D79" s="675">
        <f>C79-$K17</f>
        <v>98</v>
      </c>
      <c r="E79" s="675">
        <f>D79-$K17</f>
        <v>96</v>
      </c>
      <c r="F79" s="675">
        <f>E79-$K17</f>
        <v>94</v>
      </c>
      <c r="G79" s="675">
        <f>F79-$K17</f>
        <v>92</v>
      </c>
      <c r="H79" s="675"/>
      <c r="I79" s="675"/>
      <c r="J79" s="675"/>
      <c r="K79" s="675"/>
      <c r="L79" s="675"/>
      <c r="M79" s="676"/>
      <c r="N79" s="2163"/>
      <c r="O79" s="2163"/>
      <c r="P79" s="2162"/>
      <c r="Q79" s="2155"/>
      <c r="R79" s="2142"/>
      <c r="S79" s="2142"/>
      <c r="T79" s="2142"/>
      <c r="U79" s="2142"/>
      <c r="V79" s="2142"/>
      <c r="W79" s="2142"/>
      <c r="X79" s="2142"/>
      <c r="Y79" s="2142"/>
      <c r="Z79" s="2142"/>
      <c r="AA79" s="2142"/>
      <c r="AB79" s="2142"/>
      <c r="AC79" s="2142"/>
    </row>
    <row r="80" spans="1:29" ht="15.75" thickTop="1">
      <c r="A80" s="665"/>
      <c r="B80" s="1893" t="s">
        <v>2552</v>
      </c>
      <c r="C80" s="704" t="s">
        <v>573</v>
      </c>
      <c r="D80" s="704" t="s">
        <v>574</v>
      </c>
      <c r="E80" s="704" t="s">
        <v>575</v>
      </c>
      <c r="F80" s="704" t="s">
        <v>576</v>
      </c>
      <c r="G80" s="704" t="s">
        <v>577</v>
      </c>
      <c r="H80" s="670"/>
      <c r="I80" s="670"/>
      <c r="J80" s="670"/>
      <c r="K80" s="671"/>
      <c r="L80" s="672"/>
      <c r="M80" s="673"/>
      <c r="N80" s="2161"/>
      <c r="O80" s="2161"/>
      <c r="P80" s="2162"/>
      <c r="Q80" s="2155"/>
      <c r="R80" s="2142"/>
      <c r="S80" s="2142"/>
      <c r="T80" s="2142"/>
      <c r="U80" s="2142"/>
      <c r="V80" s="2142"/>
      <c r="W80" s="2142"/>
      <c r="X80" s="2142"/>
      <c r="Y80" s="2142"/>
      <c r="Z80" s="2142"/>
      <c r="AA80" s="2142"/>
      <c r="AB80" s="2142"/>
      <c r="AC80" s="2142"/>
    </row>
    <row r="81" spans="1:29" ht="15.75" thickBot="1">
      <c r="A81" s="665"/>
      <c r="B81" s="674"/>
      <c r="C81" s="675">
        <v>100</v>
      </c>
      <c r="D81" s="675">
        <f>C81-$K19</f>
        <v>98</v>
      </c>
      <c r="E81" s="675">
        <f>D81-$K19</f>
        <v>96</v>
      </c>
      <c r="F81" s="675">
        <f>E81-$K19</f>
        <v>94</v>
      </c>
      <c r="G81" s="675">
        <f>F81-$K19</f>
        <v>92</v>
      </c>
      <c r="H81" s="675"/>
      <c r="I81" s="675"/>
      <c r="J81" s="675"/>
      <c r="K81" s="675"/>
      <c r="L81" s="675"/>
      <c r="M81" s="676"/>
      <c r="N81" s="2163"/>
      <c r="O81" s="2163"/>
      <c r="P81" s="2162"/>
      <c r="Q81" s="2155"/>
      <c r="R81" s="2142"/>
      <c r="S81" s="2142"/>
      <c r="T81" s="2142"/>
      <c r="U81" s="2142"/>
      <c r="V81" s="2142"/>
      <c r="W81" s="2142"/>
      <c r="X81" s="2142"/>
      <c r="Y81" s="2142"/>
      <c r="Z81" s="2142"/>
      <c r="AA81" s="2142"/>
      <c r="AB81" s="2142"/>
      <c r="AC81" s="2142"/>
    </row>
    <row r="82" spans="1:29" ht="15.75" thickTop="1">
      <c r="A82" s="665"/>
      <c r="B82" s="2594" t="s">
        <v>2553</v>
      </c>
      <c r="C82" s="2595" t="s">
        <v>2554</v>
      </c>
      <c r="D82" s="2595" t="s">
        <v>2555</v>
      </c>
      <c r="E82" s="2595" t="s">
        <v>2556</v>
      </c>
      <c r="F82" s="2595" t="s">
        <v>2557</v>
      </c>
      <c r="G82" s="2595" t="s">
        <v>2558</v>
      </c>
      <c r="H82" s="670"/>
      <c r="I82" s="670"/>
      <c r="J82" s="670"/>
      <c r="K82" s="670"/>
      <c r="L82" s="670"/>
      <c r="M82" s="2598"/>
      <c r="N82" s="2163"/>
      <c r="O82" s="2163"/>
      <c r="P82" s="2162"/>
      <c r="Q82" s="2155"/>
      <c r="R82" s="2142"/>
      <c r="S82" s="2142"/>
      <c r="T82" s="2142"/>
      <c r="U82" s="2142"/>
      <c r="V82" s="2142"/>
      <c r="W82" s="2142"/>
      <c r="X82" s="2142"/>
      <c r="Y82" s="2142"/>
      <c r="Z82" s="2142"/>
      <c r="AA82" s="2142"/>
      <c r="AB82" s="2142"/>
      <c r="AC82" s="2142"/>
    </row>
    <row r="83" spans="1:29" ht="15.75" thickBot="1">
      <c r="A83" s="665"/>
      <c r="B83" s="677"/>
      <c r="C83" s="675">
        <v>100</v>
      </c>
      <c r="D83" s="675">
        <f>C83-$K21</f>
        <v>99</v>
      </c>
      <c r="E83" s="675">
        <f>D83-$K21</f>
        <v>98</v>
      </c>
      <c r="F83" s="675">
        <f>E83-$K21</f>
        <v>97</v>
      </c>
      <c r="G83" s="675">
        <f>F83-$K21</f>
        <v>96</v>
      </c>
      <c r="H83" s="931"/>
      <c r="I83" s="931"/>
      <c r="J83" s="931"/>
      <c r="K83" s="931"/>
      <c r="L83" s="931"/>
      <c r="M83" s="555"/>
      <c r="N83" s="2163"/>
      <c r="O83" s="2163"/>
      <c r="P83" s="2162"/>
      <c r="Q83" s="2155"/>
      <c r="R83" s="2142"/>
      <c r="S83" s="2142"/>
      <c r="T83" s="2142"/>
      <c r="U83" s="2142"/>
      <c r="V83" s="2142"/>
      <c r="W83" s="2142"/>
      <c r="X83" s="2142"/>
      <c r="Y83" s="2142"/>
      <c r="Z83" s="2142"/>
      <c r="AA83" s="2142"/>
      <c r="AB83" s="2142"/>
      <c r="AC83" s="2142"/>
    </row>
    <row r="84" spans="1:29" ht="15.75" thickTop="1">
      <c r="A84" s="665"/>
      <c r="B84" s="669" t="s">
        <v>738</v>
      </c>
      <c r="C84" s="704" t="s">
        <v>573</v>
      </c>
      <c r="D84" s="704" t="s">
        <v>574</v>
      </c>
      <c r="E84" s="704" t="s">
        <v>575</v>
      </c>
      <c r="F84" s="704" t="s">
        <v>576</v>
      </c>
      <c r="G84" s="704" t="s">
        <v>577</v>
      </c>
      <c r="H84" s="670"/>
      <c r="I84" s="670"/>
      <c r="J84" s="670"/>
      <c r="K84" s="671"/>
      <c r="L84" s="672"/>
      <c r="M84" s="673"/>
      <c r="N84" s="2161"/>
      <c r="O84" s="2161"/>
      <c r="P84" s="2162"/>
      <c r="Q84" s="2155"/>
      <c r="R84" s="2142"/>
      <c r="S84" s="2142"/>
      <c r="T84" s="2142"/>
      <c r="U84" s="2142"/>
      <c r="V84" s="2142"/>
      <c r="W84" s="2142"/>
      <c r="X84" s="2142"/>
      <c r="Y84" s="2142"/>
      <c r="Z84" s="2142"/>
      <c r="AA84" s="2142"/>
      <c r="AB84" s="2142"/>
      <c r="AC84" s="2142"/>
    </row>
    <row r="85" spans="1:29" ht="15.75" thickBot="1">
      <c r="A85" s="665"/>
      <c r="B85" s="674"/>
      <c r="C85" s="675">
        <v>100</v>
      </c>
      <c r="D85" s="675">
        <f>C85-$K23</f>
        <v>98</v>
      </c>
      <c r="E85" s="675">
        <f>D85-$K23</f>
        <v>96</v>
      </c>
      <c r="F85" s="675">
        <f>E85-$K23</f>
        <v>94</v>
      </c>
      <c r="G85" s="675">
        <f>F85-$K23</f>
        <v>92</v>
      </c>
      <c r="H85" s="675"/>
      <c r="I85" s="675"/>
      <c r="J85" s="675"/>
      <c r="K85" s="675"/>
      <c r="L85" s="675"/>
      <c r="M85" s="676"/>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5"/>
      <c r="B86" s="1893" t="s">
        <v>2252</v>
      </c>
      <c r="C86" s="684"/>
      <c r="D86" s="684"/>
      <c r="E86" s="684"/>
      <c r="F86" s="684"/>
      <c r="G86" s="684"/>
      <c r="H86" s="684"/>
      <c r="I86" s="684"/>
      <c r="J86" s="684"/>
      <c r="K86" s="684"/>
      <c r="L86" s="886"/>
      <c r="M86" s="887"/>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5"/>
      <c r="B88" s="669" t="s">
        <v>740</v>
      </c>
      <c r="C88" s="3262" t="s">
        <v>3138</v>
      </c>
      <c r="D88" s="3262" t="s">
        <v>3139</v>
      </c>
      <c r="E88" s="3262" t="s">
        <v>3140</v>
      </c>
      <c r="F88" s="3262" t="s">
        <v>3141</v>
      </c>
      <c r="G88" s="3262" t="s">
        <v>3142</v>
      </c>
      <c r="H88" s="3262" t="s">
        <v>3143</v>
      </c>
      <c r="I88" s="3262" t="s">
        <v>3144</v>
      </c>
      <c r="J88" s="3262" t="s">
        <v>3145</v>
      </c>
      <c r="K88" s="3268" t="s">
        <v>3146</v>
      </c>
      <c r="L88" s="3268" t="s">
        <v>3150</v>
      </c>
      <c r="M88" s="3269" t="s">
        <v>3147</v>
      </c>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3"/>
      <c r="B90" s="669" t="str">
        <f>B27</f>
        <v>道路级别</v>
      </c>
      <c r="C90" s="3262" t="s">
        <v>3106</v>
      </c>
      <c r="D90" s="3262" t="s">
        <v>3107</v>
      </c>
      <c r="E90" s="3262" t="s">
        <v>3108</v>
      </c>
      <c r="F90" s="3262" t="s">
        <v>3109</v>
      </c>
      <c r="G90" s="3262" t="s">
        <v>3110</v>
      </c>
      <c r="H90" s="685"/>
      <c r="I90" s="685"/>
      <c r="J90" s="685"/>
      <c r="K90" s="685"/>
      <c r="L90" s="686"/>
      <c r="M90" s="687"/>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3"/>
      <c r="B91" s="674"/>
      <c r="C91" s="688">
        <v>100</v>
      </c>
      <c r="D91" s="688">
        <v>99</v>
      </c>
      <c r="E91" s="688">
        <v>98</v>
      </c>
      <c r="F91" s="688">
        <v>97</v>
      </c>
      <c r="G91" s="688">
        <v>96</v>
      </c>
      <c r="H91" s="689"/>
      <c r="I91" s="689"/>
      <c r="J91" s="689"/>
      <c r="K91" s="689"/>
      <c r="L91" s="689"/>
      <c r="M91" s="690"/>
      <c r="N91" s="2164"/>
      <c r="O91" s="2164"/>
      <c r="P91" s="2165"/>
      <c r="Q91" s="2166"/>
      <c r="R91" s="2167"/>
      <c r="S91" s="2167"/>
      <c r="T91" s="2167"/>
      <c r="U91" s="2167"/>
      <c r="V91" s="2167"/>
      <c r="W91" s="2167"/>
      <c r="X91" s="2167"/>
      <c r="Y91" s="2167"/>
      <c r="Z91" s="2167"/>
      <c r="AA91" s="2167"/>
      <c r="AB91" s="2167"/>
      <c r="AC91" s="2167"/>
    </row>
    <row r="92" spans="1:29" ht="15.75" thickTop="1">
      <c r="A92" s="665"/>
      <c r="B92" s="669" t="str">
        <f>B28</f>
        <v>楼层</v>
      </c>
      <c r="C92" s="684"/>
      <c r="D92" s="684"/>
      <c r="E92" s="684"/>
      <c r="F92" s="684"/>
      <c r="G92" s="714"/>
      <c r="H92" s="714"/>
      <c r="I92" s="714"/>
      <c r="J92" s="714"/>
      <c r="K92" s="715"/>
      <c r="L92" s="716"/>
      <c r="M92" s="717"/>
      <c r="N92" s="2161"/>
      <c r="O92" s="2161"/>
      <c r="P92" s="2162"/>
      <c r="Q92" s="2155"/>
      <c r="R92" s="2142"/>
      <c r="S92" s="2142"/>
      <c r="T92" s="2142"/>
      <c r="U92" s="2142"/>
      <c r="V92" s="2142"/>
      <c r="W92" s="2142"/>
      <c r="X92" s="2142"/>
      <c r="Y92" s="2142"/>
      <c r="Z92" s="2142"/>
      <c r="AA92" s="2142"/>
      <c r="AB92" s="2142"/>
      <c r="AC92" s="2142"/>
    </row>
    <row r="93" spans="1:29" ht="15.75" thickBot="1">
      <c r="A93" s="665"/>
      <c r="B93" s="674"/>
      <c r="C93" s="688"/>
      <c r="D93" s="667"/>
      <c r="E93" s="667"/>
      <c r="F93" s="667"/>
      <c r="G93" s="667"/>
      <c r="H93" s="667"/>
      <c r="I93" s="667"/>
      <c r="J93" s="667"/>
      <c r="K93" s="667"/>
      <c r="L93" s="667"/>
      <c r="M93" s="668"/>
      <c r="N93" s="2163"/>
      <c r="O93" s="2163"/>
      <c r="P93" s="2162"/>
      <c r="Q93" s="2155"/>
      <c r="R93" s="2142"/>
      <c r="S93" s="2142"/>
      <c r="T93" s="2142"/>
      <c r="U93" s="2142"/>
      <c r="V93" s="2142"/>
      <c r="W93" s="2142"/>
      <c r="X93" s="2142"/>
      <c r="Y93" s="2142"/>
      <c r="Z93" s="2142"/>
      <c r="AA93" s="2142"/>
      <c r="AB93" s="2142"/>
      <c r="AC93" s="2142"/>
    </row>
    <row r="94" spans="1:29" ht="15.75" thickTop="1">
      <c r="A94" s="665"/>
      <c r="B94" s="669">
        <f>B29</f>
        <v>111</v>
      </c>
      <c r="C94" s="684"/>
      <c r="D94" s="684"/>
      <c r="E94" s="684"/>
      <c r="F94" s="684"/>
      <c r="G94" s="714"/>
      <c r="H94" s="714"/>
      <c r="I94" s="714"/>
      <c r="J94" s="714"/>
      <c r="K94" s="715"/>
      <c r="L94" s="716"/>
      <c r="M94" s="717"/>
      <c r="N94" s="2161"/>
      <c r="O94" s="2161"/>
      <c r="P94" s="2162"/>
      <c r="Q94" s="2155"/>
      <c r="R94" s="2142"/>
      <c r="S94" s="2142"/>
      <c r="T94" s="2142"/>
      <c r="U94" s="2142"/>
      <c r="V94" s="2142"/>
      <c r="W94" s="2142"/>
      <c r="X94" s="2142"/>
      <c r="Y94" s="2142"/>
      <c r="Z94" s="2142"/>
      <c r="AA94" s="2142"/>
      <c r="AB94" s="2142"/>
      <c r="AC94" s="2142"/>
    </row>
    <row r="95" spans="1:29" ht="15.75" thickBot="1">
      <c r="A95" s="665"/>
      <c r="B95" s="674"/>
      <c r="C95" s="688"/>
      <c r="D95" s="688"/>
      <c r="E95" s="688"/>
      <c r="F95" s="688"/>
      <c r="G95" s="667"/>
      <c r="H95" s="667"/>
      <c r="I95" s="667"/>
      <c r="J95" s="667"/>
      <c r="K95" s="667"/>
      <c r="L95" s="667"/>
      <c r="M95" s="668"/>
      <c r="N95" s="2163"/>
      <c r="O95" s="2163"/>
      <c r="P95" s="2162"/>
      <c r="Q95" s="2155"/>
      <c r="R95" s="2142"/>
      <c r="S95" s="2142"/>
      <c r="T95" s="2142"/>
      <c r="U95" s="2142"/>
      <c r="V95" s="2142"/>
      <c r="W95" s="2142"/>
      <c r="X95" s="2142"/>
      <c r="Y95" s="2142"/>
      <c r="Z95" s="2142"/>
      <c r="AA95" s="2142"/>
      <c r="AB95" s="2142"/>
      <c r="AC95" s="2142"/>
    </row>
    <row r="96" spans="1:29" ht="15.75" thickTop="1">
      <c r="A96" s="665"/>
      <c r="B96" s="669">
        <f>B30</f>
        <v>111</v>
      </c>
      <c r="C96" s="684"/>
      <c r="D96" s="684"/>
      <c r="E96" s="684"/>
      <c r="F96" s="684"/>
      <c r="G96" s="714"/>
      <c r="H96" s="714"/>
      <c r="I96" s="714"/>
      <c r="J96" s="714"/>
      <c r="K96" s="715"/>
      <c r="L96" s="716"/>
      <c r="M96" s="717"/>
      <c r="N96" s="2161"/>
      <c r="O96" s="2161"/>
      <c r="P96" s="2162"/>
      <c r="Q96" s="2155"/>
      <c r="R96" s="2142"/>
      <c r="S96" s="2142"/>
      <c r="T96" s="2142"/>
      <c r="U96" s="2142"/>
      <c r="V96" s="2142"/>
      <c r="W96" s="2142"/>
      <c r="X96" s="2142"/>
      <c r="Y96" s="2142"/>
      <c r="Z96" s="2142"/>
      <c r="AA96" s="2142"/>
      <c r="AB96" s="2142"/>
      <c r="AC96" s="2142"/>
    </row>
    <row r="97" spans="1:29" ht="15.75" thickBot="1">
      <c r="A97" s="665"/>
      <c r="B97" s="674"/>
      <c r="C97" s="696"/>
      <c r="D97" s="696"/>
      <c r="E97" s="696"/>
      <c r="F97" s="696"/>
      <c r="G97" s="667"/>
      <c r="H97" s="667"/>
      <c r="I97" s="667"/>
      <c r="J97" s="667"/>
      <c r="K97" s="667"/>
      <c r="L97" s="667"/>
      <c r="M97" s="668"/>
      <c r="N97" s="2163"/>
      <c r="O97" s="2163"/>
      <c r="P97" s="2162"/>
      <c r="Q97" s="2155"/>
      <c r="R97" s="2142"/>
      <c r="S97" s="2142"/>
      <c r="T97" s="2142"/>
      <c r="U97" s="2142"/>
      <c r="V97" s="2142"/>
      <c r="W97" s="2142"/>
      <c r="X97" s="2142"/>
      <c r="Y97" s="2142"/>
      <c r="Z97" s="2142"/>
      <c r="AA97" s="2142"/>
      <c r="AB97" s="2142"/>
      <c r="AC97" s="2142"/>
    </row>
    <row r="98" spans="1:29" ht="15.75" thickTop="1">
      <c r="A98" s="665"/>
      <c r="B98" s="677">
        <f>B31</f>
        <v>111</v>
      </c>
      <c r="C98" s="718"/>
      <c r="D98" s="718"/>
      <c r="E98" s="718"/>
      <c r="F98" s="718"/>
      <c r="G98" s="718"/>
      <c r="H98" s="718"/>
      <c r="I98" s="718"/>
      <c r="J98" s="718"/>
      <c r="K98" s="719"/>
      <c r="L98" s="720"/>
      <c r="M98" s="721"/>
      <c r="N98" s="2161"/>
      <c r="O98" s="2161"/>
      <c r="P98" s="2162"/>
      <c r="Q98" s="2155"/>
      <c r="R98" s="2142"/>
      <c r="S98" s="2142"/>
      <c r="T98" s="2142"/>
      <c r="U98" s="2142"/>
      <c r="V98" s="2142"/>
      <c r="W98" s="2142"/>
      <c r="X98" s="2142"/>
      <c r="Y98" s="2142"/>
      <c r="Z98" s="2142"/>
      <c r="AA98" s="2142"/>
      <c r="AB98" s="2142"/>
      <c r="AC98" s="2142"/>
    </row>
    <row r="99" spans="1:29" ht="15.75" thickBot="1">
      <c r="A99" s="889"/>
      <c r="B99" s="695"/>
      <c r="C99" s="722"/>
      <c r="D99" s="722"/>
      <c r="E99" s="722"/>
      <c r="F99" s="722"/>
      <c r="G99" s="722"/>
      <c r="H99" s="722"/>
      <c r="I99" s="722"/>
      <c r="J99" s="722"/>
      <c r="K99" s="722"/>
      <c r="L99" s="722"/>
      <c r="M99" s="723"/>
      <c r="N99" s="2163"/>
      <c r="O99" s="2163"/>
      <c r="P99" s="2162"/>
      <c r="Q99" s="2155"/>
      <c r="R99" s="2142"/>
      <c r="S99" s="2142"/>
      <c r="T99" s="2142"/>
      <c r="U99" s="2142"/>
      <c r="V99" s="2142"/>
      <c r="W99" s="2142"/>
      <c r="X99" s="2142"/>
      <c r="Y99" s="2142"/>
      <c r="Z99" s="2142"/>
      <c r="AA99" s="2142"/>
      <c r="AB99" s="2142"/>
      <c r="AC99" s="2142"/>
    </row>
    <row r="100" spans="1:29">
      <c r="A100" s="660" t="s">
        <v>545</v>
      </c>
      <c r="B100" s="661" t="s">
        <v>741</v>
      </c>
      <c r="C100" s="3263" t="s">
        <v>3111</v>
      </c>
      <c r="D100" s="3263" t="s">
        <v>3112</v>
      </c>
      <c r="E100" s="3264" t="s">
        <v>3113</v>
      </c>
      <c r="F100" s="594"/>
      <c r="G100" s="594"/>
      <c r="H100" s="594"/>
      <c r="I100" s="594"/>
      <c r="J100" s="594"/>
      <c r="K100" s="662"/>
      <c r="L100" s="663"/>
      <c r="M100" s="664"/>
      <c r="N100" s="2161"/>
      <c r="O100" s="2161"/>
      <c r="P100" s="2162"/>
      <c r="Q100" s="2155"/>
      <c r="R100" s="2142"/>
      <c r="S100" s="2142"/>
      <c r="T100" s="2142"/>
      <c r="U100" s="2142"/>
      <c r="V100" s="2142"/>
      <c r="W100" s="2142"/>
      <c r="X100" s="2142"/>
      <c r="Y100" s="2142"/>
      <c r="Z100" s="2142"/>
      <c r="AA100" s="2142"/>
      <c r="AB100" s="2142"/>
      <c r="AC100" s="2142"/>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5"/>
      <c r="B102" s="669" t="s">
        <v>742</v>
      </c>
      <c r="C102" s="704" t="str">
        <f>C103&amp;"(含)"&amp;"-"&amp;D103</f>
        <v>0(含)-40</v>
      </c>
      <c r="D102" s="704" t="str">
        <f t="shared" ref="D102:L102" si="23">D103&amp;"(含)"&amp;"-"&amp;E103</f>
        <v>40(含)-60</v>
      </c>
      <c r="E102" s="704" t="str">
        <f t="shared" si="23"/>
        <v>60(含)-80</v>
      </c>
      <c r="F102" s="704" t="str">
        <f t="shared" si="23"/>
        <v>80(含)-90</v>
      </c>
      <c r="G102" s="704" t="str">
        <f t="shared" si="23"/>
        <v>90(含)-110</v>
      </c>
      <c r="H102" s="704" t="str">
        <f t="shared" si="23"/>
        <v>110(含)-130</v>
      </c>
      <c r="I102" s="704" t="str">
        <f t="shared" si="23"/>
        <v>130(含)-150</v>
      </c>
      <c r="J102" s="704" t="str">
        <f t="shared" si="23"/>
        <v>150(含)-170</v>
      </c>
      <c r="K102" s="704" t="str">
        <f t="shared" si="23"/>
        <v>170(含)-</v>
      </c>
      <c r="L102" s="704" t="str">
        <f t="shared" si="23"/>
        <v>(含)-</v>
      </c>
      <c r="M102" s="704"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4"/>
      <c r="B103" s="725"/>
      <c r="C103" s="726">
        <v>0</v>
      </c>
      <c r="D103" s="726">
        <v>40</v>
      </c>
      <c r="E103" s="726">
        <v>60</v>
      </c>
      <c r="F103" s="726">
        <v>80</v>
      </c>
      <c r="G103" s="726">
        <v>90</v>
      </c>
      <c r="H103" s="726">
        <v>110</v>
      </c>
      <c r="I103" s="726">
        <v>130</v>
      </c>
      <c r="J103" s="727">
        <v>150</v>
      </c>
      <c r="K103" s="727">
        <v>170</v>
      </c>
      <c r="L103" s="728"/>
      <c r="M103" s="729"/>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3"/>
      <c r="B104" s="674"/>
      <c r="C104" s="688">
        <v>100</v>
      </c>
      <c r="D104" s="667">
        <v>99</v>
      </c>
      <c r="E104" s="667">
        <v>98</v>
      </c>
      <c r="F104" s="667">
        <v>97</v>
      </c>
      <c r="G104" s="667">
        <v>96</v>
      </c>
      <c r="H104" s="667">
        <v>95</v>
      </c>
      <c r="I104" s="667">
        <v>94</v>
      </c>
      <c r="J104" s="667">
        <v>93</v>
      </c>
      <c r="K104" s="667">
        <v>92</v>
      </c>
      <c r="L104" s="667"/>
      <c r="M104" s="667"/>
      <c r="N104" s="2163"/>
      <c r="O104" s="2163"/>
      <c r="P104" s="2165"/>
      <c r="Q104" s="2166"/>
      <c r="R104" s="2167"/>
      <c r="S104" s="2167"/>
      <c r="T104" s="2167"/>
      <c r="U104" s="2167"/>
      <c r="V104" s="2167"/>
      <c r="W104" s="2167"/>
      <c r="X104" s="2167"/>
      <c r="Y104" s="2167"/>
      <c r="Z104" s="2167"/>
      <c r="AA104" s="2167"/>
      <c r="AB104" s="2167"/>
      <c r="AC104" s="2167"/>
    </row>
    <row r="105" spans="1:29" ht="15" thickTop="1">
      <c r="A105" s="731"/>
      <c r="B105" s="669" t="s">
        <v>743</v>
      </c>
      <c r="C105" s="3262" t="s">
        <v>3114</v>
      </c>
      <c r="D105" s="3262" t="s">
        <v>3115</v>
      </c>
      <c r="E105" s="3265" t="s">
        <v>3116</v>
      </c>
      <c r="F105" s="3265" t="s">
        <v>3117</v>
      </c>
      <c r="G105" s="714"/>
      <c r="H105" s="714"/>
      <c r="I105" s="714"/>
      <c r="J105" s="714"/>
      <c r="K105" s="715"/>
      <c r="L105" s="716"/>
      <c r="M105" s="717"/>
      <c r="N105" s="2161"/>
      <c r="O105" s="2161"/>
      <c r="P105" s="2162"/>
      <c r="Q105" s="2155"/>
      <c r="R105" s="2142"/>
      <c r="S105" s="2142"/>
      <c r="T105" s="2142"/>
      <c r="U105" s="2142"/>
      <c r="V105" s="2142"/>
      <c r="W105" s="2142"/>
      <c r="X105" s="2142"/>
      <c r="Y105" s="2142"/>
      <c r="Z105" s="2142"/>
      <c r="AA105" s="2142"/>
      <c r="AB105" s="2142"/>
      <c r="AC105" s="2142"/>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1"/>
      <c r="B107" s="669" t="s">
        <v>744</v>
      </c>
      <c r="C107" s="714"/>
      <c r="D107" s="714"/>
      <c r="E107" s="714"/>
      <c r="F107" s="714"/>
      <c r="G107" s="714"/>
      <c r="H107" s="714"/>
      <c r="I107" s="714"/>
      <c r="J107" s="714"/>
      <c r="K107" s="715"/>
      <c r="L107" s="716"/>
      <c r="M107" s="717"/>
      <c r="N107" s="2161"/>
      <c r="O107" s="2161"/>
      <c r="P107" s="2162"/>
      <c r="Q107" s="2155"/>
      <c r="R107" s="2142"/>
      <c r="S107" s="2142"/>
      <c r="T107" s="2142"/>
      <c r="U107" s="2142"/>
      <c r="V107" s="2142"/>
      <c r="W107" s="2142"/>
      <c r="X107" s="2142"/>
      <c r="Y107" s="2142"/>
      <c r="Z107" s="2142"/>
      <c r="AA107" s="2142"/>
      <c r="AB107" s="2142"/>
      <c r="AC107" s="2142"/>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1"/>
      <c r="B109" s="669" t="s">
        <v>745</v>
      </c>
      <c r="C109" s="3262" t="s">
        <v>3118</v>
      </c>
      <c r="D109" s="3262" t="s">
        <v>3119</v>
      </c>
      <c r="E109" s="3262" t="s">
        <v>3120</v>
      </c>
      <c r="F109" s="3265" t="s">
        <v>3121</v>
      </c>
      <c r="G109" s="714"/>
      <c r="H109" s="714"/>
      <c r="I109" s="714"/>
      <c r="J109" s="714"/>
      <c r="K109" s="715"/>
      <c r="L109" s="716"/>
      <c r="M109" s="717"/>
      <c r="N109" s="2161"/>
      <c r="O109" s="2161"/>
      <c r="P109" s="2162"/>
      <c r="Q109" s="2155"/>
      <c r="R109" s="2142"/>
      <c r="S109" s="2142"/>
      <c r="T109" s="2142"/>
      <c r="U109" s="2142"/>
      <c r="V109" s="2142"/>
      <c r="W109" s="2142"/>
      <c r="X109" s="2142"/>
      <c r="Y109" s="2142"/>
      <c r="Z109" s="2142"/>
      <c r="AA109" s="2142"/>
      <c r="AB109" s="2142"/>
      <c r="AC109" s="2142"/>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4"/>
      <c r="B111" s="669" t="s">
        <v>746</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4"/>
      <c r="B112" s="677"/>
      <c r="C112" s="890">
        <v>0.5</v>
      </c>
      <c r="D112" s="890">
        <v>0.6</v>
      </c>
      <c r="E112" s="890">
        <v>0.7</v>
      </c>
      <c r="F112" s="890">
        <v>0.8</v>
      </c>
      <c r="G112" s="890">
        <v>0.9</v>
      </c>
      <c r="H112" s="890">
        <v>1.0001</v>
      </c>
      <c r="I112" s="890"/>
      <c r="J112" s="891"/>
      <c r="K112" s="891"/>
      <c r="L112" s="892"/>
      <c r="M112" s="893"/>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4"/>
      <c r="O113" s="2164"/>
      <c r="P113" s="2165"/>
      <c r="Q113" s="2166"/>
      <c r="R113" s="2167"/>
      <c r="S113" s="2167"/>
      <c r="T113" s="2167"/>
      <c r="U113" s="2167"/>
      <c r="V113" s="2167"/>
      <c r="W113" s="2167"/>
      <c r="X113" s="2167"/>
      <c r="Y113" s="2167"/>
      <c r="Z113" s="2167"/>
      <c r="AA113" s="2167"/>
      <c r="AB113" s="2167"/>
      <c r="AC113" s="2167"/>
    </row>
    <row r="114" spans="1:29" ht="15" thickTop="1">
      <c r="A114" s="731"/>
      <c r="B114" s="669" t="s">
        <v>747</v>
      </c>
      <c r="C114" s="3262" t="s">
        <v>3122</v>
      </c>
      <c r="D114" s="3262" t="s">
        <v>3123</v>
      </c>
      <c r="E114" s="3266" t="s">
        <v>3124</v>
      </c>
      <c r="F114" s="3266" t="s">
        <v>3125</v>
      </c>
      <c r="G114" s="714"/>
      <c r="H114" s="714"/>
      <c r="I114" s="714"/>
      <c r="J114" s="714"/>
      <c r="K114" s="715"/>
      <c r="L114" s="716"/>
      <c r="M114" s="717"/>
      <c r="N114" s="2161"/>
      <c r="O114" s="2161"/>
      <c r="P114" s="2162"/>
      <c r="Q114" s="2155"/>
      <c r="R114" s="2142"/>
      <c r="S114" s="2142"/>
      <c r="T114" s="2142"/>
      <c r="U114" s="2142"/>
      <c r="V114" s="2142"/>
      <c r="W114" s="2142"/>
      <c r="X114" s="2142"/>
      <c r="Y114" s="2142"/>
      <c r="Z114" s="2142"/>
      <c r="AA114" s="2142"/>
      <c r="AB114" s="2142"/>
      <c r="AC114" s="2142"/>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1"/>
      <c r="B116" s="1893" t="s">
        <v>2551</v>
      </c>
      <c r="C116" s="3262" t="s">
        <v>3126</v>
      </c>
      <c r="D116" s="3262" t="s">
        <v>3127</v>
      </c>
      <c r="E116" s="3262" t="s">
        <v>3128</v>
      </c>
      <c r="F116" s="3262" t="s">
        <v>3129</v>
      </c>
      <c r="G116" s="3262" t="s">
        <v>3130</v>
      </c>
      <c r="H116" s="714"/>
      <c r="I116" s="714"/>
      <c r="J116" s="714"/>
      <c r="K116" s="715"/>
      <c r="L116" s="716"/>
      <c r="M116" s="717"/>
      <c r="N116" s="2161"/>
      <c r="O116" s="2161"/>
      <c r="P116" s="2162"/>
      <c r="Q116" s="2155"/>
      <c r="R116" s="2142"/>
      <c r="S116" s="2142"/>
      <c r="T116" s="2142"/>
      <c r="U116" s="2142"/>
      <c r="V116" s="2142"/>
      <c r="W116" s="2142"/>
      <c r="X116" s="2142"/>
      <c r="Y116" s="2142"/>
      <c r="Z116" s="2142"/>
      <c r="AA116" s="2142"/>
      <c r="AB116" s="2142"/>
      <c r="AC116" s="2142"/>
    </row>
    <row r="117" spans="1:29" ht="15.75" thickBot="1">
      <c r="A117" s="665"/>
      <c r="B117" s="674"/>
      <c r="C117" s="675">
        <v>100</v>
      </c>
      <c r="D117" s="675">
        <f>C117-$K39</f>
        <v>94</v>
      </c>
      <c r="E117" s="675">
        <f>D117-$K39</f>
        <v>88</v>
      </c>
      <c r="F117" s="675">
        <f>E117-$K39</f>
        <v>82</v>
      </c>
      <c r="G117" s="675">
        <f>F117-$K39</f>
        <v>76</v>
      </c>
      <c r="H117" s="675"/>
      <c r="I117" s="675"/>
      <c r="J117" s="675"/>
      <c r="K117" s="675"/>
      <c r="L117" s="675"/>
      <c r="M117" s="676"/>
      <c r="N117" s="2163"/>
      <c r="O117" s="2163"/>
      <c r="P117" s="2162"/>
      <c r="Q117" s="2155"/>
      <c r="R117" s="2142"/>
      <c r="S117" s="2142"/>
      <c r="T117" s="2142"/>
      <c r="U117" s="2142"/>
      <c r="V117" s="2142"/>
      <c r="W117" s="2142"/>
      <c r="X117" s="2142"/>
      <c r="Y117" s="2142"/>
      <c r="Z117" s="2142"/>
      <c r="AA117" s="2142"/>
      <c r="AB117" s="2142"/>
      <c r="AC117" s="2142"/>
    </row>
    <row r="118" spans="1:29" ht="15" thickTop="1">
      <c r="A118" s="731"/>
      <c r="B118" s="669" t="s">
        <v>748</v>
      </c>
      <c r="C118" s="3265" t="s">
        <v>3131</v>
      </c>
      <c r="D118" s="2176"/>
      <c r="E118" s="3266" t="s">
        <v>3132</v>
      </c>
      <c r="F118" s="3265" t="s">
        <v>3133</v>
      </c>
      <c r="G118" s="714"/>
      <c r="H118" s="714"/>
      <c r="I118" s="714"/>
      <c r="J118" s="714"/>
      <c r="K118" s="715"/>
      <c r="L118" s="716"/>
      <c r="M118" s="717"/>
      <c r="N118" s="2161"/>
      <c r="O118" s="2161"/>
      <c r="P118" s="2162"/>
      <c r="Q118" s="2155"/>
      <c r="R118" s="2142"/>
      <c r="S118" s="2142"/>
      <c r="T118" s="2142"/>
      <c r="U118" s="2142"/>
      <c r="V118" s="2142"/>
      <c r="W118" s="2142"/>
      <c r="X118" s="2142"/>
      <c r="Y118" s="2142"/>
      <c r="Z118" s="2142"/>
      <c r="AA118" s="2142"/>
      <c r="AB118" s="2142"/>
      <c r="AC118" s="2142"/>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3"/>
      <c r="O119" s="2163"/>
      <c r="P119" s="2162"/>
      <c r="Q119" s="2155"/>
      <c r="R119" s="2142"/>
      <c r="S119" s="2142"/>
      <c r="T119" s="2142"/>
      <c r="U119" s="2142"/>
      <c r="V119" s="2142"/>
      <c r="W119" s="2142"/>
      <c r="X119" s="2142"/>
      <c r="Y119" s="2142"/>
      <c r="Z119" s="2142"/>
      <c r="AA119" s="2142"/>
      <c r="AB119" s="2142"/>
      <c r="AC119" s="2142"/>
    </row>
    <row r="120" spans="1:29" s="1335" customFormat="1" ht="28.5" thickTop="1">
      <c r="A120" s="724"/>
      <c r="B120" s="669" t="s">
        <v>727</v>
      </c>
      <c r="C120" s="684"/>
      <c r="D120" s="684"/>
      <c r="E120" s="684"/>
      <c r="F120" s="684"/>
      <c r="G120" s="684"/>
      <c r="H120" s="684"/>
      <c r="I120" s="684"/>
      <c r="J120" s="684"/>
      <c r="K120" s="684"/>
      <c r="L120" s="886"/>
      <c r="M120" s="887"/>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3"/>
      <c r="B121" s="666"/>
      <c r="C121" s="688"/>
      <c r="D121" s="667"/>
      <c r="E121" s="667"/>
      <c r="F121" s="667"/>
      <c r="G121" s="667"/>
      <c r="H121" s="667"/>
      <c r="I121" s="667"/>
      <c r="J121" s="667"/>
      <c r="K121" s="667"/>
      <c r="L121" s="667"/>
      <c r="M121" s="667"/>
      <c r="N121" s="2164"/>
      <c r="O121" s="2164"/>
      <c r="P121" s="2165"/>
      <c r="Q121" s="2166"/>
      <c r="R121" s="2167"/>
      <c r="S121" s="2167"/>
      <c r="T121" s="2167"/>
      <c r="U121" s="2167"/>
      <c r="V121" s="2167"/>
      <c r="W121" s="2167"/>
      <c r="X121" s="2167"/>
      <c r="Y121" s="2167"/>
      <c r="Z121" s="2167"/>
      <c r="AA121" s="2167"/>
      <c r="AB121" s="2167"/>
      <c r="AC121" s="2167"/>
    </row>
    <row r="122" spans="1:29" ht="15" thickTop="1">
      <c r="A122" s="731"/>
      <c r="B122" s="669" t="s">
        <v>749</v>
      </c>
      <c r="C122" s="3262" t="s">
        <v>3118</v>
      </c>
      <c r="D122" s="3262" t="s">
        <v>3119</v>
      </c>
      <c r="E122" s="3262" t="s">
        <v>3120</v>
      </c>
      <c r="F122" s="3265" t="s">
        <v>3121</v>
      </c>
      <c r="G122" s="714"/>
      <c r="H122" s="714"/>
      <c r="I122" s="714"/>
      <c r="J122" s="714"/>
      <c r="K122" s="715"/>
      <c r="L122" s="716"/>
      <c r="M122" s="717"/>
      <c r="N122" s="2161"/>
      <c r="O122" s="2161"/>
      <c r="P122" s="2162"/>
      <c r="Q122" s="2155"/>
      <c r="R122" s="2142"/>
      <c r="S122" s="2142"/>
      <c r="T122" s="2142"/>
      <c r="U122" s="2142"/>
      <c r="V122" s="2142"/>
      <c r="W122" s="2142"/>
      <c r="X122" s="2142"/>
      <c r="Y122" s="2142"/>
      <c r="Z122" s="2142"/>
      <c r="AA122" s="2142"/>
      <c r="AB122" s="2142"/>
      <c r="AC122" s="2142"/>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1"/>
      <c r="B124" s="669" t="s">
        <v>750</v>
      </c>
      <c r="C124" s="704" t="s">
        <v>573</v>
      </c>
      <c r="D124" s="704" t="s">
        <v>574</v>
      </c>
      <c r="E124" s="704" t="s">
        <v>575</v>
      </c>
      <c r="F124" s="704" t="s">
        <v>576</v>
      </c>
      <c r="G124" s="704" t="s">
        <v>577</v>
      </c>
      <c r="H124" s="670"/>
      <c r="I124" s="670"/>
      <c r="J124" s="670"/>
      <c r="K124" s="671"/>
      <c r="L124" s="672"/>
      <c r="M124" s="673"/>
      <c r="N124" s="2161"/>
      <c r="O124" s="2161"/>
      <c r="P124" s="2165"/>
      <c r="Q124" s="2155"/>
      <c r="R124" s="2142"/>
      <c r="S124" s="2142"/>
      <c r="T124" s="2142"/>
      <c r="U124" s="2142"/>
      <c r="V124" s="2142"/>
      <c r="W124" s="2142"/>
      <c r="X124" s="2142"/>
      <c r="Y124" s="2142"/>
      <c r="Z124" s="2142"/>
      <c r="AA124" s="2142"/>
      <c r="AB124" s="2142"/>
      <c r="AC124" s="2142"/>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4"/>
      <c r="B126" s="669" t="str">
        <f>B44</f>
        <v>交房时间</v>
      </c>
      <c r="C126" s="684" t="s">
        <v>3135</v>
      </c>
      <c r="D126" s="3261" t="s">
        <v>3136</v>
      </c>
      <c r="E126" s="684"/>
      <c r="F126" s="684"/>
      <c r="G126" s="684"/>
      <c r="H126" s="685"/>
      <c r="I126" s="685"/>
      <c r="J126" s="685"/>
      <c r="K126" s="685"/>
      <c r="L126" s="686"/>
      <c r="M126" s="687"/>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3"/>
      <c r="B127" s="674"/>
      <c r="C127" s="688">
        <v>100</v>
      </c>
      <c r="D127" s="667">
        <v>105</v>
      </c>
      <c r="E127" s="667"/>
      <c r="F127" s="667"/>
      <c r="G127" s="688"/>
      <c r="H127" s="689"/>
      <c r="I127" s="689"/>
      <c r="J127" s="689"/>
      <c r="K127" s="689"/>
      <c r="L127" s="689"/>
      <c r="M127" s="690"/>
      <c r="N127" s="2164"/>
      <c r="O127" s="2164"/>
      <c r="P127" s="2165"/>
      <c r="Q127" s="2166"/>
      <c r="R127" s="2167"/>
      <c r="S127" s="2167"/>
      <c r="T127" s="2167"/>
      <c r="U127" s="2167"/>
      <c r="V127" s="2167"/>
      <c r="W127" s="2167"/>
      <c r="X127" s="2167"/>
      <c r="Y127" s="2167"/>
      <c r="Z127" s="2167"/>
      <c r="AA127" s="2167"/>
      <c r="AB127" s="2167"/>
      <c r="AC127" s="2167"/>
    </row>
    <row r="128" spans="1:29" ht="15" thickTop="1">
      <c r="A128" s="731"/>
      <c r="B128" s="669" t="str">
        <f>B45</f>
        <v>建筑面积</v>
      </c>
      <c r="C128" s="3261">
        <f>C45</f>
        <v>433886</v>
      </c>
      <c r="D128" s="3261">
        <f>E45</f>
        <v>68</v>
      </c>
      <c r="E128" s="684">
        <f>G45</f>
        <v>86</v>
      </c>
      <c r="F128" s="684"/>
      <c r="G128" s="714"/>
      <c r="H128" s="714"/>
      <c r="I128" s="714"/>
      <c r="J128" s="714"/>
      <c r="K128" s="715"/>
      <c r="L128" s="716"/>
      <c r="M128" s="717"/>
      <c r="N128" s="2161"/>
      <c r="O128" s="2161"/>
      <c r="P128" s="2162"/>
      <c r="Q128" s="2155"/>
      <c r="R128" s="2142"/>
      <c r="S128" s="2142"/>
      <c r="T128" s="2142"/>
      <c r="U128" s="2142"/>
      <c r="V128" s="2142"/>
      <c r="W128" s="2142"/>
      <c r="X128" s="2142"/>
      <c r="Y128" s="2142"/>
      <c r="Z128" s="2142"/>
      <c r="AA128" s="2142"/>
      <c r="AB128" s="2142"/>
      <c r="AC128" s="2142"/>
    </row>
    <row r="129" spans="1:29" ht="15.75" thickBot="1">
      <c r="A129" s="665"/>
      <c r="B129" s="674"/>
      <c r="C129" s="688">
        <v>100</v>
      </c>
      <c r="D129" s="688">
        <v>104</v>
      </c>
      <c r="E129" s="688">
        <v>104</v>
      </c>
      <c r="F129" s="688"/>
      <c r="G129" s="667"/>
      <c r="H129" s="667"/>
      <c r="I129" s="667"/>
      <c r="J129" s="667"/>
      <c r="K129" s="667"/>
      <c r="L129" s="667"/>
      <c r="M129" s="668"/>
      <c r="N129" s="2163"/>
      <c r="O129" s="2163"/>
      <c r="P129" s="2162"/>
      <c r="Q129" s="2155"/>
      <c r="R129" s="2142"/>
      <c r="S129" s="2142"/>
      <c r="T129" s="2142"/>
      <c r="U129" s="2142"/>
      <c r="V129" s="2142"/>
      <c r="W129" s="2142"/>
      <c r="X129" s="2142"/>
      <c r="Y129" s="2142"/>
      <c r="Z129" s="2142"/>
      <c r="AA129" s="2142"/>
      <c r="AB129" s="2142"/>
      <c r="AC129" s="2142"/>
    </row>
    <row r="130" spans="1:29" ht="28.5" thickTop="1" thickBot="1">
      <c r="A130" s="731"/>
      <c r="B130" s="677" t="str">
        <f>B46</f>
        <v>房屋性质</v>
      </c>
      <c r="C130" s="3305" t="s">
        <v>3234</v>
      </c>
      <c r="D130" s="3305" t="s">
        <v>3233</v>
      </c>
      <c r="E130" s="684"/>
      <c r="F130" s="684"/>
      <c r="G130" s="718"/>
      <c r="H130" s="718"/>
      <c r="I130" s="718"/>
      <c r="J130" s="718"/>
      <c r="K130" s="657"/>
      <c r="L130" s="658"/>
      <c r="M130" s="721"/>
      <c r="N130" s="2161"/>
      <c r="O130" s="2161"/>
      <c r="P130" s="2162"/>
      <c r="Q130" s="2155"/>
      <c r="R130" s="2142"/>
      <c r="S130" s="2142"/>
      <c r="T130" s="2142"/>
      <c r="U130" s="2142"/>
      <c r="V130" s="2142"/>
      <c r="W130" s="2142"/>
      <c r="X130" s="2142"/>
      <c r="Y130" s="2142"/>
      <c r="Z130" s="2142"/>
      <c r="AA130" s="2142"/>
      <c r="AB130" s="2142"/>
      <c r="AC130" s="2142"/>
    </row>
    <row r="131" spans="1:29" ht="15.75" thickBot="1">
      <c r="A131" s="889"/>
      <c r="B131" s="695"/>
      <c r="C131" s="696">
        <v>100</v>
      </c>
      <c r="D131" s="696">
        <v>110</v>
      </c>
      <c r="E131" s="696"/>
      <c r="F131" s="696"/>
      <c r="G131" s="722"/>
      <c r="H131" s="722"/>
      <c r="I131" s="722"/>
      <c r="J131" s="722"/>
      <c r="K131" s="722"/>
      <c r="L131" s="722"/>
      <c r="M131" s="723"/>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2253</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2254</v>
      </c>
      <c r="C137" s="1916"/>
      <c r="D137" s="1916"/>
      <c r="E137" s="1916"/>
      <c r="F137" s="1916"/>
      <c r="G137" s="1917"/>
      <c r="H137" s="1918"/>
      <c r="I137" s="1919" t="s">
        <v>2255</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2256</v>
      </c>
      <c r="D138" s="1922" t="s">
        <v>2257</v>
      </c>
      <c r="E138" s="1923" t="s">
        <v>2258</v>
      </c>
      <c r="F138" s="1924" t="s">
        <v>2259</v>
      </c>
      <c r="G138" s="1922" t="s">
        <v>2260</v>
      </c>
      <c r="H138" s="1925" t="s">
        <v>2261</v>
      </c>
      <c r="I138" s="1926"/>
      <c r="J138" s="1922" t="s">
        <v>2262</v>
      </c>
      <c r="K138" s="1925" t="s">
        <v>2263</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2264</v>
      </c>
      <c r="E139" s="1896">
        <v>100</v>
      </c>
      <c r="F139" s="1897">
        <v>102.5</v>
      </c>
      <c r="G139" s="1927" t="s">
        <v>2265</v>
      </c>
      <c r="H139" s="1898">
        <v>105</v>
      </c>
      <c r="I139" s="1928" t="s">
        <v>2266</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2267</v>
      </c>
      <c r="J140" s="842">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2268</v>
      </c>
      <c r="J141" s="842">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2269</v>
      </c>
      <c r="J142" s="842">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2270</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2271</v>
      </c>
      <c r="E144" s="1902">
        <v>102</v>
      </c>
      <c r="F144" s="1908">
        <v>100</v>
      </c>
      <c r="G144" s="1931" t="s">
        <v>2271</v>
      </c>
      <c r="H144" s="1904">
        <v>105</v>
      </c>
      <c r="I144" s="1930" t="s">
        <v>2270</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2272</v>
      </c>
      <c r="C145" s="1909">
        <f>ROUND(MAX(C139:C144)/MIN(C139:C144)-1,3)</f>
        <v>7.2999999999999995E-2</v>
      </c>
      <c r="D145" s="1933"/>
      <c r="E145" s="1933"/>
      <c r="F145" s="1934" t="s">
        <v>2273</v>
      </c>
      <c r="G145" s="1935"/>
      <c r="H145" s="1936"/>
      <c r="I145" s="1937" t="s">
        <v>2270</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2282</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2283</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90" priority="15" stopIfTrue="1" operator="containsText" text="超过">
      <formula>NOT(ISERROR(SEARCH("超过",F52)))</formula>
    </cfRule>
  </conditionalFormatting>
  <conditionalFormatting sqref="J54">
    <cfRule type="containsText" dxfId="189" priority="14" stopIfTrue="1" operator="containsText" text="超过">
      <formula>NOT(ISERROR(SEARCH("超过",J54)))</formula>
    </cfRule>
  </conditionalFormatting>
  <conditionalFormatting sqref="H54">
    <cfRule type="containsText" dxfId="188" priority="13" stopIfTrue="1" operator="containsText" text="超过">
      <formula>NOT(ISERROR(SEARCH("超过",H54)))</formula>
    </cfRule>
  </conditionalFormatting>
  <conditionalFormatting sqref="F54">
    <cfRule type="containsText" dxfId="187" priority="12" stopIfTrue="1" operator="containsText" text="超过">
      <formula>NOT(ISERROR(SEARCH("超过",F54)))</formula>
    </cfRule>
  </conditionalFormatting>
  <conditionalFormatting sqref="F53 H53 J53">
    <cfRule type="containsText" dxfId="186" priority="11" stopIfTrue="1" operator="containsText" text="超过">
      <formula>NOT(ISERROR(SEARCH("超过",F53)))</formula>
    </cfRule>
  </conditionalFormatting>
  <conditionalFormatting sqref="E52">
    <cfRule type="expression" dxfId="185" priority="10" stopIfTrue="1">
      <formula>$F$52="超过30%"</formula>
    </cfRule>
  </conditionalFormatting>
  <conditionalFormatting sqref="G54">
    <cfRule type="expression" dxfId="184" priority="8" stopIfTrue="1">
      <formula>$H$54="超过30%"</formula>
    </cfRule>
  </conditionalFormatting>
  <conditionalFormatting sqref="E53">
    <cfRule type="expression" dxfId="183" priority="7" stopIfTrue="1">
      <formula>$F$53="超过20%"</formula>
    </cfRule>
  </conditionalFormatting>
  <conditionalFormatting sqref="E54">
    <cfRule type="expression" dxfId="182" priority="6" stopIfTrue="1">
      <formula>$F$54="超过30%"</formula>
    </cfRule>
  </conditionalFormatting>
  <conditionalFormatting sqref="G52">
    <cfRule type="expression" dxfId="181" priority="5" stopIfTrue="1">
      <formula>$H$52="超过30%"</formula>
    </cfRule>
  </conditionalFormatting>
  <conditionalFormatting sqref="G53">
    <cfRule type="expression" dxfId="180" priority="4" stopIfTrue="1">
      <formula>$H$53="超过20%"</formula>
    </cfRule>
  </conditionalFormatting>
  <conditionalFormatting sqref="I52">
    <cfRule type="expression" dxfId="179" priority="3" stopIfTrue="1">
      <formula>$J$52="超过30%"</formula>
    </cfRule>
  </conditionalFormatting>
  <conditionalFormatting sqref="I53">
    <cfRule type="expression" dxfId="178" priority="2" stopIfTrue="1">
      <formula>$J$53="超过20%"</formula>
    </cfRule>
  </conditionalFormatting>
  <conditionalFormatting sqref="I54">
    <cfRule type="expression" dxfId="17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7" zoomScaleNormal="100" workbookViewId="0">
      <selection activeCell="A91" sqref="A91"/>
    </sheetView>
  </sheetViews>
  <sheetFormatPr defaultRowHeight="13.5"/>
  <sheetData>
    <row r="1" spans="1:1">
      <c r="A1" s="3185"/>
    </row>
    <row r="2" spans="1:1">
      <c r="A2" s="3185"/>
    </row>
    <row r="37" spans="1:16">
      <c r="A37" s="3185" t="s">
        <v>3010</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2" t="s">
        <v>2050</v>
      </c>
      <c r="B1" s="1773"/>
      <c r="C1" s="1801" t="s">
        <v>2051</v>
      </c>
      <c r="D1" s="1802" t="s">
        <v>3006</v>
      </c>
      <c r="E1" s="1801" t="s">
        <v>2052</v>
      </c>
      <c r="F1" s="1803" t="s">
        <v>3007</v>
      </c>
      <c r="G1" s="307"/>
      <c r="H1" s="307"/>
      <c r="I1" s="307"/>
      <c r="J1" s="2025"/>
      <c r="K1" s="2025"/>
      <c r="L1" s="2025"/>
      <c r="M1" s="2025"/>
      <c r="N1" s="2025"/>
      <c r="O1" s="2025"/>
      <c r="P1" s="2025"/>
      <c r="Q1" s="2025"/>
      <c r="R1" s="2025"/>
      <c r="S1" s="2025"/>
      <c r="T1" s="2025"/>
      <c r="U1" s="2025"/>
      <c r="V1" s="2025"/>
    </row>
    <row r="2" spans="1:22" ht="21.75" customHeight="1" thickBot="1">
      <c r="A2" s="3484" t="str">
        <f>项目基本情况!K2</f>
        <v>北京市出让国有建设用地使用权</v>
      </c>
      <c r="B2" s="3485"/>
      <c r="C2" s="3486"/>
      <c r="D2" s="3486"/>
      <c r="E2" s="3486"/>
      <c r="F2" s="3486"/>
      <c r="G2" s="3485"/>
      <c r="H2" s="3485"/>
      <c r="I2" s="3487"/>
      <c r="J2" s="2026"/>
      <c r="K2" s="2025"/>
      <c r="L2" s="2025"/>
      <c r="M2" s="2025"/>
      <c r="N2" s="2025"/>
      <c r="O2" s="2025"/>
      <c r="P2" s="2025"/>
      <c r="Q2" s="2025"/>
      <c r="R2" s="2025"/>
      <c r="S2" s="2025"/>
      <c r="T2" s="2025"/>
      <c r="U2" s="2025"/>
      <c r="V2" s="2025"/>
    </row>
    <row r="3" spans="1:22" ht="14.25">
      <c r="A3" s="3495" t="s">
        <v>292</v>
      </c>
      <c r="B3" s="3496"/>
      <c r="C3" s="3496"/>
      <c r="D3" s="3496"/>
      <c r="E3" s="3496"/>
      <c r="F3" s="3496"/>
      <c r="G3" s="3496"/>
      <c r="H3" s="3496"/>
      <c r="I3" s="3496"/>
      <c r="J3" s="2026"/>
      <c r="K3" s="2025"/>
      <c r="L3" s="2025"/>
      <c r="M3" s="2025"/>
      <c r="N3" s="2025"/>
      <c r="O3" s="2025"/>
      <c r="P3" s="2025"/>
      <c r="Q3" s="2025"/>
      <c r="R3" s="2025"/>
      <c r="S3" s="2025"/>
      <c r="T3" s="2025"/>
      <c r="U3" s="2025"/>
      <c r="V3" s="2025"/>
    </row>
    <row r="4" spans="1:22" ht="14.25">
      <c r="A4" s="257" t="s">
        <v>293</v>
      </c>
      <c r="B4" s="258" t="s">
        <v>294</v>
      </c>
      <c r="C4" s="259" t="s">
        <v>3093</v>
      </c>
      <c r="D4" s="259" t="s">
        <v>3094</v>
      </c>
      <c r="E4" s="3459" t="s">
        <v>295</v>
      </c>
      <c r="F4" s="3501"/>
      <c r="G4" s="3501"/>
      <c r="H4" s="3501"/>
      <c r="I4" s="3460"/>
      <c r="J4" s="2026"/>
      <c r="K4" s="2025"/>
      <c r="L4" s="944" t="str">
        <f>IF(ISNUMBER(FIND("比较法",C4)),"比较法",IF(ISNUMBER(FIND("成本法",C4)),"成本法",IF(ISNUMBER(FIND("剩余法",C4)),"剩余法",IF(ISNUMBER(FIND("收益法",C4)),"收益法","基准地价系数修正法"))))</f>
        <v>基准地价系数修正法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488" t="s">
        <v>296</v>
      </c>
      <c r="B5" s="3489">
        <v>25</v>
      </c>
      <c r="C5" s="3497">
        <f>'结果表-住宅'!C5:C7</f>
        <v>30</v>
      </c>
      <c r="D5" s="3500">
        <f>100-C5</f>
        <v>70</v>
      </c>
      <c r="E5" s="260" t="s">
        <v>297</v>
      </c>
      <c r="F5" s="261"/>
      <c r="G5" s="261"/>
      <c r="H5" s="261"/>
      <c r="I5" s="262"/>
      <c r="J5" s="2026"/>
      <c r="K5" s="2025"/>
      <c r="L5" s="2025"/>
      <c r="M5" s="2025"/>
      <c r="N5" s="2025"/>
      <c r="O5" s="2025"/>
      <c r="P5" s="2025"/>
      <c r="Q5" s="2025"/>
      <c r="R5" s="2025"/>
      <c r="S5" s="2025"/>
      <c r="T5" s="2025"/>
      <c r="U5" s="2025"/>
      <c r="V5" s="2025"/>
    </row>
    <row r="6" spans="1:22" ht="14.25">
      <c r="A6" s="3488"/>
      <c r="B6" s="3489"/>
      <c r="C6" s="3498"/>
      <c r="D6" s="3500"/>
      <c r="E6" s="260" t="s">
        <v>298</v>
      </c>
      <c r="F6" s="261"/>
      <c r="G6" s="261"/>
      <c r="H6" s="261"/>
      <c r="I6" s="262"/>
      <c r="J6" s="2026"/>
      <c r="K6" s="2025"/>
      <c r="L6" s="2025"/>
      <c r="M6" s="2025"/>
      <c r="N6" s="2025"/>
      <c r="O6" s="2025"/>
      <c r="P6" s="2025"/>
      <c r="Q6" s="2025"/>
      <c r="R6" s="2025"/>
      <c r="S6" s="2025"/>
      <c r="T6" s="2025"/>
      <c r="U6" s="2025"/>
      <c r="V6" s="2025"/>
    </row>
    <row r="7" spans="1:22" ht="14.25">
      <c r="A7" s="3488"/>
      <c r="B7" s="3489"/>
      <c r="C7" s="3499"/>
      <c r="D7" s="3500"/>
      <c r="E7" s="260" t="s">
        <v>299</v>
      </c>
      <c r="F7" s="261"/>
      <c r="G7" s="261"/>
      <c r="H7" s="261"/>
      <c r="I7" s="262"/>
      <c r="J7" s="2026"/>
      <c r="K7" s="2025"/>
      <c r="L7" s="2025"/>
      <c r="M7" s="2025"/>
      <c r="N7" s="2025"/>
      <c r="O7" s="2025"/>
      <c r="P7" s="2025"/>
      <c r="Q7" s="2025"/>
      <c r="R7" s="2025"/>
      <c r="S7" s="2025"/>
      <c r="T7" s="2025"/>
      <c r="U7" s="2025"/>
      <c r="V7" s="2025"/>
    </row>
    <row r="8" spans="1:22" ht="14.25" hidden="1">
      <c r="A8" s="3488" t="s">
        <v>300</v>
      </c>
      <c r="B8" s="3489">
        <v>15</v>
      </c>
      <c r="C8" s="3497"/>
      <c r="D8" s="3500"/>
      <c r="E8" s="260" t="s">
        <v>301</v>
      </c>
      <c r="F8" s="261"/>
      <c r="G8" s="261"/>
      <c r="H8" s="261"/>
      <c r="I8" s="262"/>
      <c r="J8" s="2026"/>
      <c r="K8" s="2025"/>
      <c r="L8" s="2025"/>
      <c r="M8" s="2025"/>
      <c r="N8" s="2025"/>
      <c r="O8" s="2025"/>
      <c r="P8" s="2025"/>
      <c r="Q8" s="2025"/>
      <c r="R8" s="2025"/>
      <c r="S8" s="2025"/>
      <c r="T8" s="2025"/>
      <c r="U8" s="2025"/>
      <c r="V8" s="2025"/>
    </row>
    <row r="9" spans="1:22" ht="14.25" hidden="1">
      <c r="A9" s="3488"/>
      <c r="B9" s="3489"/>
      <c r="C9" s="3499"/>
      <c r="D9" s="3500"/>
      <c r="E9" s="260" t="s">
        <v>302</v>
      </c>
      <c r="F9" s="261"/>
      <c r="G9" s="261"/>
      <c r="H9" s="261"/>
      <c r="I9" s="262"/>
      <c r="J9" s="2026"/>
      <c r="K9" s="2025"/>
      <c r="L9" s="2025"/>
      <c r="M9" s="2025"/>
      <c r="N9" s="2025"/>
      <c r="O9" s="2025"/>
      <c r="P9" s="2025"/>
      <c r="Q9" s="2025"/>
      <c r="R9" s="2025"/>
      <c r="S9" s="2025"/>
      <c r="T9" s="2025"/>
      <c r="U9" s="2025"/>
      <c r="V9" s="2025"/>
    </row>
    <row r="10" spans="1:22" ht="14.25" hidden="1">
      <c r="A10" s="3488" t="s">
        <v>303</v>
      </c>
      <c r="B10" s="3489">
        <v>15</v>
      </c>
      <c r="C10" s="3497"/>
      <c r="D10" s="3500"/>
      <c r="E10" s="260" t="s">
        <v>304</v>
      </c>
      <c r="F10" s="261"/>
      <c r="G10" s="261"/>
      <c r="H10" s="261"/>
      <c r="I10" s="262"/>
      <c r="J10" s="2026"/>
      <c r="K10" s="2025"/>
      <c r="L10" s="2025"/>
      <c r="M10" s="2025"/>
      <c r="N10" s="2025"/>
      <c r="O10" s="2025"/>
      <c r="P10" s="2025"/>
      <c r="Q10" s="2025"/>
      <c r="R10" s="2025"/>
      <c r="S10" s="2025"/>
      <c r="T10" s="2025"/>
      <c r="U10" s="2025"/>
      <c r="V10" s="2025"/>
    </row>
    <row r="11" spans="1:22" ht="14.25" hidden="1">
      <c r="A11" s="3488"/>
      <c r="B11" s="3489"/>
      <c r="C11" s="3499"/>
      <c r="D11" s="3500"/>
      <c r="E11" s="260" t="s">
        <v>305</v>
      </c>
      <c r="F11" s="261"/>
      <c r="G11" s="261"/>
      <c r="H11" s="261"/>
      <c r="I11" s="262"/>
      <c r="J11" s="2026"/>
      <c r="K11" s="2025"/>
      <c r="L11" s="2025"/>
      <c r="M11" s="2025"/>
      <c r="N11" s="2025"/>
      <c r="O11" s="2025"/>
      <c r="P11" s="2025"/>
      <c r="Q11" s="2025"/>
      <c r="R11" s="2025"/>
      <c r="S11" s="2025"/>
      <c r="T11" s="2025"/>
      <c r="U11" s="2025"/>
      <c r="V11" s="2025"/>
    </row>
    <row r="12" spans="1:22" ht="14.25" hidden="1">
      <c r="A12" s="3488" t="s">
        <v>306</v>
      </c>
      <c r="B12" s="3489">
        <v>15</v>
      </c>
      <c r="C12" s="3497"/>
      <c r="D12" s="3500"/>
      <c r="E12" s="260" t="s">
        <v>307</v>
      </c>
      <c r="F12" s="261"/>
      <c r="G12" s="261"/>
      <c r="H12" s="261"/>
      <c r="I12" s="262"/>
      <c r="J12" s="2026"/>
      <c r="K12" s="2025"/>
      <c r="L12" s="2025"/>
      <c r="M12" s="2025"/>
      <c r="N12" s="2025"/>
      <c r="O12" s="2025"/>
      <c r="P12" s="2025"/>
      <c r="Q12" s="2025"/>
      <c r="R12" s="2025"/>
      <c r="S12" s="2025"/>
      <c r="T12" s="2025"/>
      <c r="U12" s="2025"/>
      <c r="V12" s="2025"/>
    </row>
    <row r="13" spans="1:22" ht="14.25" hidden="1">
      <c r="A13" s="3488"/>
      <c r="B13" s="3489"/>
      <c r="C13" s="3499"/>
      <c r="D13" s="3500"/>
      <c r="E13" s="260" t="s">
        <v>308</v>
      </c>
      <c r="F13" s="261"/>
      <c r="G13" s="261"/>
      <c r="H13" s="261"/>
      <c r="I13" s="262"/>
      <c r="J13" s="2026"/>
      <c r="K13" s="2025"/>
      <c r="L13" s="2025"/>
      <c r="M13" s="2025"/>
      <c r="N13" s="2025"/>
      <c r="O13" s="2025"/>
      <c r="P13" s="2025"/>
      <c r="Q13" s="2025"/>
      <c r="R13" s="2025"/>
      <c r="S13" s="2025"/>
      <c r="T13" s="2025"/>
      <c r="U13" s="2025"/>
      <c r="V13" s="2025"/>
    </row>
    <row r="14" spans="1:22" ht="14.25" hidden="1">
      <c r="A14" s="3488" t="s">
        <v>309</v>
      </c>
      <c r="B14" s="3489">
        <v>30</v>
      </c>
      <c r="C14" s="3497"/>
      <c r="D14" s="3500"/>
      <c r="E14" s="260" t="s">
        <v>310</v>
      </c>
      <c r="F14" s="261"/>
      <c r="G14" s="261"/>
      <c r="H14" s="261"/>
      <c r="I14" s="262"/>
      <c r="J14" s="2026"/>
      <c r="K14" s="2025"/>
      <c r="L14" s="2025"/>
      <c r="M14" s="2025"/>
      <c r="N14" s="2025"/>
      <c r="O14" s="2025"/>
      <c r="P14" s="2025"/>
      <c r="Q14" s="2025"/>
      <c r="R14" s="2025"/>
      <c r="S14" s="2025"/>
      <c r="T14" s="2025"/>
      <c r="U14" s="2025"/>
      <c r="V14" s="2025"/>
    </row>
    <row r="15" spans="1:22" ht="14.25" hidden="1">
      <c r="A15" s="3488"/>
      <c r="B15" s="3489"/>
      <c r="C15" s="3498"/>
      <c r="D15" s="3500"/>
      <c r="E15" s="260" t="s">
        <v>311</v>
      </c>
      <c r="F15" s="261"/>
      <c r="G15" s="261"/>
      <c r="H15" s="261"/>
      <c r="I15" s="262"/>
      <c r="J15" s="2026"/>
      <c r="K15" s="2025"/>
      <c r="L15" s="2025"/>
      <c r="M15" s="2025"/>
      <c r="N15" s="2025"/>
      <c r="O15" s="2025"/>
      <c r="P15" s="2025"/>
      <c r="Q15" s="2025"/>
      <c r="R15" s="2025"/>
      <c r="S15" s="2025"/>
      <c r="T15" s="2025"/>
      <c r="U15" s="2025"/>
      <c r="V15" s="2025"/>
    </row>
    <row r="16" spans="1:22" ht="14.25" hidden="1">
      <c r="A16" s="3488"/>
      <c r="B16" s="3489"/>
      <c r="C16" s="3499"/>
      <c r="D16" s="3500"/>
      <c r="E16" s="260" t="s">
        <v>312</v>
      </c>
      <c r="F16" s="261"/>
      <c r="G16" s="261"/>
      <c r="H16" s="261"/>
      <c r="I16" s="262"/>
      <c r="J16" s="2026"/>
      <c r="K16" s="2025"/>
      <c r="L16" s="2025"/>
      <c r="M16" s="2025"/>
      <c r="N16" s="2025"/>
      <c r="O16" s="2025"/>
      <c r="P16" s="2025"/>
      <c r="Q16" s="2025"/>
      <c r="R16" s="2025"/>
      <c r="S16" s="2025"/>
      <c r="T16" s="2025"/>
      <c r="U16" s="2025"/>
      <c r="V16" s="2025"/>
    </row>
    <row r="17" spans="1:26" ht="15" hidden="1">
      <c r="A17" s="263" t="s">
        <v>313</v>
      </c>
      <c r="B17" s="143"/>
      <c r="C17" s="264">
        <f>SUM(C5:C16)</f>
        <v>30</v>
      </c>
      <c r="D17" s="264">
        <f>SUM(D5:D16)</f>
        <v>70</v>
      </c>
      <c r="E17" s="307"/>
      <c r="F17" s="307"/>
      <c r="G17" s="307"/>
      <c r="H17" s="307"/>
      <c r="I17" s="307"/>
      <c r="J17" s="2026"/>
      <c r="K17" s="2025"/>
      <c r="L17" s="2025"/>
      <c r="M17" s="2025"/>
      <c r="N17" s="2025"/>
      <c r="O17" s="2025"/>
      <c r="P17" s="2025"/>
      <c r="Q17" s="2025"/>
      <c r="R17" s="2025"/>
      <c r="S17" s="2025"/>
      <c r="T17" s="2025"/>
      <c r="U17" s="2025"/>
      <c r="V17" s="2025"/>
    </row>
    <row r="18" spans="1:26" ht="15.75" hidden="1" thickBot="1">
      <c r="A18" s="265" t="s">
        <v>314</v>
      </c>
      <c r="B18" s="105"/>
      <c r="C18" s="266">
        <f>ROUND(C17/SUM(C17:D17),2)</f>
        <v>0.3</v>
      </c>
      <c r="D18" s="266">
        <f>1-C18</f>
        <v>0.7</v>
      </c>
      <c r="E18" s="307"/>
      <c r="F18" s="307"/>
      <c r="G18" s="307"/>
      <c r="H18" s="307"/>
      <c r="I18" s="307"/>
      <c r="J18" s="2025"/>
      <c r="K18" s="2025"/>
      <c r="L18" s="2025"/>
      <c r="M18" s="2025"/>
      <c r="N18" s="2025"/>
      <c r="O18" s="2025"/>
      <c r="P18" s="2025"/>
      <c r="Q18" s="2025"/>
      <c r="R18" s="2025"/>
      <c r="S18" s="2025"/>
      <c r="T18" s="2025"/>
      <c r="U18" s="2025"/>
      <c r="V18" s="2025"/>
    </row>
    <row r="19" spans="1:26" ht="15" hidden="1">
      <c r="A19" s="267" t="s">
        <v>315</v>
      </c>
      <c r="B19" s="268" t="s">
        <v>316</v>
      </c>
      <c r="C19" s="269">
        <f ca="1">SUMIF(INDIRECT("'"&amp;C4&amp;"'"&amp;"!A:A"),'结果表-商业'!B19,INDIRECT("'"&amp;C4&amp;"'"&amp;"!B:B"))</f>
        <v>4977</v>
      </c>
      <c r="D19" s="270">
        <f ca="1">SUMIF(INDIRECT("'"&amp;D4&amp;"'"&amp;"!A:A"),'结果表-商业'!B19,INDIRECT("'"&amp;D4&amp;"'"&amp;"!B:B"))</f>
        <v>6618</v>
      </c>
      <c r="E19" s="267" t="s">
        <v>317</v>
      </c>
      <c r="F19" s="268" t="s">
        <v>316</v>
      </c>
      <c r="G19" s="271">
        <f ca="1">ROUND(C19*$C$18+D19*$D$18,0)</f>
        <v>6126</v>
      </c>
      <c r="H19" s="272" t="s">
        <v>318</v>
      </c>
      <c r="I19" s="307"/>
      <c r="J19" s="2025"/>
      <c r="K19" s="2025"/>
      <c r="L19" s="2025"/>
      <c r="M19" s="2025"/>
      <c r="N19" s="2025"/>
      <c r="O19" s="2025"/>
      <c r="P19" s="2025"/>
      <c r="Q19" s="2025"/>
      <c r="R19" s="2025"/>
      <c r="S19" s="2025"/>
      <c r="T19" s="2025"/>
      <c r="U19" s="2025"/>
      <c r="V19" s="2025"/>
    </row>
    <row r="20" spans="1:26" s="3199" customFormat="1" ht="15">
      <c r="A20" s="3193"/>
      <c r="B20" s="3194" t="s">
        <v>319</v>
      </c>
      <c r="C20" s="3195">
        <f ca="1">SUMIF(INDIRECT("'"&amp;C4&amp;"'"&amp;"!A:A"),'结果表-商业'!B20,INDIRECT("'"&amp;C4&amp;"'"&amp;"!B:B"))</f>
        <v>5133</v>
      </c>
      <c r="D20" s="3196">
        <f ca="1">SUMIF(INDIRECT("'"&amp;D4&amp;"'"&amp;"!A:A"),'结果表-商业'!B20,INDIRECT("'"&amp;D4&amp;"'"&amp;"!B:B"))</f>
        <v>6825</v>
      </c>
      <c r="E20" s="3193"/>
      <c r="F20" s="3194" t="s">
        <v>319</v>
      </c>
      <c r="G20" s="3197">
        <f ca="1">ROUND(C20*$C$18+D20*$D$18,0)</f>
        <v>6317</v>
      </c>
      <c r="H20" s="3198" t="s">
        <v>320</v>
      </c>
      <c r="J20" s="2863"/>
      <c r="K20" s="2863"/>
      <c r="L20" s="2863"/>
      <c r="M20" s="2863"/>
      <c r="N20" s="2863"/>
      <c r="O20" s="2863"/>
      <c r="P20" s="2863"/>
      <c r="Q20" s="2863"/>
      <c r="R20" s="2863"/>
      <c r="S20" s="2863"/>
      <c r="T20" s="2863"/>
      <c r="U20" s="2863"/>
      <c r="V20" s="2863"/>
      <c r="W20" s="2863"/>
      <c r="X20" s="2863"/>
      <c r="Y20" s="2863"/>
      <c r="Z20" s="2863"/>
    </row>
    <row r="21" spans="1:26" ht="15" customHeight="1">
      <c r="A21" s="273"/>
      <c r="B21" s="276" t="s">
        <v>321</v>
      </c>
      <c r="C21" s="277">
        <f ca="1">SUMIF(INDIRECT("'"&amp;C4&amp;"'"&amp;"!A:A"),'结果表-商业'!B21,INDIRECT("'"&amp;C4&amp;"'"&amp;"!B:B"))</f>
        <v>19908</v>
      </c>
      <c r="D21" s="150">
        <f ca="1">SUMIF(INDIRECT("'"&amp;D4&amp;"'"&amp;"!A:A"),'结果表-商业'!B21,INDIRECT("'"&amp;D4&amp;"'"&amp;"!B:B"))</f>
        <v>26472</v>
      </c>
      <c r="E21" s="273"/>
      <c r="F21" s="276" t="s">
        <v>321</v>
      </c>
      <c r="G21" s="278">
        <f ca="1">ROUND(C21*$C$18+D21*$D$18,0)</f>
        <v>24503</v>
      </c>
      <c r="H21" s="1247" t="s">
        <v>320</v>
      </c>
      <c r="I21" s="307"/>
      <c r="J21" s="2025"/>
      <c r="K21" s="2025"/>
      <c r="L21" s="2025"/>
      <c r="M21" s="2025"/>
      <c r="N21" s="2025"/>
      <c r="O21" s="2025"/>
      <c r="P21" s="2025"/>
      <c r="Q21" s="2025"/>
      <c r="R21" s="2025"/>
      <c r="S21" s="2025"/>
      <c r="T21" s="2025"/>
      <c r="U21" s="2025"/>
      <c r="V21" s="2025"/>
    </row>
    <row r="22" spans="1:26" ht="15.75" thickBot="1">
      <c r="A22" s="126" t="s">
        <v>322</v>
      </c>
      <c r="B22" s="1248"/>
      <c r="C22" s="1249"/>
      <c r="D22" s="279">
        <f ca="1">IF(C19&lt;D19,D19/C19-1,C19/D19-1)</f>
        <v>0.32971669680530447</v>
      </c>
      <c r="E22" s="280"/>
      <c r="F22" s="281"/>
      <c r="G22" s="282">
        <f ca="1">ROUND(G19/('数据-汇总表'!D3/666.67),0)</f>
        <v>22</v>
      </c>
      <c r="H22" s="283" t="s">
        <v>323</v>
      </c>
      <c r="I22" s="307"/>
      <c r="J22" s="2025"/>
      <c r="K22" s="2025"/>
      <c r="L22" s="2025"/>
      <c r="M22" s="2025"/>
      <c r="N22" s="2025"/>
      <c r="O22" s="2025"/>
      <c r="P22" s="2025"/>
      <c r="Q22" s="2025"/>
      <c r="R22" s="2025"/>
      <c r="S22" s="2025"/>
      <c r="T22" s="2025"/>
      <c r="U22" s="2025"/>
      <c r="V22" s="2025"/>
    </row>
    <row r="23" spans="1:26" ht="13.5" thickBot="1">
      <c r="A23" s="307"/>
      <c r="B23" s="307"/>
      <c r="C23" s="307"/>
      <c r="D23" s="307"/>
      <c r="E23" s="307"/>
      <c r="F23" s="307"/>
      <c r="G23" s="307"/>
      <c r="H23" s="307"/>
      <c r="I23" s="307"/>
      <c r="J23" s="2025"/>
      <c r="K23" s="2025"/>
      <c r="L23" s="2025"/>
      <c r="M23" s="2025"/>
      <c r="N23" s="2025"/>
      <c r="O23" s="2025"/>
      <c r="P23" s="2025"/>
      <c r="Q23" s="2025"/>
      <c r="R23" s="2025"/>
      <c r="S23" s="2025"/>
      <c r="T23" s="2025"/>
      <c r="U23" s="2025"/>
      <c r="V23" s="2025"/>
    </row>
    <row r="24" spans="1:26" ht="15" thickBot="1">
      <c r="A24" s="3461" t="s">
        <v>324</v>
      </c>
      <c r="B24" s="268" t="s">
        <v>316</v>
      </c>
      <c r="C24" s="284">
        <f>IF(B30=0,0,D30)</f>
        <v>0</v>
      </c>
      <c r="D24" s="285"/>
      <c r="E24" s="307"/>
      <c r="F24" s="307"/>
      <c r="G24" s="307"/>
      <c r="H24" s="307"/>
      <c r="I24" s="307"/>
      <c r="J24" s="2025"/>
      <c r="K24" s="2025"/>
      <c r="L24" s="2025"/>
      <c r="M24" s="2025"/>
      <c r="N24" s="2025"/>
      <c r="O24" s="2025"/>
      <c r="P24" s="2025"/>
      <c r="Q24" s="2025"/>
      <c r="R24" s="2025"/>
      <c r="S24" s="2025"/>
      <c r="T24" s="2025"/>
      <c r="U24" s="2025"/>
      <c r="V24" s="2025"/>
    </row>
    <row r="25" spans="1:26" ht="18">
      <c r="A25" s="3503"/>
      <c r="B25" s="1317" t="s">
        <v>325</v>
      </c>
      <c r="C25" s="286">
        <f>IF(B30=0,0,C30)</f>
        <v>0</v>
      </c>
      <c r="D25" s="287"/>
      <c r="E25" s="307"/>
      <c r="F25" s="307"/>
      <c r="G25" s="307"/>
      <c r="H25" s="307"/>
      <c r="I25" s="307"/>
      <c r="J25" s="2025"/>
      <c r="K25" s="1251" t="str">
        <f ca="1">项目基本情况!B16&amp;"国有建设用地使用权价格："&amp;O38&amp;"万元"</f>
        <v>出让国有建设用地使用权价格：6126万元</v>
      </c>
      <c r="L25" s="1252"/>
      <c r="M25" s="1252"/>
      <c r="N25" s="1252"/>
      <c r="O25" s="1253"/>
      <c r="P25" s="2025"/>
      <c r="Q25" s="2025"/>
      <c r="R25" s="2025"/>
      <c r="S25" s="2025"/>
      <c r="T25" s="2025"/>
      <c r="U25" s="2025"/>
      <c r="V25" s="2025"/>
    </row>
    <row r="26" spans="1:26" s="1250" customFormat="1" ht="18">
      <c r="A26" s="289" t="s">
        <v>326</v>
      </c>
      <c r="B26" s="290" t="s">
        <v>327</v>
      </c>
      <c r="C26" s="290" t="s">
        <v>328</v>
      </c>
      <c r="D26" s="291" t="s">
        <v>329</v>
      </c>
      <c r="E26" s="307"/>
      <c r="F26" s="307"/>
      <c r="G26" s="307"/>
      <c r="H26" s="307"/>
      <c r="I26" s="307"/>
      <c r="J26" s="2025"/>
      <c r="K26" s="1254" t="str">
        <f ca="1">"大写金额：人民币"&amp;NUMBERSTRING(INT(O38*10000),2)&amp;"元整"</f>
        <v>大写金额：人民币陆仟壹佰贰拾陆万元整</v>
      </c>
      <c r="L26" s="1248"/>
      <c r="M26" s="1248"/>
      <c r="N26" s="1248"/>
      <c r="O26" s="1247"/>
      <c r="P26" s="2025"/>
      <c r="Q26" s="2025"/>
      <c r="R26" s="2025"/>
      <c r="S26" s="2025"/>
      <c r="T26" s="2025"/>
      <c r="U26" s="2025"/>
      <c r="V26" s="2025"/>
      <c r="W26" s="288"/>
      <c r="X26" s="288"/>
      <c r="Y26" s="288"/>
      <c r="Z26" s="288"/>
    </row>
    <row r="27" spans="1:26" ht="18">
      <c r="A27" s="289"/>
      <c r="B27" s="290"/>
      <c r="C27" s="290"/>
      <c r="D27" s="291"/>
      <c r="E27" s="307"/>
      <c r="F27" s="307"/>
      <c r="G27" s="307"/>
      <c r="H27" s="307"/>
      <c r="I27" s="307"/>
      <c r="J27" s="2025"/>
      <c r="K27" s="1254" t="str">
        <f ca="1">"单位面积地价："&amp;M38&amp;"元/平方米"</f>
        <v>单位面积地价：335元/平方米</v>
      </c>
      <c r="L27" s="1248"/>
      <c r="M27" s="1248"/>
      <c r="N27" s="1248"/>
      <c r="O27" s="1247"/>
      <c r="P27" s="2025"/>
      <c r="Q27" s="2025"/>
      <c r="R27" s="2025"/>
      <c r="S27" s="2025"/>
      <c r="T27" s="2025"/>
      <c r="U27" s="2025"/>
      <c r="V27" s="2025"/>
    </row>
    <row r="28" spans="1:26" ht="18.75" customHeight="1">
      <c r="A28" s="289"/>
      <c r="B28" s="290"/>
      <c r="C28" s="290"/>
      <c r="D28" s="291"/>
      <c r="E28" s="307"/>
      <c r="F28" s="307"/>
      <c r="G28" s="307"/>
      <c r="H28" s="307"/>
      <c r="I28" s="307"/>
      <c r="J28" s="2025"/>
      <c r="K28" s="1254" t="str">
        <f ca="1">"楼面地价："&amp;N38&amp;"元/平方米"</f>
        <v>楼面地价：86元/平方米</v>
      </c>
      <c r="L28" s="1248"/>
      <c r="M28" s="1248"/>
      <c r="N28" s="1248"/>
      <c r="O28" s="1247"/>
      <c r="P28" s="2025"/>
      <c r="V28" s="2025"/>
    </row>
    <row r="29" spans="1:26" ht="18">
      <c r="A29" s="289"/>
      <c r="B29" s="290"/>
      <c r="C29" s="290"/>
      <c r="D29" s="291"/>
      <c r="E29" s="307"/>
      <c r="F29" s="307"/>
      <c r="G29" s="307"/>
      <c r="H29" s="307"/>
      <c r="I29" s="307"/>
      <c r="J29" s="2025"/>
      <c r="K29" s="1254" t="str">
        <f>IF(OR(项目基本情况!E8="抵押价格",项目基本情况!E8="已注销及未注销"),"抵押价格："&amp;O39&amp;"万元","——")</f>
        <v>——</v>
      </c>
      <c r="L29" s="1248"/>
      <c r="M29" s="1248"/>
      <c r="N29" s="1248"/>
      <c r="O29" s="1247"/>
      <c r="P29" s="2025"/>
      <c r="V29" s="2025"/>
    </row>
    <row r="30" spans="1:26" ht="18.75" thickBot="1">
      <c r="A30" s="3124" t="s">
        <v>330</v>
      </c>
      <c r="B30" s="305"/>
      <c r="C30" s="305"/>
      <c r="D30" s="306"/>
      <c r="E30" s="3125" t="s">
        <v>2965</v>
      </c>
      <c r="F30" s="307"/>
      <c r="G30" s="307"/>
      <c r="H30" s="307"/>
      <c r="I30" s="307"/>
      <c r="J30" s="2025"/>
      <c r="K30" s="1254" t="str">
        <f>IF(K29="——","——","大写金额：人民币"&amp;NUMBERSTRING(INT(O39*10000),2)&amp;"元整")</f>
        <v>——</v>
      </c>
      <c r="L30" s="1248"/>
      <c r="M30" s="1248"/>
      <c r="N30" s="1248"/>
      <c r="O30" s="1247"/>
      <c r="P30" s="2025"/>
      <c r="V30" s="2025"/>
    </row>
    <row r="31" spans="1:26" ht="24" customHeight="1" thickBot="1">
      <c r="A31" s="307"/>
      <c r="B31" s="307"/>
      <c r="C31" s="307"/>
      <c r="D31" s="307"/>
      <c r="E31" s="307"/>
      <c r="F31" s="307"/>
      <c r="G31" s="307"/>
      <c r="H31" s="307"/>
      <c r="I31" s="307"/>
      <c r="J31" s="2025"/>
      <c r="K31" s="2465" t="str">
        <f>IF(项目基本情况!E8="抵押价格","——","抵押担保权已注销时的抵押价格："&amp;O40&amp;"万元")</f>
        <v>抵押担保权已注销时的抵押价格：——万元</v>
      </c>
      <c r="L31" s="2461"/>
      <c r="M31" s="2461"/>
      <c r="N31" s="2461"/>
      <c r="O31" s="2462"/>
      <c r="P31" s="2025"/>
      <c r="V31" s="2025"/>
    </row>
    <row r="32" spans="1:26" ht="18.75" thickBot="1">
      <c r="A32" s="267" t="s">
        <v>331</v>
      </c>
      <c r="B32" s="1377" t="s">
        <v>1681</v>
      </c>
      <c r="C32" s="1378">
        <f ca="1">G19-C24</f>
        <v>6126</v>
      </c>
      <c r="D32" s="1379" t="s">
        <v>1682</v>
      </c>
      <c r="E32" s="307"/>
      <c r="F32" s="307"/>
      <c r="G32" s="307"/>
      <c r="H32" s="307"/>
      <c r="I32" s="307"/>
      <c r="J32" s="2025"/>
      <c r="K32" s="2460" t="e">
        <f>IF(K31="——","——","大写金额：人民币"&amp;NUMBERSTRING(INT(O40*10000),2)&amp;"元整")</f>
        <v>#VALUE!</v>
      </c>
      <c r="L32" s="2463"/>
      <c r="M32" s="2463"/>
      <c r="N32" s="2463"/>
      <c r="O32" s="2464"/>
      <c r="P32" s="2025"/>
      <c r="V32" s="2025"/>
    </row>
    <row r="33" spans="1:26" ht="18.75" thickBot="1">
      <c r="A33" s="294" t="s">
        <v>334</v>
      </c>
      <c r="B33" s="1380" t="s">
        <v>1683</v>
      </c>
      <c r="C33" s="263">
        <f ca="1">ROUND(C32*10000/'数据-汇总表'!E3,0)</f>
        <v>86</v>
      </c>
      <c r="D33" s="1381" t="s">
        <v>1684</v>
      </c>
      <c r="E33" s="3461" t="s">
        <v>332</v>
      </c>
      <c r="F33" s="292" t="s">
        <v>333</v>
      </c>
      <c r="G33" s="293"/>
      <c r="H33" s="976"/>
      <c r="I33" s="1255"/>
      <c r="J33" s="2025"/>
      <c r="K33" s="1254" t="str">
        <f>IF(项目基本情况!E9="——","——","抵押净值："&amp;C46&amp;"万元")</f>
        <v>抵押净值：——万元</v>
      </c>
      <c r="L33" s="1248"/>
      <c r="M33" s="1248"/>
      <c r="N33" s="1248"/>
      <c r="O33" s="1247"/>
      <c r="P33" s="2025"/>
      <c r="V33" s="2025"/>
    </row>
    <row r="34" spans="1:26" s="1250" customFormat="1" ht="18.75" thickBot="1">
      <c r="A34" s="296"/>
      <c r="B34" s="1382" t="s">
        <v>1685</v>
      </c>
      <c r="C34" s="263">
        <f ca="1">ROUND(C32*10000/'数据-汇总表'!D3,0)</f>
        <v>335</v>
      </c>
      <c r="D34" s="1383" t="s">
        <v>1684</v>
      </c>
      <c r="E34" s="3462"/>
      <c r="F34" s="127" t="s">
        <v>335</v>
      </c>
      <c r="G34" s="295"/>
      <c r="H34" s="105"/>
      <c r="I34" s="307"/>
      <c r="J34" s="2025"/>
      <c r="K34" s="1257" t="e">
        <f>IF(K33="——","——","大写金额：人民币"&amp;NUMBERSTRING(INT(O41*10000),2)&amp;"元整")</f>
        <v>#VALUE!</v>
      </c>
      <c r="L34" s="1258"/>
      <c r="M34" s="1258"/>
      <c r="N34" s="1258"/>
      <c r="O34" s="1259"/>
      <c r="P34" s="2025"/>
      <c r="Q34" s="288"/>
      <c r="R34" s="288"/>
      <c r="S34" s="288"/>
      <c r="T34" s="288"/>
      <c r="U34" s="288"/>
      <c r="V34" s="2025"/>
      <c r="W34" s="288"/>
      <c r="X34" s="288"/>
      <c r="Y34" s="288"/>
      <c r="Z34" s="288"/>
    </row>
    <row r="35" spans="1:26" ht="15.75" thickBot="1">
      <c r="A35" s="280"/>
      <c r="B35" s="1384"/>
      <c r="C35" s="1385">
        <f ca="1">ROUND(C32/('数据-汇总表'!D3/666.67),0)</f>
        <v>22</v>
      </c>
      <c r="D35" s="1386" t="s">
        <v>1686</v>
      </c>
      <c r="E35" s="3463"/>
      <c r="F35" s="297" t="s">
        <v>336</v>
      </c>
      <c r="G35" s="978"/>
      <c r="H35" s="977" t="s">
        <v>337</v>
      </c>
      <c r="I35" s="307"/>
      <c r="J35" s="2025"/>
      <c r="K35" s="3467" t="s">
        <v>344</v>
      </c>
      <c r="L35" s="3467" t="s">
        <v>345</v>
      </c>
      <c r="M35" s="1260" t="s">
        <v>346</v>
      </c>
      <c r="N35" s="3467" t="s">
        <v>347</v>
      </c>
      <c r="O35" s="3467" t="s">
        <v>348</v>
      </c>
      <c r="P35" s="2025"/>
      <c r="V35" s="2025"/>
    </row>
    <row r="36" spans="1:26" ht="16.5" customHeight="1">
      <c r="A36" s="299" t="s">
        <v>338</v>
      </c>
      <c r="B36" s="300" t="s">
        <v>327</v>
      </c>
      <c r="C36" s="301" t="s">
        <v>328</v>
      </c>
      <c r="D36" s="301" t="s">
        <v>340</v>
      </c>
      <c r="E36" s="302" t="s">
        <v>329</v>
      </c>
      <c r="F36" s="307"/>
      <c r="G36" s="307"/>
      <c r="H36" s="307"/>
      <c r="I36" s="307"/>
      <c r="J36" s="2027"/>
      <c r="K36" s="3468"/>
      <c r="L36" s="3468"/>
      <c r="M36" s="1262" t="s">
        <v>349</v>
      </c>
      <c r="N36" s="3468"/>
      <c r="O36" s="3468"/>
      <c r="P36" s="2025"/>
      <c r="V36" s="2025"/>
    </row>
    <row r="37" spans="1:26" ht="16.5" customHeight="1" thickBot="1">
      <c r="A37" s="1256" t="s">
        <v>342</v>
      </c>
      <c r="B37" s="303"/>
      <c r="C37" s="290"/>
      <c r="D37" s="290"/>
      <c r="E37" s="291"/>
      <c r="F37" s="307"/>
      <c r="G37" s="307"/>
      <c r="H37" s="307"/>
      <c r="I37" s="307"/>
      <c r="J37" s="2027"/>
      <c r="K37" s="3469"/>
      <c r="L37" s="3469"/>
      <c r="M37" s="1263"/>
      <c r="N37" s="3469"/>
      <c r="O37" s="3469"/>
      <c r="P37" s="2025"/>
      <c r="V37" s="2025"/>
    </row>
    <row r="38" spans="1:26" ht="16.5" customHeight="1" thickBot="1">
      <c r="A38" s="1256" t="s">
        <v>343</v>
      </c>
      <c r="B38" s="303"/>
      <c r="C38" s="290"/>
      <c r="D38" s="290"/>
      <c r="E38" s="291"/>
      <c r="F38" s="307"/>
      <c r="G38" s="307"/>
      <c r="H38" s="307"/>
      <c r="I38" s="307"/>
      <c r="J38" s="2027"/>
      <c r="K38" s="1264">
        <f>'数据-汇总表'!D3</f>
        <v>183040.85</v>
      </c>
      <c r="L38" s="1265">
        <f>'数据-汇总表'!E3</f>
        <v>709912</v>
      </c>
      <c r="M38" s="1265">
        <f ca="1">C34</f>
        <v>335</v>
      </c>
      <c r="N38" s="1265">
        <f ca="1">C33</f>
        <v>86</v>
      </c>
      <c r="O38" s="1266">
        <f ca="1">C32</f>
        <v>6126</v>
      </c>
      <c r="P38" s="2025"/>
      <c r="V38" s="2025"/>
    </row>
    <row r="39" spans="1:26" ht="16.5" customHeight="1" thickBot="1">
      <c r="A39" s="1261"/>
      <c r="B39" s="304"/>
      <c r="C39" s="305"/>
      <c r="D39" s="305"/>
      <c r="E39" s="306"/>
      <c r="F39" s="307"/>
      <c r="G39" s="307"/>
      <c r="H39" s="307"/>
      <c r="I39" s="307"/>
      <c r="J39" s="2027"/>
      <c r="K39" s="3444" t="str">
        <f>MID(A44,3,LEN(A44)-2)</f>
        <v/>
      </c>
      <c r="L39" s="3445"/>
      <c r="M39" s="3445"/>
      <c r="N39" s="3446"/>
      <c r="O39" s="1388" t="str">
        <f>C44</f>
        <v>——</v>
      </c>
      <c r="P39" s="2025"/>
      <c r="V39" s="2025"/>
    </row>
    <row r="40" spans="1:26" ht="19.5" thickBot="1">
      <c r="A40" s="104" t="s">
        <v>867</v>
      </c>
      <c r="B40" s="307"/>
      <c r="C40" s="307"/>
      <c r="D40" s="307"/>
      <c r="E40" s="307"/>
      <c r="F40" s="307"/>
      <c r="G40" s="307"/>
      <c r="H40" s="307"/>
      <c r="I40" s="307"/>
      <c r="J40" s="2027"/>
      <c r="K40" s="3444" t="str">
        <f t="shared" ref="K40:K41" si="0">MID(A45,3,LEN(A45)-2)</f>
        <v/>
      </c>
      <c r="L40" s="3445"/>
      <c r="M40" s="3445"/>
      <c r="N40" s="3446"/>
      <c r="O40" s="1388" t="str">
        <f>C45</f>
        <v>——</v>
      </c>
      <c r="P40" s="2025"/>
      <c r="V40" s="2025"/>
    </row>
    <row r="41" spans="1:26" ht="16.5" thickBot="1">
      <c r="A41" s="308" t="s">
        <v>350</v>
      </c>
      <c r="B41" s="309"/>
      <c r="C41" s="310" t="s">
        <v>351</v>
      </c>
      <c r="D41" s="311" t="s">
        <v>352</v>
      </c>
      <c r="E41" s="311" t="s">
        <v>353</v>
      </c>
      <c r="F41" s="312" t="s">
        <v>354</v>
      </c>
      <c r="G41" s="307"/>
      <c r="H41" s="307"/>
      <c r="I41" s="307"/>
      <c r="J41" s="2027"/>
      <c r="K41" s="3444" t="str">
        <f t="shared" si="0"/>
        <v/>
      </c>
      <c r="L41" s="3445"/>
      <c r="M41" s="3445"/>
      <c r="N41" s="3446"/>
      <c r="O41" s="1388" t="str">
        <f>C46</f>
        <v>——</v>
      </c>
      <c r="P41" s="2025"/>
      <c r="V41" s="2025"/>
    </row>
    <row r="42" spans="1:26" ht="29.25">
      <c r="A42" s="3504" t="s">
        <v>2062</v>
      </c>
      <c r="B42" s="3505"/>
      <c r="C42" s="263">
        <f ca="1">C32</f>
        <v>6126</v>
      </c>
      <c r="D42" s="313">
        <f ca="1">C33</f>
        <v>86</v>
      </c>
      <c r="E42" s="313">
        <f ca="1">C34</f>
        <v>335</v>
      </c>
      <c r="F42" s="314">
        <f ca="1">C35</f>
        <v>22</v>
      </c>
      <c r="G42" s="307"/>
      <c r="H42" s="307"/>
      <c r="I42" s="315"/>
      <c r="J42" s="2027"/>
      <c r="K42" s="1267" t="s">
        <v>355</v>
      </c>
      <c r="L42" s="2044" t="s">
        <v>356</v>
      </c>
      <c r="M42" s="1268" t="s">
        <v>357</v>
      </c>
      <c r="N42" s="2045" t="s">
        <v>358</v>
      </c>
      <c r="O42" s="2046" t="s">
        <v>359</v>
      </c>
      <c r="P42" s="2025"/>
      <c r="V42" s="2025"/>
    </row>
    <row r="43" spans="1:26" ht="30">
      <c r="A43" s="3514" t="s">
        <v>2725</v>
      </c>
      <c r="B43" s="3515"/>
      <c r="C43" s="263">
        <f>IF(H33="正常操作",G33+G34+G35,G34+G35)</f>
        <v>0</v>
      </c>
      <c r="D43" s="313" t="s">
        <v>43</v>
      </c>
      <c r="E43" s="313" t="s">
        <v>44</v>
      </c>
      <c r="F43" s="314" t="s">
        <v>44</v>
      </c>
      <c r="G43" s="2863" t="s">
        <v>946</v>
      </c>
      <c r="H43" s="307"/>
      <c r="I43" s="315"/>
      <c r="J43" s="2027"/>
      <c r="K43" s="1269" t="str">
        <f>C4</f>
        <v>基准地价-商业</v>
      </c>
      <c r="L43" s="1270">
        <f ca="1">IF(L42="估价结果/万元",C19,C20)</f>
        <v>4977</v>
      </c>
      <c r="M43" s="1271">
        <f>C18</f>
        <v>0.3</v>
      </c>
      <c r="N43" s="1272">
        <f ca="1">IF(N42="测算结果/万元",G19,G20)</f>
        <v>6126</v>
      </c>
      <c r="O43" s="1273">
        <f ca="1">IF(O42="最终结果/万元",C32,C33)</f>
        <v>6126</v>
      </c>
      <c r="P43" s="2025"/>
      <c r="V43" s="2025"/>
    </row>
    <row r="44" spans="1:26" ht="18.75" thickBot="1">
      <c r="A44" s="3504" t="str">
        <f>IF(OR(项目基本情况!E8="抵押价格",项目基本情况!E8="已注销及未注销"),"3.抵押价格","——")</f>
        <v>——</v>
      </c>
      <c r="B44" s="3505"/>
      <c r="C44" s="263" t="str">
        <f>IF(A44="——","——",C42-C43)</f>
        <v>——</v>
      </c>
      <c r="D44" s="313" t="e">
        <f>ROUND(C44*10000/'数据-汇总表'!E3,0)</f>
        <v>#VALUE!</v>
      </c>
      <c r="E44" s="313" t="e">
        <f>ROUND(C44*10000/'数据-汇总表'!D3,0)</f>
        <v>#VALUE!</v>
      </c>
      <c r="F44" s="314" t="e">
        <f>ROUND(C44/('数据-汇总表'!D3/666.67),0)</f>
        <v>#VALUE!</v>
      </c>
      <c r="G44" s="307"/>
      <c r="H44" s="307"/>
      <c r="I44" s="315"/>
      <c r="J44" s="2027"/>
      <c r="K44" s="1274" t="str">
        <f>D4</f>
        <v>剩余法-商业</v>
      </c>
      <c r="L44" s="1275">
        <f ca="1">IF(L42="估价结果/万元",D19,D20)</f>
        <v>6618</v>
      </c>
      <c r="M44" s="1276">
        <f>D18</f>
        <v>0.7</v>
      </c>
      <c r="N44" s="1277"/>
      <c r="O44" s="1278"/>
      <c r="P44" s="2025"/>
      <c r="V44" s="2025"/>
    </row>
    <row r="45" spans="1:26" ht="15">
      <c r="A45" s="3509" t="str">
        <f>IF(项目基本情况!E8="已注销及未注销","4.抵押担保权已注销时的抵押价格",IF(项目基本情况!E8="已注销","3.抵押担保权已注销时的抵押价格","——"))</f>
        <v>——</v>
      </c>
      <c r="B45" s="3510"/>
      <c r="C45" s="180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7"/>
      <c r="K45" s="2025"/>
      <c r="L45" s="2025"/>
      <c r="M45" s="2025"/>
      <c r="N45" s="2025"/>
      <c r="O45" s="2025"/>
      <c r="P45" s="2025"/>
      <c r="V45" s="2025"/>
    </row>
    <row r="46" spans="1:26" ht="15.75" thickBot="1">
      <c r="A46" s="3506" t="str">
        <f>IF(项目基本情况!E9="抵押净值",IF(A45="——","4.抵押净值","5.抵押净值"),"——")</f>
        <v>——</v>
      </c>
      <c r="B46" s="3507"/>
      <c r="C46" s="316" t="str">
        <f>IF(A46="——","——",O79)</f>
        <v>——</v>
      </c>
      <c r="D46" s="313" t="e">
        <f>ROUND(C46*10000/'数据-汇总表'!E3,0)</f>
        <v>#VALUE!</v>
      </c>
      <c r="E46" s="313" t="e">
        <f>ROUND(C46*10000/'数据-汇总表'!D3,0)</f>
        <v>#VALUE!</v>
      </c>
      <c r="F46" s="314" t="e">
        <f>ROUND(C46/('数据-汇总表'!D3/666.67),0)</f>
        <v>#VALUE!</v>
      </c>
      <c r="G46" s="307"/>
      <c r="H46" s="307"/>
      <c r="I46" s="315"/>
      <c r="J46" s="2027"/>
      <c r="K46" s="2025"/>
      <c r="L46" s="2025"/>
      <c r="M46" s="2025"/>
      <c r="N46" s="2025"/>
      <c r="O46" s="2025"/>
      <c r="P46" s="2025"/>
      <c r="Q46" s="2025"/>
      <c r="R46" s="2025"/>
      <c r="S46" s="2025"/>
      <c r="T46" s="2025"/>
      <c r="U46" s="2025"/>
      <c r="V46" s="2025"/>
    </row>
    <row r="47" spans="1:26" ht="15.75">
      <c r="A47" s="317" t="s">
        <v>360</v>
      </c>
      <c r="B47" s="1279"/>
      <c r="C47" s="318" t="s">
        <v>361</v>
      </c>
      <c r="D47" s="319"/>
      <c r="E47" s="319"/>
      <c r="F47" s="319"/>
      <c r="G47" s="320"/>
      <c r="H47" s="321"/>
      <c r="I47" s="322"/>
      <c r="J47" s="2027"/>
      <c r="K47" s="307"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3">
        <v>1</v>
      </c>
      <c r="B48" s="324"/>
      <c r="C48" s="324"/>
      <c r="D48" s="319"/>
      <c r="E48" s="319"/>
      <c r="F48" s="319"/>
      <c r="G48" s="319"/>
      <c r="H48" s="325"/>
      <c r="I48" s="326"/>
      <c r="J48" s="2027"/>
      <c r="K48" s="2025"/>
      <c r="L48" s="2025"/>
      <c r="M48" s="2025"/>
      <c r="N48" s="2025"/>
      <c r="O48" s="2025"/>
      <c r="P48" s="2025"/>
      <c r="Q48" s="2025"/>
      <c r="R48" s="2025"/>
      <c r="S48" s="2025"/>
      <c r="T48" s="2025"/>
      <c r="U48" s="2025"/>
      <c r="V48" s="2025"/>
    </row>
    <row r="49" spans="1:22" ht="12.75">
      <c r="A49" s="323">
        <v>2</v>
      </c>
      <c r="B49" s="324"/>
      <c r="C49" s="324"/>
      <c r="D49" s="319"/>
      <c r="E49" s="319"/>
      <c r="F49" s="319"/>
      <c r="G49" s="319"/>
      <c r="H49" s="325"/>
      <c r="I49" s="326"/>
      <c r="J49" s="2028"/>
      <c r="K49" s="2025"/>
      <c r="L49" s="2025"/>
      <c r="M49" s="2025"/>
      <c r="N49" s="2025"/>
      <c r="O49" s="2025"/>
      <c r="P49" s="2025"/>
      <c r="Q49" s="2025"/>
      <c r="R49" s="2025"/>
      <c r="S49" s="2025"/>
      <c r="T49" s="2025"/>
      <c r="U49" s="2025"/>
      <c r="V49" s="2025"/>
    </row>
    <row r="50" spans="1:22" ht="12.75">
      <c r="A50" s="323">
        <v>3</v>
      </c>
      <c r="B50" s="324"/>
      <c r="C50" s="324"/>
      <c r="D50" s="319"/>
      <c r="E50" s="319"/>
      <c r="F50" s="319"/>
      <c r="G50" s="319"/>
      <c r="H50" s="325"/>
      <c r="I50" s="326"/>
      <c r="J50" s="2028"/>
      <c r="K50" s="2025"/>
      <c r="L50" s="2025"/>
      <c r="M50" s="2025"/>
      <c r="N50" s="2025"/>
      <c r="O50" s="2025"/>
      <c r="P50" s="2025"/>
      <c r="Q50" s="2025"/>
      <c r="R50" s="2025"/>
      <c r="S50" s="2025"/>
      <c r="T50" s="2025"/>
      <c r="U50" s="2025"/>
      <c r="V50" s="2025"/>
    </row>
    <row r="51" spans="1:22" ht="12.75">
      <c r="A51" s="327"/>
      <c r="B51" s="328"/>
      <c r="C51" s="328"/>
      <c r="D51" s="329"/>
      <c r="E51" s="329"/>
      <c r="F51" s="329"/>
      <c r="G51" s="329"/>
      <c r="H51" s="330"/>
      <c r="I51" s="331"/>
      <c r="J51" s="2028"/>
      <c r="K51" s="2025"/>
      <c r="L51" s="2025"/>
      <c r="M51" s="2025"/>
      <c r="N51" s="2025"/>
      <c r="O51" s="2025"/>
      <c r="P51" s="2025"/>
      <c r="Q51" s="2025"/>
      <c r="R51" s="2025"/>
      <c r="S51" s="2025"/>
      <c r="T51" s="2025"/>
      <c r="U51" s="2025"/>
      <c r="V51" s="2025"/>
    </row>
    <row r="52" spans="1:22" ht="12.75">
      <c r="A52" s="324"/>
      <c r="B52" s="324"/>
      <c r="C52" s="324"/>
      <c r="D52" s="319"/>
      <c r="E52" s="319"/>
      <c r="F52" s="319"/>
      <c r="G52" s="319"/>
      <c r="H52" s="325"/>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2" t="s">
        <v>362</v>
      </c>
      <c r="G53" s="333"/>
      <c r="H53" s="333"/>
      <c r="I53" s="334" t="s">
        <v>363</v>
      </c>
      <c r="J53" s="2028"/>
      <c r="K53" s="2025"/>
      <c r="L53" s="2025"/>
      <c r="M53" s="2025"/>
      <c r="N53" s="2025"/>
      <c r="O53" s="2025"/>
      <c r="P53" s="2025"/>
      <c r="Q53" s="2025"/>
      <c r="R53" s="2025"/>
      <c r="S53" s="2025"/>
      <c r="T53" s="2025"/>
      <c r="U53" s="2025"/>
      <c r="V53" s="2025"/>
    </row>
    <row r="54" spans="1:22" ht="12.75">
      <c r="A54" s="256"/>
      <c r="B54" s="335" t="s">
        <v>364</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3"/>
      <c r="C56" s="333"/>
      <c r="D56" s="333"/>
      <c r="E56" s="333"/>
      <c r="F56" s="333"/>
      <c r="G56" s="333"/>
      <c r="H56" s="333"/>
      <c r="I56" s="334" t="s">
        <v>365</v>
      </c>
      <c r="J56" s="2028"/>
      <c r="K56" s="2025"/>
      <c r="L56" s="2025"/>
      <c r="M56" s="2025"/>
      <c r="N56" s="2025"/>
      <c r="O56" s="2025"/>
      <c r="P56" s="2025"/>
      <c r="Q56" s="2025"/>
      <c r="R56" s="2025"/>
      <c r="S56" s="2025"/>
      <c r="T56" s="2025"/>
      <c r="U56" s="2025"/>
      <c r="V56" s="2025"/>
    </row>
    <row r="57" spans="1:22" ht="12.75">
      <c r="A57" s="256"/>
      <c r="B57" s="335" t="s">
        <v>366</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5"/>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3"/>
      <c r="C59" s="333"/>
      <c r="D59" s="333"/>
      <c r="E59" s="333"/>
      <c r="F59" s="333"/>
      <c r="G59" s="333"/>
      <c r="H59" s="333"/>
      <c r="I59" s="334" t="s">
        <v>365</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5"/>
      <c r="C61" s="336"/>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0" t="s">
        <v>367</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472" t="s">
        <v>368</v>
      </c>
      <c r="B63" s="3473"/>
      <c r="C63" s="3474"/>
      <c r="D63" s="337">
        <f ca="1">ROUND(C42*F63,0)</f>
        <v>3676</v>
      </c>
      <c r="E63" s="298" t="s">
        <v>369</v>
      </c>
      <c r="F63" s="338">
        <v>0.6</v>
      </c>
      <c r="G63" s="339" t="s">
        <v>370</v>
      </c>
      <c r="H63" s="307"/>
      <c r="I63" s="307"/>
      <c r="J63" s="2025"/>
      <c r="K63" s="2025"/>
      <c r="L63" s="2025"/>
      <c r="M63" s="2025"/>
      <c r="N63" s="2025"/>
      <c r="O63" s="2025"/>
      <c r="P63" s="307"/>
      <c r="Q63" s="2025"/>
      <c r="R63" s="2025"/>
      <c r="S63" s="2025"/>
      <c r="T63" s="2025"/>
      <c r="U63" s="2025"/>
      <c r="V63" s="2025"/>
    </row>
    <row r="64" spans="1:22" ht="14.25" customHeight="1">
      <c r="A64" s="3511" t="s">
        <v>372</v>
      </c>
      <c r="B64" s="3512"/>
      <c r="C64" s="3512"/>
      <c r="D64" s="3512"/>
      <c r="E64" s="3512"/>
      <c r="F64" s="3512"/>
      <c r="G64" s="3513"/>
      <c r="H64" s="1284"/>
      <c r="I64" s="944"/>
      <c r="J64" s="1987"/>
      <c r="K64" s="1557" t="s">
        <v>371</v>
      </c>
      <c r="L64" s="11"/>
      <c r="M64" s="11"/>
      <c r="N64" s="11"/>
      <c r="O64" s="11"/>
      <c r="P64" s="307"/>
      <c r="Q64" s="2025"/>
      <c r="R64" s="2025"/>
      <c r="S64" s="2025"/>
      <c r="T64" s="2025"/>
      <c r="U64" s="2025"/>
      <c r="V64" s="2025"/>
    </row>
    <row r="65" spans="1:22" ht="12" customHeight="1">
      <c r="A65" s="340" t="s">
        <v>374</v>
      </c>
      <c r="B65" s="341"/>
      <c r="C65" s="342"/>
      <c r="D65" s="343" t="s">
        <v>375</v>
      </c>
      <c r="E65" s="53" t="s">
        <v>376</v>
      </c>
      <c r="F65" s="344" t="s">
        <v>377</v>
      </c>
      <c r="G65" s="345" t="s">
        <v>378</v>
      </c>
      <c r="H65" s="1284"/>
      <c r="I65" s="944"/>
      <c r="J65" s="1987"/>
      <c r="K65" s="1285"/>
      <c r="L65" s="1286"/>
      <c r="M65" s="1286"/>
      <c r="N65" s="1318" t="s">
        <v>373</v>
      </c>
      <c r="O65" s="1319"/>
      <c r="P65" s="1320"/>
      <c r="Q65" s="2025"/>
      <c r="R65" s="2025"/>
      <c r="S65" s="2025"/>
      <c r="T65" s="2025"/>
      <c r="U65" s="2025"/>
      <c r="V65" s="2025"/>
    </row>
    <row r="66" spans="1:22" ht="25.5">
      <c r="A66" s="3508" t="s">
        <v>380</v>
      </c>
      <c r="B66" s="3479"/>
      <c r="C66" s="3479"/>
      <c r="D66" s="260">
        <f ca="1">IF(H66="情况1",0,IF(H66="情况2",D70,IF(H66="情况3",D71,IF(H66="情况4",D72))))</f>
        <v>196</v>
      </c>
      <c r="E66" s="3236" t="str">
        <f>IF(H66="情况4","(销售额-原购置价)×税（费）率","销售额×税（费）率")</f>
        <v>销售额×税（费）率</v>
      </c>
      <c r="F66" s="346">
        <f>IF(H66="情况1","免征",'数据-取费表'!B41)</f>
        <v>5.6000000000000001E-2</v>
      </c>
      <c r="G66" s="347" t="s">
        <v>381</v>
      </c>
      <c r="H66" s="190" t="s">
        <v>382</v>
      </c>
      <c r="I66" s="1284"/>
      <c r="J66" s="2031"/>
      <c r="K66" s="3247">
        <v>1</v>
      </c>
      <c r="L66" s="3448" t="s">
        <v>379</v>
      </c>
      <c r="M66" s="3449"/>
      <c r="N66" s="2455"/>
      <c r="O66" s="2456"/>
      <c r="P66" s="2457"/>
      <c r="Q66" s="2025"/>
      <c r="R66" s="2025"/>
      <c r="S66" s="2025"/>
      <c r="T66" s="2025"/>
      <c r="U66" s="2025"/>
      <c r="V66" s="2025"/>
    </row>
    <row r="67" spans="1:22" ht="25.5" customHeight="1">
      <c r="A67" s="348" t="s">
        <v>384</v>
      </c>
      <c r="B67" s="3491" t="s">
        <v>385</v>
      </c>
      <c r="C67" s="3491"/>
      <c r="D67" s="349">
        <v>0</v>
      </c>
      <c r="E67" s="41" t="s">
        <v>386</v>
      </c>
      <c r="F67" s="62" t="s">
        <v>21</v>
      </c>
      <c r="G67" s="3475"/>
      <c r="H67" s="307"/>
      <c r="I67" s="1288"/>
      <c r="J67" s="2032"/>
      <c r="K67" s="3244">
        <v>2</v>
      </c>
      <c r="L67" s="3447" t="s">
        <v>383</v>
      </c>
      <c r="M67" s="3447"/>
      <c r="N67" s="1321">
        <f>'数据-取费表'!B2</f>
        <v>43388</v>
      </c>
      <c r="O67" s="1321"/>
      <c r="P67" s="1321"/>
      <c r="Q67" s="2025"/>
      <c r="R67" s="2025"/>
      <c r="S67" s="2025"/>
      <c r="T67" s="2025"/>
      <c r="U67" s="2025"/>
      <c r="V67" s="2025"/>
    </row>
    <row r="68" spans="1:22" ht="25.5" customHeight="1">
      <c r="A68" s="350"/>
      <c r="B68" s="3491" t="s">
        <v>388</v>
      </c>
      <c r="C68" s="3491"/>
      <c r="D68" s="351"/>
      <c r="E68" s="77"/>
      <c r="F68" s="352"/>
      <c r="G68" s="3476"/>
      <c r="H68" s="307"/>
      <c r="I68" s="1288"/>
      <c r="J68" s="2032"/>
      <c r="K68" s="3244">
        <v>3</v>
      </c>
      <c r="L68" s="3447" t="s">
        <v>387</v>
      </c>
      <c r="M68" s="3447"/>
      <c r="N68" s="1289">
        <f ca="1">C42</f>
        <v>6126</v>
      </c>
      <c r="O68" s="1289"/>
      <c r="P68" s="1289"/>
      <c r="Q68" s="2025"/>
      <c r="R68" s="2025"/>
      <c r="S68" s="2025"/>
      <c r="T68" s="2025"/>
      <c r="U68" s="2025"/>
      <c r="V68" s="2025"/>
    </row>
    <row r="69" spans="1:22" ht="12" customHeight="1">
      <c r="A69" s="353"/>
      <c r="B69" s="3491" t="s">
        <v>389</v>
      </c>
      <c r="C69" s="3491"/>
      <c r="D69" s="354"/>
      <c r="E69" s="73"/>
      <c r="F69" s="352"/>
      <c r="G69" s="3477"/>
      <c r="H69" s="307"/>
      <c r="I69" s="1288"/>
      <c r="J69" s="2032"/>
      <c r="K69" s="3246">
        <v>4</v>
      </c>
      <c r="L69" s="3453" t="s">
        <v>2878</v>
      </c>
      <c r="M69" s="3454"/>
      <c r="N69" s="1291" t="str">
        <f>C44</f>
        <v>——</v>
      </c>
      <c r="O69" s="1291"/>
      <c r="P69" s="1291"/>
      <c r="Q69" s="2025"/>
      <c r="R69" s="2025"/>
      <c r="S69" s="2025"/>
      <c r="T69" s="2025"/>
      <c r="U69" s="2025"/>
      <c r="V69" s="2025"/>
    </row>
    <row r="70" spans="1:22" ht="24" customHeight="1">
      <c r="A70" s="355" t="s">
        <v>390</v>
      </c>
      <c r="B70" s="3491" t="s">
        <v>391</v>
      </c>
      <c r="C70" s="3491"/>
      <c r="D70" s="354">
        <f ca="1">ROUND(D63*'数据-取费表'!B41/(1+'数据-取费表'!C42),0)</f>
        <v>196</v>
      </c>
      <c r="E70" s="17" t="s">
        <v>392</v>
      </c>
      <c r="F70" s="356">
        <f>'数据-取费表'!B41</f>
        <v>5.6000000000000001E-2</v>
      </c>
      <c r="G70" s="357"/>
      <c r="H70" s="307"/>
      <c r="I70" s="1288"/>
      <c r="J70" s="2032"/>
      <c r="K70" s="3056"/>
      <c r="L70" s="3057"/>
      <c r="M70" s="3057"/>
      <c r="N70" s="3058" t="s">
        <v>2883</v>
      </c>
      <c r="O70" s="3057"/>
      <c r="P70" s="3059"/>
      <c r="Q70" s="2025"/>
      <c r="R70" s="2025"/>
      <c r="S70" s="2025"/>
      <c r="T70" s="2025"/>
      <c r="U70" s="2025"/>
      <c r="V70" s="2025"/>
    </row>
    <row r="71" spans="1:22" ht="12" customHeight="1">
      <c r="A71" s="355" t="s">
        <v>398</v>
      </c>
      <c r="B71" s="3490" t="s">
        <v>399</v>
      </c>
      <c r="C71" s="3502"/>
      <c r="D71" s="354">
        <f ca="1">ROUND(D63*'数据-取费表'!B41/(1+'数据-取费表'!C42),0)</f>
        <v>196</v>
      </c>
      <c r="E71" s="17" t="s">
        <v>392</v>
      </c>
      <c r="F71" s="356">
        <f>'数据-取费表'!B41</f>
        <v>5.6000000000000001E-2</v>
      </c>
      <c r="G71" s="357"/>
      <c r="H71" s="307"/>
      <c r="I71" s="1288"/>
      <c r="J71" s="2032"/>
      <c r="K71" s="3248" t="s">
        <v>393</v>
      </c>
      <c r="L71" s="3455" t="s">
        <v>394</v>
      </c>
      <c r="M71" s="3455"/>
      <c r="N71" s="3248" t="s">
        <v>395</v>
      </c>
      <c r="O71" s="3248" t="s">
        <v>396</v>
      </c>
      <c r="P71" s="3248" t="s">
        <v>397</v>
      </c>
      <c r="Q71" s="2025"/>
      <c r="R71" s="2025"/>
      <c r="S71" s="2025"/>
      <c r="T71" s="2025"/>
      <c r="U71" s="2025"/>
      <c r="V71" s="2025"/>
    </row>
    <row r="72" spans="1:22" ht="12" customHeight="1">
      <c r="A72" s="355" t="s">
        <v>401</v>
      </c>
      <c r="B72" s="3490" t="s">
        <v>402</v>
      </c>
      <c r="C72" s="3502"/>
      <c r="D72" s="354">
        <f ca="1">C86</f>
        <v>84</v>
      </c>
      <c r="E72" s="73" t="s">
        <v>403</v>
      </c>
      <c r="F72" s="356">
        <f>'数据-取费表'!B41</f>
        <v>5.6000000000000001E-2</v>
      </c>
      <c r="G72" s="357"/>
      <c r="H72" s="1294"/>
      <c r="I72" s="1288"/>
      <c r="J72" s="2032"/>
      <c r="K72" s="3244">
        <v>1</v>
      </c>
      <c r="L72" s="3452" t="s">
        <v>400</v>
      </c>
      <c r="M72" s="3452"/>
      <c r="N72" s="1292">
        <f ca="1">D66</f>
        <v>196</v>
      </c>
      <c r="O72" s="3243" t="str">
        <f>E66</f>
        <v>销售额×税（费）率</v>
      </c>
      <c r="P72" s="1293">
        <f>F66</f>
        <v>5.6000000000000001E-2</v>
      </c>
      <c r="Q72" s="2025"/>
      <c r="R72" s="2025"/>
      <c r="S72" s="2025"/>
      <c r="T72" s="2025"/>
      <c r="U72" s="2025"/>
      <c r="V72" s="2025"/>
    </row>
    <row r="73" spans="1:22" ht="24" customHeight="1">
      <c r="A73" s="3478" t="s">
        <v>405</v>
      </c>
      <c r="B73" s="3479"/>
      <c r="C73" s="3479"/>
      <c r="D73" s="358">
        <f>IF(H73="个人住宅",0,ROUND(D63*I73,0))</f>
        <v>0</v>
      </c>
      <c r="E73" s="17" t="s">
        <v>406</v>
      </c>
      <c r="F73" s="356" t="str">
        <f>IF(H73="正常",I73,"免征")</f>
        <v>免征</v>
      </c>
      <c r="G73" s="357"/>
      <c r="H73" s="190" t="s">
        <v>2450</v>
      </c>
      <c r="I73" s="356">
        <f>'数据-取费表'!B49</f>
        <v>5.0000000000000001E-4</v>
      </c>
      <c r="J73" s="2032"/>
      <c r="K73" s="3244">
        <v>2</v>
      </c>
      <c r="L73" s="3452" t="s">
        <v>404</v>
      </c>
      <c r="M73" s="3452"/>
      <c r="N73" s="1292">
        <f t="shared" ref="N73:P74" si="1">D73</f>
        <v>0</v>
      </c>
      <c r="O73" s="3243" t="str">
        <f t="shared" si="1"/>
        <v>销售额×税（费）率</v>
      </c>
      <c r="P73" s="1293" t="str">
        <f t="shared" si="1"/>
        <v>免征</v>
      </c>
      <c r="Q73" s="2025"/>
      <c r="R73" s="2025"/>
      <c r="S73" s="2025"/>
      <c r="T73" s="2025"/>
      <c r="U73" s="2025"/>
      <c r="V73" s="2025"/>
    </row>
    <row r="74" spans="1:22" ht="24.75">
      <c r="A74" s="3478" t="s">
        <v>409</v>
      </c>
      <c r="B74" s="3479"/>
      <c r="C74" s="3479"/>
      <c r="D74" s="358">
        <f ca="1">IF(H74="个人住宅",D75,D76)</f>
        <v>1425</v>
      </c>
      <c r="E74" s="17" t="s">
        <v>410</v>
      </c>
      <c r="F74" s="356" t="str">
        <f>IF(H74="正常",F76,"免征")</f>
        <v>——</v>
      </c>
      <c r="G74" s="979" t="s">
        <v>411</v>
      </c>
      <c r="H74" s="359" t="s">
        <v>407</v>
      </c>
      <c r="I74" s="42"/>
      <c r="J74" s="2032"/>
      <c r="K74" s="3244">
        <v>3</v>
      </c>
      <c r="L74" s="3452" t="s">
        <v>408</v>
      </c>
      <c r="M74" s="3452"/>
      <c r="N74" s="1292">
        <f t="shared" ca="1" si="1"/>
        <v>1425</v>
      </c>
      <c r="O74" s="3243" t="str">
        <f t="shared" si="1"/>
        <v>增值额×税（费）率</v>
      </c>
      <c r="P74" s="1295" t="str">
        <f t="shared" si="1"/>
        <v>——</v>
      </c>
      <c r="Q74" s="2025"/>
      <c r="R74" s="2025"/>
      <c r="S74" s="2025"/>
      <c r="T74" s="2025"/>
      <c r="U74" s="2025"/>
      <c r="V74" s="2025"/>
    </row>
    <row r="75" spans="1:22" ht="24">
      <c r="A75" s="355" t="s">
        <v>412</v>
      </c>
      <c r="B75" s="3459" t="s">
        <v>413</v>
      </c>
      <c r="C75" s="3460"/>
      <c r="D75" s="360">
        <v>0</v>
      </c>
      <c r="E75" s="41" t="s">
        <v>386</v>
      </c>
      <c r="F75" s="361"/>
      <c r="G75" s="357"/>
      <c r="H75" s="42"/>
      <c r="I75" s="42"/>
      <c r="J75" s="2032"/>
      <c r="K75" s="3244">
        <f>IF(H77="非个人房产","",4)</f>
        <v>4</v>
      </c>
      <c r="L75" s="3452" t="str">
        <f>IF(H77="非个人房产","——","个人所得税")</f>
        <v>个人所得税</v>
      </c>
      <c r="M75" s="3452"/>
      <c r="N75" s="1296">
        <f ca="1">D77</f>
        <v>37</v>
      </c>
      <c r="O75" s="1869" t="str">
        <f>E77</f>
        <v>销售额×税（费）率</v>
      </c>
      <c r="P75" s="1297">
        <f>F77</f>
        <v>0.01</v>
      </c>
      <c r="Q75" s="2025"/>
      <c r="R75" s="2025"/>
      <c r="S75" s="2025"/>
      <c r="T75" s="2025"/>
      <c r="U75" s="2025"/>
      <c r="V75" s="2025"/>
    </row>
    <row r="76" spans="1:22" ht="24.75">
      <c r="A76" s="355" t="s">
        <v>390</v>
      </c>
      <c r="B76" s="3459" t="s">
        <v>416</v>
      </c>
      <c r="C76" s="3501"/>
      <c r="D76" s="358">
        <f ca="1">IF(H76="转让取得",C99,C115)</f>
        <v>1425</v>
      </c>
      <c r="E76" s="17" t="s">
        <v>410</v>
      </c>
      <c r="F76" s="53" t="s">
        <v>21</v>
      </c>
      <c r="G76" s="357"/>
      <c r="H76" s="359" t="s">
        <v>418</v>
      </c>
      <c r="I76" s="42"/>
      <c r="J76" s="2032"/>
      <c r="K76" s="3244" t="str">
        <f>IF(项目基本情况!K6="上海银行",IF(K75="",4,K75+1),"")</f>
        <v/>
      </c>
      <c r="L76" s="3440" t="str">
        <f>IF(项目基本情况!K6="上海银行","其他处置费用","")</f>
        <v/>
      </c>
      <c r="M76" s="3441"/>
      <c r="N76" s="1292" t="str">
        <f>IF(项目基本情况!K6="上海银行",N89,"")</f>
        <v/>
      </c>
      <c r="O76" s="3442" t="str">
        <f>IF(项目基本情况!K6="上海银行","包含处置中涉及的律师、诉讼、拍卖、评估等费用","")</f>
        <v/>
      </c>
      <c r="P76" s="3443"/>
      <c r="Q76" s="2025"/>
      <c r="R76" s="2025"/>
      <c r="S76" s="2025"/>
      <c r="T76" s="2025"/>
      <c r="U76" s="2025"/>
      <c r="V76" s="2025"/>
    </row>
    <row r="77" spans="1:22" ht="26.25" thickBot="1">
      <c r="A77" s="3470" t="s">
        <v>420</v>
      </c>
      <c r="B77" s="3471"/>
      <c r="C77" s="3471"/>
      <c r="D77" s="362">
        <f ca="1">IF(H77="非个人房产","——",IF(H77="个人住宅",0,ROUND(D63*I77,0)))</f>
        <v>37</v>
      </c>
      <c r="E77" s="363" t="str">
        <f>IF(H77="非个人房产","——","销售额×税（费）率")</f>
        <v>销售额×税（费）率</v>
      </c>
      <c r="F77" s="364">
        <f>IF(H77="非个人房产","——",IF(H77="个人住宅","免征",I77))</f>
        <v>0.01</v>
      </c>
      <c r="G77" s="980" t="s">
        <v>411</v>
      </c>
      <c r="H77" s="359" t="s">
        <v>2879</v>
      </c>
      <c r="I77" s="365">
        <v>0.01</v>
      </c>
      <c r="J77" s="2032"/>
      <c r="K77" s="3466">
        <f>IF(AND(K75="",K76=""),4,IF(项目基本情况!K6="上海银行",K76+1,K75+1))</f>
        <v>5</v>
      </c>
      <c r="L77" s="3452" t="s">
        <v>2880</v>
      </c>
      <c r="M77" s="3054" t="s">
        <v>415</v>
      </c>
      <c r="N77" s="1298"/>
      <c r="O77" s="1299">
        <f ca="1">SUMIF(N72:N76,"&lt;9e307")</f>
        <v>1658</v>
      </c>
      <c r="P77" s="1300"/>
      <c r="Q77" s="3052" t="e">
        <f ca="1">O77/N69</f>
        <v>#VALUE!</v>
      </c>
      <c r="R77" s="2025"/>
      <c r="S77" s="2025"/>
      <c r="T77" s="2025"/>
      <c r="U77" s="2025"/>
      <c r="V77" s="2025"/>
    </row>
    <row r="78" spans="1:22" ht="12" customHeight="1">
      <c r="A78" s="1301"/>
      <c r="B78" s="307"/>
      <c r="C78" s="307"/>
      <c r="D78" s="307"/>
      <c r="E78" s="42"/>
      <c r="F78" s="42"/>
      <c r="G78" s="42"/>
      <c r="H78" s="999"/>
      <c r="I78" s="307"/>
      <c r="J78" s="2032"/>
      <c r="K78" s="3466"/>
      <c r="L78" s="3452"/>
      <c r="M78" s="3054" t="s">
        <v>419</v>
      </c>
      <c r="N78" s="1298"/>
      <c r="O78" s="1299" t="str">
        <f ca="1">NUMBERSTRING(INT(O77*10000),2)&amp;"元整"</f>
        <v>壹仟陆佰伍拾捌万元整</v>
      </c>
      <c r="P78" s="1300"/>
      <c r="Q78" s="2025"/>
      <c r="R78" s="2025"/>
      <c r="S78" s="2025"/>
      <c r="T78" s="2025"/>
      <c r="U78" s="2025"/>
      <c r="V78" s="2025"/>
    </row>
    <row r="79" spans="1:22" ht="13.5" thickBot="1">
      <c r="A79" s="3456" t="s">
        <v>421</v>
      </c>
      <c r="B79" s="3456"/>
      <c r="C79" s="3456"/>
      <c r="D79" s="3456"/>
      <c r="E79" s="3456"/>
      <c r="F79" s="42"/>
      <c r="G79" s="42"/>
      <c r="H79" s="999"/>
      <c r="I79" s="307"/>
      <c r="J79" s="2032"/>
      <c r="K79" s="3450">
        <f>K77+1</f>
        <v>6</v>
      </c>
      <c r="L79" s="3452" t="s">
        <v>2881</v>
      </c>
      <c r="M79" s="3054" t="s">
        <v>415</v>
      </c>
      <c r="N79" s="1298"/>
      <c r="O79" s="1299" t="e">
        <f ca="1">N69-O77</f>
        <v>#VALUE!</v>
      </c>
      <c r="P79" s="1300"/>
      <c r="Q79" s="2025"/>
      <c r="R79" s="2025"/>
      <c r="S79" s="2025"/>
      <c r="T79" s="2025"/>
      <c r="U79" s="2025"/>
      <c r="V79" s="2025"/>
    </row>
    <row r="80" spans="1:22" ht="12.75">
      <c r="A80" s="3457" t="s">
        <v>422</v>
      </c>
      <c r="B80" s="3458"/>
      <c r="C80" s="3242"/>
      <c r="D80" s="3242" t="s">
        <v>423</v>
      </c>
      <c r="E80" s="366" t="s">
        <v>424</v>
      </c>
      <c r="F80" s="42"/>
      <c r="G80" s="42"/>
      <c r="H80" s="999"/>
      <c r="I80" s="307"/>
      <c r="J80" s="2025"/>
      <c r="K80" s="3451"/>
      <c r="L80" s="3452"/>
      <c r="M80" s="3054" t="s">
        <v>419</v>
      </c>
      <c r="N80" s="1298"/>
      <c r="O80" s="1299" t="e">
        <f ca="1">NUMBERSTRING(INT(O79*10000),2)&amp;"元整"</f>
        <v>#VALUE!</v>
      </c>
      <c r="P80" s="1300"/>
      <c r="Q80" s="2025"/>
      <c r="R80" s="2025"/>
      <c r="S80" s="2025"/>
      <c r="T80" s="2025"/>
      <c r="U80" s="2025"/>
      <c r="V80" s="2025"/>
    </row>
    <row r="81" spans="1:26" ht="13.5" thickBot="1">
      <c r="A81" s="377" t="s">
        <v>1816</v>
      </c>
      <c r="B81" s="367" t="s">
        <v>425</v>
      </c>
      <c r="C81" s="368">
        <f ca="1">ROUND((C82+C83)/(1+'数据-取费表'!C42),0)</f>
        <v>3501</v>
      </c>
      <c r="D81" s="369"/>
      <c r="E81" s="370"/>
      <c r="F81" s="42"/>
      <c r="G81" s="42"/>
      <c r="H81" s="999"/>
      <c r="I81" s="307"/>
      <c r="J81" s="2025"/>
      <c r="K81" s="3244">
        <f>K79+1</f>
        <v>7</v>
      </c>
      <c r="L81" s="3464" t="s">
        <v>2882</v>
      </c>
      <c r="M81" s="3465"/>
      <c r="N81" s="1302"/>
      <c r="O81" s="1303" t="e">
        <f ca="1">ROUND(O79*10000/'数据-汇总表'!E3,0)</f>
        <v>#VALUE!</v>
      </c>
      <c r="P81" s="1304"/>
      <c r="Q81" s="2025"/>
      <c r="R81" s="2025"/>
      <c r="S81" s="2025"/>
      <c r="T81" s="2025"/>
      <c r="U81" s="2025"/>
      <c r="V81" s="2025"/>
    </row>
    <row r="82" spans="1:26" ht="13.5" thickTop="1">
      <c r="A82" s="371" t="s">
        <v>1817</v>
      </c>
      <c r="B82" s="372" t="s">
        <v>426</v>
      </c>
      <c r="C82" s="373">
        <f ca="1">D63</f>
        <v>3676</v>
      </c>
      <c r="D82" s="374" t="s">
        <v>19</v>
      </c>
      <c r="E82" s="375"/>
      <c r="F82" s="42"/>
      <c r="G82" s="42"/>
      <c r="H82" s="999"/>
      <c r="I82" s="307"/>
      <c r="J82" s="2025"/>
      <c r="K82" s="2025"/>
      <c r="L82" s="2025"/>
      <c r="M82" s="2025"/>
      <c r="N82" s="2025"/>
      <c r="O82" s="2025"/>
      <c r="P82" s="2025"/>
      <c r="Q82" s="2025"/>
      <c r="R82" s="2025"/>
      <c r="S82" s="2025"/>
      <c r="T82" s="2025"/>
      <c r="U82" s="2025"/>
      <c r="V82" s="2025"/>
    </row>
    <row r="83" spans="1:26" ht="12.75">
      <c r="A83" s="371" t="s">
        <v>1818</v>
      </c>
      <c r="B83" s="372" t="s">
        <v>427</v>
      </c>
      <c r="C83" s="376">
        <v>0</v>
      </c>
      <c r="D83" s="374"/>
      <c r="E83" s="375"/>
      <c r="F83" s="42"/>
      <c r="G83" s="42"/>
      <c r="H83" s="999"/>
      <c r="I83" s="307"/>
      <c r="J83" s="2025"/>
      <c r="K83" s="3439" t="s">
        <v>2869</v>
      </c>
      <c r="L83" s="3245" t="s">
        <v>2870</v>
      </c>
      <c r="M83" s="3050" t="e">
        <f>IF(N69&gt;10000,N69*0.5%,IF(AND(N69&gt;1000,N69&lt;=10000),N69*1%,IF(AND(N69&gt;100,N69&lt;=1000),N69*3%,IF(AND(N69&gt;10,N69&lt;=100),N69*5%,N69*8%))))</f>
        <v>#VALUE!</v>
      </c>
      <c r="N83" s="53" t="e">
        <f>ROUND(M83,1)</f>
        <v>#VALUE!</v>
      </c>
      <c r="O83" s="3053"/>
      <c r="P83" s="2025"/>
      <c r="Q83" s="2025"/>
      <c r="R83" s="2025"/>
      <c r="S83" s="2025"/>
      <c r="T83" s="2025"/>
      <c r="U83" s="2025"/>
      <c r="V83" s="2025"/>
    </row>
    <row r="84" spans="1:26" ht="12.75">
      <c r="A84" s="377" t="s">
        <v>1819</v>
      </c>
      <c r="B84" s="378" t="s">
        <v>428</v>
      </c>
      <c r="C84" s="379">
        <v>2000</v>
      </c>
      <c r="D84" s="380" t="s">
        <v>19</v>
      </c>
      <c r="E84" s="3095" t="s">
        <v>2938</v>
      </c>
      <c r="F84" s="42"/>
      <c r="G84" s="42"/>
      <c r="H84" s="999"/>
      <c r="I84" s="307"/>
      <c r="J84" s="2025"/>
      <c r="K84" s="3439"/>
      <c r="L84" s="3245" t="s">
        <v>2871</v>
      </c>
      <c r="M84" s="305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2872</v>
      </c>
      <c r="P84" s="2025"/>
      <c r="Q84" s="2025"/>
      <c r="R84" s="2025"/>
      <c r="S84" s="2025"/>
      <c r="T84" s="2025"/>
      <c r="U84" s="2025"/>
      <c r="V84" s="2025"/>
    </row>
    <row r="85" spans="1:26" ht="12.75">
      <c r="A85" s="377" t="s">
        <v>1820</v>
      </c>
      <c r="B85" s="378" t="s">
        <v>429</v>
      </c>
      <c r="C85" s="381">
        <f ca="1">C81-C84</f>
        <v>1501</v>
      </c>
      <c r="D85" s="374" t="s">
        <v>19</v>
      </c>
      <c r="E85" s="375"/>
      <c r="F85" s="42"/>
      <c r="G85" s="42"/>
      <c r="H85" s="999"/>
      <c r="I85" s="307"/>
      <c r="J85" s="2025"/>
      <c r="K85" s="3439"/>
      <c r="L85" s="3245" t="s">
        <v>2873</v>
      </c>
      <c r="M85" s="3050" t="e">
        <f>IF(N69&gt;1000,N69*0.1%,IF(AND(N69&gt;500,N69&lt;=1000),N69*0.5%,IF(AND(N69&gt;50,N69&lt;=500),N69*1%,IF(AND(N69&gt;1,N69&lt;=50),N69*1.5%))))</f>
        <v>#VALUE!</v>
      </c>
      <c r="N85" s="53" t="e">
        <f t="shared" si="2"/>
        <v>#VALUE!</v>
      </c>
      <c r="O85" s="2025" t="s">
        <v>2872</v>
      </c>
      <c r="P85" s="2025"/>
      <c r="Q85" s="2025"/>
      <c r="R85" s="2025"/>
      <c r="S85" s="2025"/>
      <c r="T85" s="2025"/>
      <c r="U85" s="2025"/>
      <c r="V85" s="2025"/>
    </row>
    <row r="86" spans="1:26" ht="13.5" thickBot="1">
      <c r="A86" s="382" t="s">
        <v>1821</v>
      </c>
      <c r="B86" s="383" t="s">
        <v>430</v>
      </c>
      <c r="C86" s="384">
        <f ca="1">IF(C85&lt;=0,0,ROUND(C85*D86,0))</f>
        <v>84</v>
      </c>
      <c r="D86" s="385">
        <f>'数据-取费表'!B41</f>
        <v>5.6000000000000001E-2</v>
      </c>
      <c r="E86" s="386"/>
      <c r="F86" s="42"/>
      <c r="G86" s="42"/>
      <c r="H86" s="999"/>
      <c r="I86" s="307"/>
      <c r="J86" s="2025"/>
      <c r="K86" s="3439"/>
      <c r="L86" s="3245" t="s">
        <v>2874</v>
      </c>
      <c r="M86" s="3050" t="e">
        <f>N69*0.5%</f>
        <v>#VALUE!</v>
      </c>
      <c r="N86" s="53" t="e">
        <f>IF(M86&gt;0.5,0.5,ROUND(M86,0))</f>
        <v>#VALUE!</v>
      </c>
      <c r="O86" s="2025" t="s">
        <v>2875</v>
      </c>
      <c r="P86" s="2025"/>
      <c r="Q86" s="2025"/>
      <c r="R86" s="2025"/>
      <c r="S86" s="2025"/>
      <c r="T86" s="2025"/>
      <c r="U86" s="2025"/>
      <c r="V86" s="2025"/>
    </row>
    <row r="87" spans="1:26" s="1250" customFormat="1" ht="14.25" customHeight="1">
      <c r="A87" s="1305"/>
      <c r="B87" s="1306"/>
      <c r="C87" s="1307"/>
      <c r="D87" s="1308"/>
      <c r="E87" s="1309"/>
      <c r="F87" s="42"/>
      <c r="G87" s="42"/>
      <c r="H87" s="999"/>
      <c r="I87" s="307"/>
      <c r="J87" s="2025"/>
      <c r="K87" s="3439"/>
      <c r="L87" s="3245" t="s">
        <v>2876</v>
      </c>
      <c r="M87" s="305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3"/>
      <c r="P87" s="307"/>
      <c r="Q87" s="2025"/>
      <c r="R87" s="2025"/>
      <c r="S87" s="2025"/>
      <c r="T87" s="2025"/>
      <c r="U87" s="2025"/>
      <c r="V87" s="2025"/>
      <c r="W87" s="288"/>
      <c r="X87" s="288"/>
      <c r="Y87" s="288"/>
      <c r="Z87" s="288"/>
    </row>
    <row r="88" spans="1:26" s="1310" customFormat="1" ht="15" thickBot="1">
      <c r="A88" s="3493" t="s">
        <v>431</v>
      </c>
      <c r="B88" s="3494"/>
      <c r="C88" s="3494"/>
      <c r="D88" s="3494"/>
      <c r="E88" s="3494"/>
      <c r="F88" s="3494"/>
      <c r="G88" s="3494"/>
      <c r="H88" s="3494"/>
      <c r="I88" s="1311"/>
      <c r="J88" s="2033"/>
      <c r="K88" s="3439"/>
      <c r="L88" s="3245" t="s">
        <v>2877</v>
      </c>
      <c r="M88" s="3050" t="e">
        <f>IF(N69&gt;10000,N69*0.5%,IF(AND(N69&gt;5000,N69&lt;=10000),N69*1%,IF(AND(N69&gt;1000,N69&lt;=5000),N69*2%,IF(AND(N69&gt;200,N69&lt;=1000),N69*3%,N69*5%))))</f>
        <v>#VALUE!</v>
      </c>
      <c r="N88" s="53" t="e">
        <f>ROUND(M88,1)</f>
        <v>#VALUE!</v>
      </c>
      <c r="O88" s="3053"/>
      <c r="P88" s="11"/>
      <c r="Q88" s="2030"/>
      <c r="R88" s="2030"/>
      <c r="S88" s="2030"/>
      <c r="T88" s="2030"/>
      <c r="U88" s="2030"/>
      <c r="V88" s="2030"/>
      <c r="W88" s="2034"/>
      <c r="X88" s="2034"/>
      <c r="Y88" s="2034"/>
      <c r="Z88" s="2034"/>
    </row>
    <row r="89" spans="1:26" s="1310" customFormat="1" ht="14.25">
      <c r="A89" s="3457" t="s">
        <v>422</v>
      </c>
      <c r="B89" s="3458"/>
      <c r="C89" s="3242"/>
      <c r="D89" s="3242" t="s">
        <v>423</v>
      </c>
      <c r="E89" s="387" t="s">
        <v>424</v>
      </c>
      <c r="F89" s="388"/>
      <c r="G89" s="388"/>
      <c r="H89" s="389"/>
      <c r="I89" s="1312"/>
      <c r="J89" s="2035"/>
      <c r="K89" s="3439"/>
      <c r="L89" s="3245" t="s">
        <v>27</v>
      </c>
      <c r="M89" s="3051"/>
      <c r="N89" s="53" t="e">
        <f>ROUND(SUM(N83:N88),0)</f>
        <v>#VALUE!</v>
      </c>
      <c r="O89" s="3061" t="e">
        <f>N89/N69</f>
        <v>#VALUE!</v>
      </c>
      <c r="P89" s="2030"/>
      <c r="Q89" s="2030"/>
      <c r="R89" s="2030"/>
      <c r="S89" s="2030"/>
      <c r="T89" s="2030"/>
      <c r="U89" s="2030"/>
      <c r="V89" s="2030"/>
      <c r="W89" s="2034"/>
      <c r="X89" s="2034"/>
      <c r="Y89" s="2034"/>
      <c r="Z89" s="2034"/>
    </row>
    <row r="90" spans="1:26" s="1310" customFormat="1" ht="14.25">
      <c r="A90" s="377" t="s">
        <v>1816</v>
      </c>
      <c r="B90" s="378" t="s">
        <v>433</v>
      </c>
      <c r="C90" s="381">
        <f ca="1">ROUND(D63/(1+'数据-取费表'!C42),0)</f>
        <v>3501</v>
      </c>
      <c r="D90" s="374" t="s">
        <v>19</v>
      </c>
      <c r="E90" s="3235"/>
      <c r="F90" s="3234"/>
      <c r="G90" s="3234"/>
      <c r="H90" s="390"/>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7" t="s">
        <v>1819</v>
      </c>
      <c r="B91" s="344" t="s">
        <v>434</v>
      </c>
      <c r="C91" s="381">
        <f ca="1">C92+C96</f>
        <v>2582</v>
      </c>
      <c r="D91" s="374" t="s">
        <v>19</v>
      </c>
      <c r="E91" s="3235"/>
      <c r="F91" s="3234"/>
      <c r="G91" s="3234"/>
      <c r="H91" s="390"/>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1" t="s">
        <v>1817</v>
      </c>
      <c r="B92" s="372" t="s">
        <v>435</v>
      </c>
      <c r="C92" s="374">
        <f>ROUND(IF(G95="2016年5月1日后购买",C93/(1+'数据-取费表'!C30)+C94+C95,C93+C94+C95),0)</f>
        <v>2561</v>
      </c>
      <c r="D92" s="374" t="s">
        <v>19</v>
      </c>
      <c r="E92" s="3235"/>
      <c r="F92" s="3234"/>
      <c r="G92" s="3234"/>
      <c r="H92" s="390"/>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1" t="s">
        <v>1824</v>
      </c>
      <c r="B93" s="372" t="s">
        <v>436</v>
      </c>
      <c r="C93" s="392">
        <v>2000</v>
      </c>
      <c r="D93" s="374" t="s">
        <v>19</v>
      </c>
      <c r="E93" s="393" t="s">
        <v>437</v>
      </c>
      <c r="F93" s="394" t="s">
        <v>438</v>
      </c>
      <c r="G93" s="393" t="s">
        <v>439</v>
      </c>
      <c r="H93" s="395">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1" t="s">
        <v>1825</v>
      </c>
      <c r="B94" s="396" t="s">
        <v>440</v>
      </c>
      <c r="C94" s="374">
        <f>IF(F93="购房发票",ROUND(C93*H93*5%,0),0)</f>
        <v>500</v>
      </c>
      <c r="D94" s="397">
        <v>0.05</v>
      </c>
      <c r="E94" s="3490" t="s">
        <v>441</v>
      </c>
      <c r="F94" s="3491"/>
      <c r="G94" s="3491"/>
      <c r="H94" s="3492"/>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1" t="s">
        <v>1826</v>
      </c>
      <c r="B95" s="372" t="s">
        <v>442</v>
      </c>
      <c r="C95" s="374">
        <f>ROUND(IF(G95="个人买卖住房",0,IF(G95="2016年5月1日前购买",C93*D95,C93*D95/(1+'数据-取费表'!C42))),0)</f>
        <v>61</v>
      </c>
      <c r="D95" s="398">
        <f>'数据-取费表'!B48+'数据-取费表'!B49</f>
        <v>3.0499999999999999E-2</v>
      </c>
      <c r="E95" s="26" t="s">
        <v>443</v>
      </c>
      <c r="F95" s="399"/>
      <c r="G95" s="400" t="s">
        <v>2424</v>
      </c>
      <c r="H95" s="3241"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1" t="s">
        <v>1818</v>
      </c>
      <c r="B96" s="372" t="s">
        <v>444</v>
      </c>
      <c r="C96" s="401">
        <f ca="1">ROUND(D63*D96/(1+'数据-取费表'!C42),0)</f>
        <v>21</v>
      </c>
      <c r="D96" s="402">
        <f>'数据-取费表'!B43</f>
        <v>6.000000000000001E-3</v>
      </c>
      <c r="E96" s="3480" t="s">
        <v>2423</v>
      </c>
      <c r="F96" s="3481"/>
      <c r="G96" s="3481"/>
      <c r="H96" s="3482"/>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3" t="s">
        <v>1820</v>
      </c>
      <c r="B97" s="378" t="s">
        <v>445</v>
      </c>
      <c r="C97" s="381">
        <f ca="1">C90-C91</f>
        <v>919</v>
      </c>
      <c r="D97" s="374" t="s">
        <v>19</v>
      </c>
      <c r="E97" s="3235"/>
      <c r="F97" s="3234"/>
      <c r="G97" s="3234"/>
      <c r="H97" s="390"/>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1821</v>
      </c>
      <c r="B98" s="378" t="s">
        <v>446</v>
      </c>
      <c r="C98" s="403">
        <f ca="1">IF(C97&lt;=0,0,C97/C91)</f>
        <v>0.35592563903950425</v>
      </c>
      <c r="D98" s="374"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3234"/>
      <c r="G98" s="3234"/>
      <c r="H98" s="390"/>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4" t="s">
        <v>1830</v>
      </c>
      <c r="B99" s="383" t="s">
        <v>447</v>
      </c>
      <c r="C99" s="404">
        <f ca="1">ROUND(IF(C97&lt;=0,0,IF(C98&gt;=200%,C97*60%-C91*35%,IF(C98&gt;=100%,C97*50%-C91*15%,IF(C98&gt;=50%,C97*40%-C91*5%,IF(C98&lt;50%,C97*30%,0))))),0)</f>
        <v>276</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7"/>
      <c r="G99" s="407"/>
      <c r="H99" s="408"/>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493" t="s">
        <v>448</v>
      </c>
      <c r="B101" s="3494"/>
      <c r="C101" s="3494"/>
      <c r="D101" s="3494"/>
      <c r="E101" s="3494"/>
      <c r="F101" s="3494"/>
      <c r="G101" s="3494"/>
      <c r="H101" s="3494"/>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457" t="s">
        <v>422</v>
      </c>
      <c r="B102" s="3458"/>
      <c r="C102" s="3242"/>
      <c r="D102" s="3242" t="s">
        <v>423</v>
      </c>
      <c r="E102" s="387" t="s">
        <v>424</v>
      </c>
      <c r="F102" s="388"/>
      <c r="G102" s="388"/>
      <c r="H102" s="409"/>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7" t="s">
        <v>1816</v>
      </c>
      <c r="B103" s="378" t="s">
        <v>433</v>
      </c>
      <c r="C103" s="381">
        <f ca="1">ROUND(D63/(1+'数据-取费表'!C42),0)</f>
        <v>3501</v>
      </c>
      <c r="D103" s="374" t="s">
        <v>19</v>
      </c>
      <c r="E103" s="3235"/>
      <c r="F103" s="3234"/>
      <c r="G103" s="3234"/>
      <c r="H103" s="410"/>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7" t="s">
        <v>1819</v>
      </c>
      <c r="B104" s="344" t="s">
        <v>434</v>
      </c>
      <c r="C104" s="381">
        <f ca="1">IF(H106="仅含出让金",C105+C108+C109+C110+C111+C112,C105+C109+C110+C111+C112)</f>
        <v>711</v>
      </c>
      <c r="D104" s="411"/>
      <c r="E104" s="3235"/>
      <c r="F104" s="3234"/>
      <c r="G104" s="3234"/>
      <c r="H104" s="410"/>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1" t="s">
        <v>1817</v>
      </c>
      <c r="B105" s="372" t="s">
        <v>449</v>
      </c>
      <c r="C105" s="401">
        <f>C106+C107</f>
        <v>572</v>
      </c>
      <c r="D105" s="402"/>
      <c r="E105" s="3240"/>
      <c r="F105" s="3238"/>
      <c r="G105" s="3238"/>
      <c r="H105" s="3239"/>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1" t="s">
        <v>1824</v>
      </c>
      <c r="B106" s="372" t="s">
        <v>450</v>
      </c>
      <c r="C106" s="412">
        <v>555</v>
      </c>
      <c r="D106" s="402"/>
      <c r="E106" s="413" t="s">
        <v>451</v>
      </c>
      <c r="F106" s="3238"/>
      <c r="G106" s="414" t="s">
        <v>452</v>
      </c>
      <c r="H106" s="415" t="s">
        <v>2434</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1" t="s">
        <v>1825</v>
      </c>
      <c r="B107" s="372" t="s">
        <v>442</v>
      </c>
      <c r="C107" s="401">
        <f>ROUND(C106*D107,0)</f>
        <v>17</v>
      </c>
      <c r="D107" s="402">
        <f>'数据-取费表'!B48+'数据-取费表'!B49</f>
        <v>3.0499999999999999E-2</v>
      </c>
      <c r="E107" s="413" t="s">
        <v>453</v>
      </c>
      <c r="F107" s="3238"/>
      <c r="G107" s="3238"/>
      <c r="H107" s="3239"/>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1" t="s">
        <v>1818</v>
      </c>
      <c r="B108" s="372" t="s">
        <v>454</v>
      </c>
      <c r="C108" s="412"/>
      <c r="D108" s="402"/>
      <c r="E108" s="413" t="str">
        <f>IF(H106="-","土地取得成本中已包含该笔费用"," ")</f>
        <v xml:space="preserve"> </v>
      </c>
      <c r="F108" s="3238"/>
      <c r="G108" s="3238"/>
      <c r="H108" s="3239"/>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1831</v>
      </c>
      <c r="B109" s="372" t="s">
        <v>455</v>
      </c>
      <c r="C109" s="401">
        <f>IF(H109="——",IF(F1="现房",'剩余法-现房'!C18,'剩余法-待开发'!C18),I109)</f>
        <v>55</v>
      </c>
      <c r="D109" s="402"/>
      <c r="E109" s="3483" t="s">
        <v>456</v>
      </c>
      <c r="F109" s="3481"/>
      <c r="G109" s="3481"/>
      <c r="H109" s="1938" t="s">
        <v>2274</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1832</v>
      </c>
      <c r="B110" s="372" t="s">
        <v>457</v>
      </c>
      <c r="C110" s="401">
        <f>ROUND((C105+C108+C109)*D110,0)</f>
        <v>63</v>
      </c>
      <c r="D110" s="402">
        <v>0.1</v>
      </c>
      <c r="E110" s="3483" t="s">
        <v>458</v>
      </c>
      <c r="F110" s="3481"/>
      <c r="G110" s="3481"/>
      <c r="H110" s="3482"/>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1833</v>
      </c>
      <c r="B111" s="372" t="s">
        <v>444</v>
      </c>
      <c r="C111" s="401">
        <f ca="1">ROUND(D63*D111/(1+'数据-取费表'!C42),0)</f>
        <v>21</v>
      </c>
      <c r="D111" s="402">
        <f>'数据-取费表'!B43</f>
        <v>6.000000000000001E-3</v>
      </c>
      <c r="E111" s="3480" t="s">
        <v>2423</v>
      </c>
      <c r="F111" s="3481"/>
      <c r="G111" s="3481"/>
      <c r="H111" s="3482"/>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1834</v>
      </c>
      <c r="B112" s="372" t="s">
        <v>459</v>
      </c>
      <c r="C112" s="401">
        <f>ROUND(C108*D112,0)</f>
        <v>0</v>
      </c>
      <c r="D112" s="402">
        <v>0.2</v>
      </c>
      <c r="E112" s="3483" t="s">
        <v>2448</v>
      </c>
      <c r="F112" s="3481"/>
      <c r="G112" s="3481"/>
      <c r="H112" s="3482"/>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3" t="s">
        <v>1820</v>
      </c>
      <c r="B113" s="378" t="s">
        <v>445</v>
      </c>
      <c r="C113" s="381">
        <f ca="1">ROUND(C103-C104,0)</f>
        <v>2790</v>
      </c>
      <c r="D113" s="374" t="s">
        <v>19</v>
      </c>
      <c r="E113" s="3235"/>
      <c r="F113" s="3234"/>
      <c r="G113" s="3234"/>
      <c r="H113" s="410"/>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1821</v>
      </c>
      <c r="B114" s="378" t="s">
        <v>446</v>
      </c>
      <c r="C114" s="403">
        <f ca="1">IF(C113&lt;=0,0,C113/C104)</f>
        <v>3.9240506329113924</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4"/>
      <c r="G114" s="3234"/>
      <c r="H114" s="410"/>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4" t="s">
        <v>1830</v>
      </c>
      <c r="B115" s="383" t="s">
        <v>447</v>
      </c>
      <c r="C115" s="404">
        <f ca="1">ROUND(IF(C113&lt;=0,0,IF(C114&gt;=200%,C113*60%-C104*35%,IF(C114&gt;=100%,C113*50%-C104*15%,IF(C114&gt;=50%,C113*40%-C104*5%,IF(C114&lt;50%,C113*30%,0))))),0)</f>
        <v>1425</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3" type="noConversion"/>
  <conditionalFormatting sqref="C5:C7">
    <cfRule type="cellIs" dxfId="176" priority="10" stopIfTrue="1" operator="equal">
      <formula>25</formula>
    </cfRule>
  </conditionalFormatting>
  <conditionalFormatting sqref="C8:C9">
    <cfRule type="cellIs" dxfId="175" priority="9" stopIfTrue="1" operator="equal">
      <formula>15</formula>
    </cfRule>
  </conditionalFormatting>
  <conditionalFormatting sqref="C14:C16">
    <cfRule type="cellIs" dxfId="174" priority="8" stopIfTrue="1" operator="equal">
      <formula>30</formula>
    </cfRule>
  </conditionalFormatting>
  <conditionalFormatting sqref="D5:D7">
    <cfRule type="cellIs" dxfId="173" priority="7" stopIfTrue="1" operator="equal">
      <formula>25</formula>
    </cfRule>
  </conditionalFormatting>
  <conditionalFormatting sqref="D8:D9">
    <cfRule type="cellIs" dxfId="172" priority="6" stopIfTrue="1" operator="equal">
      <formula>15</formula>
    </cfRule>
  </conditionalFormatting>
  <conditionalFormatting sqref="C10:D13">
    <cfRule type="cellIs" dxfId="171" priority="5" stopIfTrue="1" operator="equal">
      <formula>15</formula>
    </cfRule>
  </conditionalFormatting>
  <conditionalFormatting sqref="D14:D16">
    <cfRule type="cellIs" dxfId="170" priority="4"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90" zoomScaleNormal="90" workbookViewId="0">
      <selection activeCell="E11" sqref="E1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1687</v>
      </c>
      <c r="B1" s="1396"/>
      <c r="C1" s="1402" t="s">
        <v>986</v>
      </c>
      <c r="D1" s="1517">
        <f>SUM(D29:D30,D33:D39)</f>
        <v>9696</v>
      </c>
      <c r="E1" s="1402" t="s">
        <v>2422</v>
      </c>
      <c r="F1" s="2449">
        <f>'数据-汇总表'!D20</f>
        <v>2499.98</v>
      </c>
      <c r="G1" s="1397"/>
      <c r="H1" s="1397"/>
      <c r="I1" s="1397"/>
      <c r="J1" s="1397"/>
      <c r="K1" s="1397"/>
      <c r="L1" s="1879" t="s">
        <v>2233</v>
      </c>
      <c r="M1" s="1880">
        <f>SUMPRODUCT((区片价!B5:B9=I2)*(区片价!C3:F3=E2)*(区片价!C5:F9))</f>
        <v>0</v>
      </c>
      <c r="N1" s="1881">
        <f>SUMPRODUCT((因素修正幅度!B5:B9=I2)*(因素修正幅度!C3:F3=E2)*(因素修正幅度!C5:F9))</f>
        <v>0</v>
      </c>
      <c r="O1" s="2186"/>
      <c r="P1" s="2186"/>
      <c r="Q1" s="2186"/>
      <c r="R1" s="2933" t="s">
        <v>2757</v>
      </c>
      <c r="S1" s="2933" t="s">
        <v>1630</v>
      </c>
      <c r="T1" s="2933" t="s">
        <v>2779</v>
      </c>
      <c r="U1" s="2933" t="s">
        <v>2780</v>
      </c>
      <c r="V1" s="2933" t="s">
        <v>987</v>
      </c>
      <c r="W1" s="2186"/>
      <c r="X1" s="2186"/>
      <c r="Y1" s="2186"/>
      <c r="Z1" s="2186"/>
      <c r="AA1" s="2186"/>
      <c r="AB1" s="2186"/>
      <c r="AC1" s="2187"/>
    </row>
    <row r="2" spans="1:39" ht="15.75">
      <c r="A2" s="1402" t="s">
        <v>914</v>
      </c>
      <c r="B2" s="1034">
        <f ca="1">C26</f>
        <v>4977</v>
      </c>
      <c r="C2" s="1403" t="s">
        <v>915</v>
      </c>
      <c r="D2" s="1404" t="s">
        <v>916</v>
      </c>
      <c r="E2" s="1405" t="s">
        <v>2995</v>
      </c>
      <c r="F2" s="1404" t="s">
        <v>918</v>
      </c>
      <c r="G2" s="1648" t="str">
        <f>IF(E2="商业",项目基本情况!B43,IF(E2="办公",项目基本情况!C43,IF(E2="住宅",项目基本情况!D43,项目基本情况!E43)))</f>
        <v>九级</v>
      </c>
      <c r="H2" s="1404" t="s">
        <v>920</v>
      </c>
      <c r="I2" s="1649" t="str">
        <f>IF(E2="商业",项目基本情况!B44,IF(E2="办公",项目基本情况!C44,IF(E2="住宅",项目基本情况!D44,项目基本情况!E44)))</f>
        <v>Ⅸ-01</v>
      </c>
      <c r="J2" s="1406"/>
      <c r="K2" s="1397"/>
      <c r="L2" s="1882" t="s">
        <v>2234</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1.9419999999999999</v>
      </c>
      <c r="T2" s="2934">
        <f ca="1">ROUND($C$5*$C$18*$C$19*$C$20*S2*$C$24,0)</f>
        <v>11189</v>
      </c>
      <c r="U2" s="2923"/>
      <c r="V2" s="2934">
        <f ca="1">ROUND(T2*U2/10000,0)</f>
        <v>0</v>
      </c>
      <c r="W2" s="2186"/>
      <c r="X2" s="2186"/>
      <c r="Y2" s="2186"/>
      <c r="Z2" s="2186"/>
      <c r="AA2" s="2186"/>
      <c r="AB2" s="2186"/>
      <c r="AC2" s="2187"/>
    </row>
    <row r="3" spans="1:39" ht="15.75">
      <c r="A3" s="1407" t="s">
        <v>1680</v>
      </c>
      <c r="B3" s="1034">
        <f ca="1">ROUND(B2*10000/D1,0)</f>
        <v>5133</v>
      </c>
      <c r="C3" s="1403" t="s">
        <v>921</v>
      </c>
      <c r="D3" s="1404" t="s">
        <v>922</v>
      </c>
      <c r="E3" s="1408" t="s">
        <v>3085</v>
      </c>
      <c r="F3" s="1409" t="s">
        <v>2932</v>
      </c>
      <c r="G3" s="1035">
        <f>IF(F3="宗地容积率",'数据-汇总表'!I4,IF(F3="估价对象容积率",'数据-汇总表'!I6,'数据-汇总表'!I7))</f>
        <v>2.5</v>
      </c>
      <c r="H3" s="1410" t="s">
        <v>923</v>
      </c>
      <c r="I3" s="1036">
        <v>8</v>
      </c>
      <c r="J3" s="1406" t="s">
        <v>924</v>
      </c>
      <c r="K3" s="1397"/>
      <c r="L3" s="1882" t="s">
        <v>2235</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1.2799</v>
      </c>
      <c r="T3" s="2934">
        <f t="shared" ref="T3:T16" ca="1" si="0">ROUND($C$5*$C$18*$C$19*$C$20*S3*$C$24,0)</f>
        <v>7375</v>
      </c>
      <c r="U3" s="2923"/>
      <c r="V3" s="2934">
        <f t="shared" ref="V3:V16" ca="1" si="1">ROUND(T3*U3/10000,0)</f>
        <v>0</v>
      </c>
      <c r="W3" s="2186"/>
      <c r="X3" s="2186"/>
      <c r="Y3" s="2186"/>
      <c r="Z3" s="2186"/>
      <c r="AA3" s="2186"/>
      <c r="AB3" s="2186"/>
      <c r="AC3" s="2187"/>
    </row>
    <row r="4" spans="1:39" ht="28.5">
      <c r="A4" s="1888" t="s">
        <v>2275</v>
      </c>
      <c r="B4" s="2450">
        <f ca="1">ROUND(B2*10000/F1,0)</f>
        <v>19908</v>
      </c>
      <c r="C4" s="1891" t="s">
        <v>2249</v>
      </c>
      <c r="D4" s="1891">
        <f ca="1">ROUND(B2/(F1/666.67),0)</f>
        <v>1327</v>
      </c>
      <c r="E4" s="1891" t="s">
        <v>2250</v>
      </c>
      <c r="F4" s="1889"/>
      <c r="G4" s="1889"/>
      <c r="H4" s="1889"/>
      <c r="I4" s="1889"/>
      <c r="J4" s="1890"/>
      <c r="K4" s="1397"/>
      <c r="L4" s="1882" t="s">
        <v>2236</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1.0072000000000001</v>
      </c>
      <c r="T4" s="2934">
        <f t="shared" ca="1" si="0"/>
        <v>5803</v>
      </c>
      <c r="U4" s="2923"/>
      <c r="V4" s="2934">
        <f t="shared" ca="1" si="1"/>
        <v>0</v>
      </c>
      <c r="W4" s="2186"/>
      <c r="X4" s="2186"/>
      <c r="Y4" s="2186"/>
      <c r="Z4" s="2186"/>
      <c r="AA4" s="2186"/>
      <c r="AB4" s="2186"/>
      <c r="AC4" s="2187"/>
    </row>
    <row r="5" spans="1:39" s="1417" customFormat="1" ht="15.75" thickBot="1">
      <c r="A5" s="1634" t="s">
        <v>1816</v>
      </c>
      <c r="B5" s="1411" t="s">
        <v>925</v>
      </c>
      <c r="C5" s="1037">
        <f>ROUND(IF(E2="商业",IF(F16="增加",C6*C7+C16,C6*C7-C16),IF(E2="住宅",IF(F16="增加",C6*C12+C16,C6*C12-C16),IF(F16="增加",C6+C16,C6-C16))),0)</f>
        <v>4065</v>
      </c>
      <c r="D5" s="3115">
        <f>ROUND(IF(E2="商业",IF(F16="增加",C6+C16,C6-C16)),0)</f>
        <v>4065</v>
      </c>
      <c r="E5" s="1412"/>
      <c r="F5" s="1412"/>
      <c r="G5" s="1413"/>
      <c r="H5" s="1413"/>
      <c r="I5" s="1413"/>
      <c r="J5" s="1414"/>
      <c r="K5" s="1590"/>
      <c r="L5" s="1882" t="s">
        <v>2237</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0.75249999999999995</v>
      </c>
      <c r="T5" s="2934">
        <f t="shared" ca="1" si="0"/>
        <v>4336</v>
      </c>
      <c r="U5" s="2923"/>
      <c r="V5" s="2934">
        <f t="shared" ca="1" si="1"/>
        <v>0</v>
      </c>
      <c r="W5" s="2186"/>
      <c r="X5" s="2186"/>
      <c r="Y5" s="2186"/>
      <c r="Z5" s="2186"/>
      <c r="AA5" s="2186"/>
      <c r="AB5" s="2186"/>
      <c r="AC5" s="2188"/>
      <c r="AD5" s="1415"/>
      <c r="AE5" s="1415"/>
      <c r="AF5" s="1415"/>
      <c r="AG5" s="1415"/>
      <c r="AH5" s="1415"/>
      <c r="AI5" s="1415"/>
      <c r="AJ5" s="1416"/>
      <c r="AK5" s="1416"/>
      <c r="AL5" s="1416"/>
      <c r="AM5" s="1416"/>
    </row>
    <row r="6" spans="1:39" ht="15.75" thickBot="1">
      <c r="A6" s="1635" t="s">
        <v>1863</v>
      </c>
      <c r="B6" s="1418" t="s">
        <v>925</v>
      </c>
      <c r="C6" s="1038">
        <f>SUMIF(L1:L12,'基准地价-商业'!G2,M1:M12)</f>
        <v>4050</v>
      </c>
      <c r="D6" s="1419" t="s">
        <v>1688</v>
      </c>
      <c r="E6" s="1420"/>
      <c r="F6" s="1420"/>
      <c r="G6" s="1421"/>
      <c r="H6" s="1421"/>
      <c r="I6" s="1421"/>
      <c r="J6" s="1422"/>
      <c r="K6" s="1591"/>
      <c r="L6" s="1882" t="s">
        <v>2238</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0.56589999999999996</v>
      </c>
      <c r="T6" s="2934">
        <f t="shared" ca="1" si="0"/>
        <v>3261</v>
      </c>
      <c r="U6" s="2923"/>
      <c r="V6" s="2934">
        <f t="shared" ca="1" si="1"/>
        <v>0</v>
      </c>
      <c r="W6" s="2186"/>
      <c r="X6" s="2186"/>
      <c r="Y6" s="2186"/>
      <c r="Z6" s="2186"/>
      <c r="AA6" s="2186"/>
      <c r="AB6" s="2186"/>
      <c r="AC6" s="2188"/>
      <c r="AD6" s="1415"/>
      <c r="AE6" s="1415"/>
      <c r="AF6" s="1415"/>
      <c r="AG6" s="1415"/>
      <c r="AH6" s="1415"/>
      <c r="AI6" s="1415"/>
      <c r="AJ6" s="1416"/>
    </row>
    <row r="7" spans="1:39" ht="24">
      <c r="A7" s="3516" t="str">
        <f>IF(E2="商业",IF(C8="不临58条商业街","",2),"")</f>
        <v/>
      </c>
      <c r="B7" s="1423" t="s">
        <v>926</v>
      </c>
      <c r="C7" s="1039">
        <f>IF(C8="不临58条商业街",1,ROUND(1+(1.6*E8+1.2*E9+0.8*E10+0.4*E11)*C9,4))</f>
        <v>1</v>
      </c>
      <c r="D7" s="1424" t="s">
        <v>927</v>
      </c>
      <c r="E7" s="1040">
        <v>6</v>
      </c>
      <c r="F7" s="1425"/>
      <c r="G7" s="1426"/>
      <c r="H7" s="1426"/>
      <c r="I7" s="1426"/>
      <c r="J7" s="1427"/>
      <c r="K7" s="1591"/>
      <c r="L7" s="1882" t="s">
        <v>2239</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0.45250000000000001</v>
      </c>
      <c r="T7" s="2934">
        <f t="shared" ca="1" si="0"/>
        <v>2607</v>
      </c>
      <c r="U7" s="2923"/>
      <c r="V7" s="2934">
        <f t="shared" ca="1" si="1"/>
        <v>0</v>
      </c>
      <c r="W7" s="3179" t="s">
        <v>2760</v>
      </c>
      <c r="X7" s="2924" t="str">
        <f>G2</f>
        <v>九级</v>
      </c>
      <c r="Y7" s="2924" t="s">
        <v>2761</v>
      </c>
      <c r="Z7" s="2925">
        <f>G3</f>
        <v>2.5</v>
      </c>
      <c r="AA7" s="2189"/>
      <c r="AB7" s="2189"/>
      <c r="AC7" s="2190"/>
      <c r="AD7" s="2926"/>
      <c r="AE7" s="2926"/>
      <c r="AF7" s="2926"/>
      <c r="AG7" s="2926"/>
      <c r="AH7" s="2926"/>
      <c r="AI7" s="2926"/>
      <c r="AJ7" s="2927"/>
    </row>
    <row r="8" spans="1:39" ht="25.5">
      <c r="A8" s="3517"/>
      <c r="B8" s="1410" t="s">
        <v>928</v>
      </c>
      <c r="C8" s="1525" t="s">
        <v>2997</v>
      </c>
      <c r="D8" s="1041" t="s">
        <v>929</v>
      </c>
      <c r="E8" s="1042">
        <f>ROUND(C11/E7,4)</f>
        <v>0</v>
      </c>
      <c r="F8" s="1428" t="s">
        <v>930</v>
      </c>
      <c r="G8" s="1429"/>
      <c r="H8" s="1429"/>
      <c r="I8" s="1429"/>
      <c r="J8" s="1430"/>
      <c r="K8" s="1397"/>
      <c r="L8" s="1882" t="s">
        <v>2240</v>
      </c>
      <c r="M8" s="1883">
        <f>SUMPRODUCT((区片价!B206:B244=I2)*(区片价!C3:F3=E2)*(区片价!C206:F244))</f>
        <v>0</v>
      </c>
      <c r="N8" s="1884">
        <f>SUMPRODUCT((因素修正幅度!B206:B244=I2)*(因素修正幅度!C3:F3=E2)*(因素修正幅度!C206:F244))</f>
        <v>0</v>
      </c>
      <c r="O8" s="2186"/>
      <c r="P8" s="2186"/>
      <c r="Q8" s="2186"/>
      <c r="R8" s="2934">
        <v>7</v>
      </c>
      <c r="S8" s="2923"/>
      <c r="T8" s="2934">
        <f t="shared" ca="1" si="0"/>
        <v>0</v>
      </c>
      <c r="U8" s="2923"/>
      <c r="V8" s="2934">
        <f t="shared" ca="1" si="1"/>
        <v>0</v>
      </c>
      <c r="W8" s="3518" t="s">
        <v>2778</v>
      </c>
      <c r="X8" s="3519"/>
      <c r="Y8" s="1846" t="s">
        <v>2762</v>
      </c>
      <c r="Z8" s="1846" t="s">
        <v>2763</v>
      </c>
      <c r="AA8" s="1846" t="s">
        <v>2764</v>
      </c>
      <c r="AB8" s="1846" t="s">
        <v>2765</v>
      </c>
      <c r="AC8" s="1846" t="s">
        <v>2766</v>
      </c>
      <c r="AD8" s="1846" t="s">
        <v>2767</v>
      </c>
      <c r="AE8" s="1846" t="s">
        <v>2768</v>
      </c>
      <c r="AF8" s="1846" t="s">
        <v>2769</v>
      </c>
      <c r="AG8" s="1846" t="s">
        <v>2770</v>
      </c>
      <c r="AH8" s="1846" t="s">
        <v>2771</v>
      </c>
      <c r="AI8" s="1846" t="s">
        <v>2772</v>
      </c>
      <c r="AJ8" s="1846" t="s">
        <v>2773</v>
      </c>
    </row>
    <row r="9" spans="1:39" ht="15">
      <c r="A9" s="3517"/>
      <c r="B9" s="1410" t="s">
        <v>931</v>
      </c>
      <c r="C9" s="1043">
        <f>SUMIF(修正!C59:C119,C8,修正!E59:E119)</f>
        <v>0</v>
      </c>
      <c r="D9" s="1044" t="s">
        <v>932</v>
      </c>
      <c r="E9" s="1044">
        <f>ROUND(C11/E7,4)</f>
        <v>0</v>
      </c>
      <c r="F9" s="1428" t="s">
        <v>933</v>
      </c>
      <c r="G9" s="1429"/>
      <c r="H9" s="1429"/>
      <c r="I9" s="1429"/>
      <c r="J9" s="1430"/>
      <c r="K9" s="1397"/>
      <c r="L9" s="1882" t="s">
        <v>2241</v>
      </c>
      <c r="M9" s="1883">
        <f>SUMPRODUCT((区片价!B245:B289=I2)*(区片价!C3:F3=E2)*(区片价!C245:F289))</f>
        <v>4050</v>
      </c>
      <c r="N9" s="1884">
        <f>SUMPRODUCT((因素修正幅度!B245:B289=I2)*(因素修正幅度!C3:F3=E2)*(因素修正幅度!C245:F289))</f>
        <v>0.15</v>
      </c>
      <c r="O9" s="2186"/>
      <c r="P9" s="2186"/>
      <c r="Q9" s="2186"/>
      <c r="R9" s="2934">
        <v>8</v>
      </c>
      <c r="S9" s="2923"/>
      <c r="T9" s="2934">
        <f t="shared" ca="1" si="0"/>
        <v>0</v>
      </c>
      <c r="U9" s="2923"/>
      <c r="V9" s="2934">
        <f t="shared" ca="1" si="1"/>
        <v>0</v>
      </c>
      <c r="W9" s="3520" t="s">
        <v>2774</v>
      </c>
      <c r="X9" s="2928" t="s">
        <v>2775</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17"/>
      <c r="B10" s="1410" t="s">
        <v>934</v>
      </c>
      <c r="C10" s="1044">
        <f>SUMIF(修正!C59:C119,C8,修正!F59:F119)</f>
        <v>0</v>
      </c>
      <c r="D10" s="1044" t="s">
        <v>935</v>
      </c>
      <c r="E10" s="1044">
        <f>ROUND(C11/E7,4)</f>
        <v>0</v>
      </c>
      <c r="F10" s="1428" t="s">
        <v>936</v>
      </c>
      <c r="G10" s="1429"/>
      <c r="H10" s="1429"/>
      <c r="I10" s="1429"/>
      <c r="J10" s="1430"/>
      <c r="K10" s="1397"/>
      <c r="L10" s="1882" t="s">
        <v>2242</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f t="shared" ca="1" si="0"/>
        <v>0</v>
      </c>
      <c r="U10" s="2923"/>
      <c r="V10" s="2934">
        <f t="shared" ca="1" si="1"/>
        <v>0</v>
      </c>
      <c r="W10" s="3520"/>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17"/>
      <c r="B11" s="1431" t="s">
        <v>937</v>
      </c>
      <c r="C11" s="1045">
        <f>C10/4</f>
        <v>0</v>
      </c>
      <c r="D11" s="1045" t="s">
        <v>938</v>
      </c>
      <c r="E11" s="1045">
        <f>ROUND(C11/E7,4)</f>
        <v>0</v>
      </c>
      <c r="F11" s="1432" t="s">
        <v>939</v>
      </c>
      <c r="G11" s="1433"/>
      <c r="H11" s="1433"/>
      <c r="I11" s="1433"/>
      <c r="J11" s="1434"/>
      <c r="K11" s="1397"/>
      <c r="L11" s="1882" t="s">
        <v>2243</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f t="shared" ca="1" si="0"/>
        <v>0</v>
      </c>
      <c r="U11" s="2923"/>
      <c r="V11" s="2934">
        <f t="shared" ca="1" si="1"/>
        <v>0</v>
      </c>
      <c r="W11" s="3520" t="s">
        <v>2776</v>
      </c>
      <c r="X11" s="1044" t="s">
        <v>2761</v>
      </c>
      <c r="Y11" s="1649">
        <f>$G$3</f>
        <v>2.5</v>
      </c>
      <c r="Z11" s="1649">
        <f t="shared" ref="Z11:AJ11" si="3">$G$3</f>
        <v>2.5</v>
      </c>
      <c r="AA11" s="1649">
        <f t="shared" si="3"/>
        <v>2.5</v>
      </c>
      <c r="AB11" s="1649">
        <f t="shared" si="3"/>
        <v>2.5</v>
      </c>
      <c r="AC11" s="1649">
        <f t="shared" si="3"/>
        <v>2.5</v>
      </c>
      <c r="AD11" s="1649">
        <f t="shared" si="3"/>
        <v>2.5</v>
      </c>
      <c r="AE11" s="1649">
        <f t="shared" si="3"/>
        <v>2.5</v>
      </c>
      <c r="AF11" s="1649">
        <f t="shared" si="3"/>
        <v>2.5</v>
      </c>
      <c r="AG11" s="1649">
        <f t="shared" si="3"/>
        <v>2.5</v>
      </c>
      <c r="AH11" s="1649">
        <f t="shared" si="3"/>
        <v>2.5</v>
      </c>
      <c r="AI11" s="1649">
        <f t="shared" si="3"/>
        <v>2.5</v>
      </c>
      <c r="AJ11" s="1649">
        <f t="shared" si="3"/>
        <v>2.5</v>
      </c>
    </row>
    <row r="12" spans="1:39" ht="25.5" thickBot="1">
      <c r="A12" s="3516" t="s">
        <v>1864</v>
      </c>
      <c r="B12" s="1435" t="s">
        <v>940</v>
      </c>
      <c r="C12" s="1039">
        <f>ROUND(C15*D15*E15*F15*G15*H15*I15*J15,4)</f>
        <v>1.21</v>
      </c>
      <c r="D12" s="1436" t="s">
        <v>941</v>
      </c>
      <c r="E12" s="1437"/>
      <c r="F12" s="1437"/>
      <c r="G12" s="1438"/>
      <c r="H12" s="1438"/>
      <c r="I12" s="1438"/>
      <c r="J12" s="1439"/>
      <c r="K12" s="1397"/>
      <c r="L12" s="1885" t="s">
        <v>2244</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f t="shared" ca="1" si="0"/>
        <v>0</v>
      </c>
      <c r="U12" s="2923"/>
      <c r="V12" s="2934">
        <f t="shared" ca="1" si="1"/>
        <v>0</v>
      </c>
      <c r="W12" s="3520"/>
      <c r="X12" s="2931" t="s">
        <v>2777</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21"/>
      <c r="B13" s="1440" t="s">
        <v>1689</v>
      </c>
      <c r="C13" s="1441" t="s">
        <v>1690</v>
      </c>
      <c r="D13" s="1085" t="s">
        <v>1691</v>
      </c>
      <c r="E13" s="1085" t="s">
        <v>1692</v>
      </c>
      <c r="F13" s="1442" t="s">
        <v>942</v>
      </c>
      <c r="G13" s="1443" t="s">
        <v>1637</v>
      </c>
      <c r="H13" s="1444" t="s">
        <v>1637</v>
      </c>
      <c r="I13" s="1445" t="s">
        <v>1637</v>
      </c>
      <c r="J13" s="1446" t="s">
        <v>1637</v>
      </c>
      <c r="K13" s="1397"/>
      <c r="L13" s="2186"/>
      <c r="M13" s="2186"/>
      <c r="N13" s="2186"/>
      <c r="O13" s="2186"/>
      <c r="P13" s="2186"/>
      <c r="Q13" s="2186"/>
      <c r="R13" s="2934">
        <v>12</v>
      </c>
      <c r="S13" s="2923"/>
      <c r="T13" s="2934">
        <f t="shared" ca="1" si="0"/>
        <v>0</v>
      </c>
      <c r="U13" s="2923"/>
      <c r="V13" s="2934">
        <f t="shared" ca="1" si="1"/>
        <v>0</v>
      </c>
      <c r="W13" s="3520"/>
      <c r="X13" s="2931"/>
      <c r="Y13" s="2930">
        <f>(-0.163*(Y12^2)-0.59*Y12+7617)*(10^(-4))/Y11</f>
        <v>0.30468000000000001</v>
      </c>
      <c r="Z13" s="2930">
        <f t="shared" ref="Z13:AJ13" si="5">(-0.163*(Z12^2)-0.59*Z12+7617)*(10^(-4))/Z11</f>
        <v>0.30468000000000001</v>
      </c>
      <c r="AA13" s="2930">
        <f t="shared" si="5"/>
        <v>0.30468000000000001</v>
      </c>
      <c r="AB13" s="2930">
        <f t="shared" si="5"/>
        <v>0.30468000000000001</v>
      </c>
      <c r="AC13" s="2930">
        <f t="shared" si="5"/>
        <v>0.30468000000000001</v>
      </c>
      <c r="AD13" s="2930">
        <f t="shared" si="5"/>
        <v>0.30468000000000001</v>
      </c>
      <c r="AE13" s="2930">
        <f t="shared" si="5"/>
        <v>0.30468000000000001</v>
      </c>
      <c r="AF13" s="2930">
        <f t="shared" si="5"/>
        <v>0.30468000000000001</v>
      </c>
      <c r="AG13" s="2930">
        <f t="shared" si="5"/>
        <v>0.30468000000000001</v>
      </c>
      <c r="AH13" s="2930">
        <f t="shared" si="5"/>
        <v>0.30468000000000001</v>
      </c>
      <c r="AI13" s="2930">
        <f t="shared" si="5"/>
        <v>0.30468000000000001</v>
      </c>
      <c r="AJ13" s="2930">
        <f t="shared" si="5"/>
        <v>0.30468000000000001</v>
      </c>
    </row>
    <row r="14" spans="1:39" ht="12.75" customHeight="1" thickBot="1">
      <c r="A14" s="3521"/>
      <c r="B14" s="1447"/>
      <c r="C14" s="1448" t="s">
        <v>2998</v>
      </c>
      <c r="D14" s="1449" t="s">
        <v>3083</v>
      </c>
      <c r="E14" s="1449" t="s">
        <v>2998</v>
      </c>
      <c r="F14" s="1450" t="s">
        <v>3084</v>
      </c>
      <c r="G14" s="1451" t="s">
        <v>943</v>
      </c>
      <c r="H14" s="1452"/>
      <c r="I14" s="1453"/>
      <c r="J14" s="1454"/>
      <c r="K14" s="1397"/>
      <c r="L14" s="2186"/>
      <c r="M14" s="2186"/>
      <c r="N14" s="2186"/>
      <c r="O14" s="2186"/>
      <c r="P14" s="2186"/>
      <c r="Q14" s="2186"/>
      <c r="R14" s="2934">
        <v>13</v>
      </c>
      <c r="S14" s="2923"/>
      <c r="T14" s="2934">
        <f t="shared" ca="1" si="0"/>
        <v>0</v>
      </c>
      <c r="U14" s="2923"/>
      <c r="V14" s="2934">
        <f t="shared" ca="1" si="1"/>
        <v>0</v>
      </c>
      <c r="W14" s="2186"/>
      <c r="X14" s="2186"/>
      <c r="Y14" s="2186"/>
      <c r="Z14" s="2186"/>
      <c r="AA14" s="2186"/>
      <c r="AB14" s="2186"/>
      <c r="AC14" s="2187"/>
    </row>
    <row r="15" spans="1:39" ht="13.5" customHeight="1" thickBot="1">
      <c r="A15" s="3522"/>
      <c r="B15" s="1455" t="s">
        <v>1693</v>
      </c>
      <c r="C15" s="1047">
        <f>IF(C14="有",1.1,1)</f>
        <v>1</v>
      </c>
      <c r="D15" s="1047">
        <f>IF(D14="有",1.1,1)</f>
        <v>1.1000000000000001</v>
      </c>
      <c r="E15" s="1047">
        <f>IF(E14="有",1.1,1)</f>
        <v>1</v>
      </c>
      <c r="F15" s="1047">
        <f>IF(F14="500米范围内",1.2,IF(F14="500-1000米",1.1,1))</f>
        <v>1.1000000000000001</v>
      </c>
      <c r="G15" s="1048">
        <v>1</v>
      </c>
      <c r="H15" s="1048">
        <v>1</v>
      </c>
      <c r="I15" s="1048">
        <v>1</v>
      </c>
      <c r="J15" s="1049">
        <v>1</v>
      </c>
      <c r="K15" s="1397"/>
      <c r="L15" s="1594" t="s">
        <v>892</v>
      </c>
      <c r="M15" s="1424" t="s">
        <v>970</v>
      </c>
      <c r="N15" s="1424" t="s">
        <v>973</v>
      </c>
      <c r="O15" s="1424" t="s">
        <v>896</v>
      </c>
      <c r="P15" s="1472" t="s">
        <v>980</v>
      </c>
      <c r="Q15" s="2186"/>
      <c r="R15" s="2934">
        <v>14</v>
      </c>
      <c r="S15" s="2923"/>
      <c r="T15" s="2934">
        <f t="shared" ca="1" si="0"/>
        <v>0</v>
      </c>
      <c r="U15" s="2923"/>
      <c r="V15" s="2934">
        <f t="shared" ca="1" si="1"/>
        <v>0</v>
      </c>
      <c r="W15" s="2186"/>
      <c r="X15" s="2186"/>
      <c r="Y15" s="2186"/>
      <c r="Z15" s="2186"/>
      <c r="AA15" s="2186"/>
      <c r="AB15" s="2186"/>
      <c r="AC15" s="2187"/>
    </row>
    <row r="16" spans="1:39" ht="24">
      <c r="A16" s="3516" t="s">
        <v>1831</v>
      </c>
      <c r="B16" s="1423" t="s">
        <v>944</v>
      </c>
      <c r="C16" s="1050">
        <f>ROUND(SUM(G17:J17)/C17,0)</f>
        <v>15</v>
      </c>
      <c r="D16" s="1456" t="s">
        <v>945</v>
      </c>
      <c r="E16" s="1457" t="s">
        <v>3086</v>
      </c>
      <c r="F16" s="1458" t="s">
        <v>3015</v>
      </c>
      <c r="G16" s="1459" t="s">
        <v>3016</v>
      </c>
      <c r="H16" s="1459"/>
      <c r="I16" s="1459"/>
      <c r="J16" s="1459"/>
      <c r="K16" s="1397"/>
      <c r="L16" s="1460" t="s">
        <v>982</v>
      </c>
      <c r="M16" s="1043">
        <v>0.25</v>
      </c>
      <c r="N16" s="1043">
        <v>0.2</v>
      </c>
      <c r="O16" s="1043">
        <v>0.15</v>
      </c>
      <c r="P16" s="1535">
        <v>0.1</v>
      </c>
      <c r="Q16" s="2189"/>
      <c r="R16" s="2934">
        <v>15</v>
      </c>
      <c r="S16" s="2923"/>
      <c r="T16" s="2934">
        <f t="shared" ca="1" si="0"/>
        <v>0</v>
      </c>
      <c r="U16" s="2923"/>
      <c r="V16" s="2934">
        <f t="shared" ca="1" si="1"/>
        <v>0</v>
      </c>
      <c r="W16" s="2189"/>
      <c r="X16" s="2189"/>
      <c r="Y16" s="2189"/>
      <c r="Z16" s="2189"/>
      <c r="AA16" s="2189"/>
      <c r="AB16" s="2189"/>
      <c r="AC16" s="2190"/>
    </row>
    <row r="17" spans="1:40" ht="13.5" thickBot="1">
      <c r="A17" s="3517"/>
      <c r="B17" s="1461" t="s">
        <v>947</v>
      </c>
      <c r="C17" s="1051">
        <f>SUMPRODUCT((修正!A2:A5=E2)*(修正!B1:M1=G2)*(修正!B2:M5))</f>
        <v>2</v>
      </c>
      <c r="D17" s="1463" t="s">
        <v>948</v>
      </c>
      <c r="E17" s="1464" t="str">
        <f>IF(OR(G2="八级",G2="九级",G2="十级",G2="十一级",G2="十二级"),"五通一平","七通一平")</f>
        <v>五通一平</v>
      </c>
      <c r="F17" s="1462" t="s">
        <v>949</v>
      </c>
      <c r="G17" s="1051">
        <f>SUMPRODUCT((七通一平=G16)*(修正!B1:M1=G2)*(修正!B6:M14))</f>
        <v>30</v>
      </c>
      <c r="H17" s="1051">
        <f>SUMPRODUCT((七通一平=H16)*(修正!B1:M1=G2)*(修正!B6:M14))</f>
        <v>0</v>
      </c>
      <c r="I17" s="1051">
        <f>SUMPRODUCT((七通一平=I16)*(修正!B1:M1=G2)*(修正!B6:M14))</f>
        <v>0</v>
      </c>
      <c r="J17" s="1052">
        <f>SUMPRODUCT((七通一平=J16)*(修正!B1:M1=G2)*(修正!B6:M14))</f>
        <v>0</v>
      </c>
      <c r="K17" s="1397"/>
      <c r="L17" s="1465" t="s">
        <v>968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1819</v>
      </c>
      <c r="B18" s="2769" t="s">
        <v>950</v>
      </c>
      <c r="C18" s="2770">
        <f>SUMIF(修正!C18:C39,E3,修正!E18:E39)</f>
        <v>1</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1828</v>
      </c>
      <c r="B19" s="1466" t="s">
        <v>951</v>
      </c>
      <c r="C19" s="1053">
        <f>ROUND(IF(H19="按公示增长率计算",SUMPRODUCT((地价!A3:A24=YEAR(G19)&amp;"-"&amp;ROUNDUP(MONTH(G19)/3,0))*(地价!X2:AB2=E2)*(地价!X3:AB24)),IF(H19="地价指数",M20/M19,(1+I19)^O19)),4)</f>
        <v>1.3547</v>
      </c>
      <c r="D19" s="1470" t="s">
        <v>952</v>
      </c>
      <c r="E19" s="1054">
        <v>41640</v>
      </c>
      <c r="F19" s="1470" t="s">
        <v>953</v>
      </c>
      <c r="G19" s="1055">
        <f>'数据-取费表'!B2</f>
        <v>43388</v>
      </c>
      <c r="H19" s="1471" t="s">
        <v>3009</v>
      </c>
      <c r="I19" s="2781" t="str">
        <f>IF(H19="季度增幅（自定义）",SUMIF(N21:N24,E2,O21:O24),"")</f>
        <v/>
      </c>
      <c r="J19" s="1467"/>
      <c r="K19" s="1477"/>
      <c r="L19" s="3034" t="s">
        <v>2836</v>
      </c>
      <c r="M19" s="3035">
        <f>ROUND(SUMIF(地价!B2:F2,E2,地价!B24:F24),0)</f>
        <v>258</v>
      </c>
      <c r="N19" s="2783" t="s">
        <v>1671</v>
      </c>
      <c r="O19" s="2782">
        <f>ROUNDDOWN(DATEDIF(E19,G19,"M")/3,0)</f>
        <v>19</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1821</v>
      </c>
      <c r="B20" s="2776" t="s">
        <v>966</v>
      </c>
      <c r="C20" s="2777">
        <f ca="1">ROUND(POWER(1+G20,J20-I20)*(POWER(1+G20,I20)-1)/(POWER(1+G20,J20)-1),4)</f>
        <v>1</v>
      </c>
      <c r="D20" s="2778" t="s">
        <v>967</v>
      </c>
      <c r="E20" s="3090">
        <f ca="1">存贷款利率!I4/100</f>
        <v>4.3499999999999997E-2</v>
      </c>
      <c r="F20" s="2778" t="s">
        <v>968</v>
      </c>
      <c r="G20" s="2779">
        <f ca="1">SUMIF(M15:P15,E2,M17:P17)</f>
        <v>5.3999999999999999E-2</v>
      </c>
      <c r="H20" s="2778" t="s">
        <v>969</v>
      </c>
      <c r="I20" s="2768">
        <f>SUMIF('数据-取费表'!C6:C15,E2,'数据-取费表'!F6:F15)/COUNTIF('数据-取费表'!C6:C15,E2)</f>
        <v>40</v>
      </c>
      <c r="J20" s="2780">
        <f>IF(E2="住宅",70,IF(E2="商业",40,50))</f>
        <v>40</v>
      </c>
      <c r="K20" s="1477"/>
      <c r="L20" s="3036" t="s">
        <v>2837</v>
      </c>
      <c r="M20" s="3037">
        <f>ROUND(SUMPRODUCT((地价!A4:A24=YEAR(G19)&amp;"-"&amp;ROUNDUP(MONTH(G19)/3,0))*(地价!B2:F2=E2)*(地价!B4:F24)),0)</f>
        <v>341</v>
      </c>
      <c r="N20" s="2786" t="s">
        <v>2640</v>
      </c>
      <c r="O20" s="2784" t="s">
        <v>2639</v>
      </c>
      <c r="P20" s="2785" t="s">
        <v>2645</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25">
      <c r="A21" s="1638" t="s">
        <v>1830</v>
      </c>
      <c r="B21" s="1476" t="s">
        <v>3000</v>
      </c>
      <c r="C21" s="1154">
        <f>IF(B21="容积率修正",IF(G3&lt;=10,D22,J22),C23)</f>
        <v>0.89080000000000004</v>
      </c>
      <c r="D21" s="1477"/>
      <c r="E21" s="1477"/>
      <c r="F21" s="1477"/>
      <c r="G21" s="1477"/>
      <c r="H21" s="1477"/>
      <c r="I21" s="1477"/>
      <c r="J21" s="1478"/>
      <c r="K21" s="1477"/>
      <c r="L21" s="1477"/>
      <c r="M21" s="1477"/>
      <c r="N21" s="1474" t="s">
        <v>970</v>
      </c>
      <c r="O21" s="1538"/>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25">
      <c r="A22" s="1639" t="s">
        <v>1863</v>
      </c>
      <c r="B22" s="1479" t="s">
        <v>971</v>
      </c>
      <c r="C22" s="1056" t="s">
        <v>1695</v>
      </c>
      <c r="D22" s="1056">
        <f>IF(E22=G22,F22,IF(G3&lt;=10,ROUND(F22+(H22-F22)*(G3-E22)/(G22-E22),4),"——"))</f>
        <v>0.89080000000000004</v>
      </c>
      <c r="E22" s="1035">
        <f>ROUNDDOWN(G3,1)</f>
        <v>2.5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56" t="s">
        <v>972</v>
      </c>
      <c r="J22" s="1056" t="str">
        <f>IF(G3&gt;10,D113,"——")</f>
        <v>——</v>
      </c>
      <c r="K22" s="1477"/>
      <c r="L22" s="1477"/>
      <c r="M22" s="1477"/>
      <c r="N22" s="1474" t="s">
        <v>973</v>
      </c>
      <c r="O22" s="1538"/>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8"/>
      <c r="AE22" s="1468"/>
      <c r="AF22" s="1468"/>
      <c r="AG22" s="1468"/>
      <c r="AH22" s="1468"/>
      <c r="AI22" s="1468"/>
    </row>
    <row r="23" spans="1:40" ht="27.75" thickBot="1">
      <c r="A23" s="1639" t="s">
        <v>1864</v>
      </c>
      <c r="B23" s="1479" t="s">
        <v>974</v>
      </c>
      <c r="C23" s="1057">
        <f>ROUND(IF(G3&gt;1,IF(I3&lt;7,SUMPRODUCT((B93:B98=I3)*(C92:N92=G2)*(C93:N98)),SUMIF(C92:N92,G2,C100:N100)),IF(I3&lt;7,SUMPRODUCT((B102:B107=I3)*(C92:N92=G2)*(C102:N107)),SUMIF(C92:N92,G2,C109:N109))),4)</f>
        <v>0.44750000000000001</v>
      </c>
      <c r="D23" s="1526"/>
      <c r="E23" s="1526"/>
      <c r="F23" s="1527"/>
      <c r="G23" s="1528"/>
      <c r="H23" s="1529"/>
      <c r="I23" s="1530"/>
      <c r="J23" s="1530"/>
      <c r="K23" s="1397"/>
      <c r="L23" s="1397"/>
      <c r="M23" s="1397"/>
      <c r="N23" s="1474" t="s">
        <v>917</v>
      </c>
      <c r="O23" s="1538"/>
      <c r="P23" s="2766">
        <f>SUMPRODUCT((地价!A3:A24=YEAR(G19)&amp;"-"&amp;ROUNDUP(MONTH(G19)/3,0))*(地价!AD2:AH2=N23)*(地价!AD3:AH24))</f>
        <v>2.41E-2</v>
      </c>
      <c r="R23" s="2922"/>
      <c r="S23" s="2922"/>
      <c r="T23" s="2922"/>
      <c r="U23" s="2922"/>
      <c r="V23" s="2922"/>
      <c r="W23" s="2192"/>
      <c r="X23" s="2192"/>
      <c r="Y23" s="2192"/>
      <c r="Z23" s="2192"/>
      <c r="AA23" s="2192"/>
      <c r="AB23" s="2192"/>
      <c r="AC23" s="2192"/>
      <c r="AN23" s="1400"/>
    </row>
    <row r="24" spans="1:40" s="1417" customFormat="1" ht="15.75" thickBot="1">
      <c r="A24" s="1637" t="s">
        <v>1865</v>
      </c>
      <c r="B24" s="1411" t="s">
        <v>975</v>
      </c>
      <c r="C24" s="1058">
        <f>SUMIF(A44:A87,E2,B44:B87)</f>
        <v>1.0463</v>
      </c>
      <c r="D24" s="1531"/>
      <c r="E24" s="1532"/>
      <c r="F24" s="1532"/>
      <c r="G24" s="1532"/>
      <c r="H24" s="1532"/>
      <c r="I24" s="1532"/>
      <c r="J24" s="1532"/>
      <c r="K24" s="1477"/>
      <c r="L24" s="1477"/>
      <c r="M24" s="1477"/>
      <c r="N24" s="1480" t="s">
        <v>976</v>
      </c>
      <c r="O24" s="1539"/>
      <c r="P24" s="1537">
        <f>SUMPRODUCT((地价!A3:A24=YEAR(G19)&amp;"-"&amp;ROUNDUP(MONTH(G19)/3,0))*(地价!AD2:AH2=N24)*(地价!AD3:AH24))</f>
        <v>1.4200000000000001E-2</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1866</v>
      </c>
      <c r="B25" s="1482" t="s">
        <v>977</v>
      </c>
      <c r="C25" s="1483"/>
      <c r="D25" s="1426"/>
      <c r="E25" s="1426"/>
      <c r="F25" s="1484"/>
      <c r="G25" s="1426"/>
      <c r="H25" s="1426"/>
      <c r="I25" s="1426"/>
      <c r="J25" s="1427"/>
      <c r="K25" s="1397"/>
      <c r="L25" s="2192"/>
      <c r="M25" s="2192"/>
      <c r="N25" s="2794" t="s">
        <v>2643</v>
      </c>
      <c r="O25" s="2192"/>
      <c r="P25" s="1537">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5"/>
      <c r="B26" s="1479" t="s">
        <v>981</v>
      </c>
      <c r="C26" s="1059">
        <f ca="1">E29+SUM(E33:E39)</f>
        <v>4977</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983</v>
      </c>
      <c r="C27" s="1060">
        <f ca="1">E30+SUM(I33:I39)</f>
        <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25">
      <c r="A28" s="1481"/>
      <c r="B28" s="1494" t="s">
        <v>984</v>
      </c>
      <c r="C28" s="1495" t="s">
        <v>985</v>
      </c>
      <c r="D28" s="1495" t="s">
        <v>986</v>
      </c>
      <c r="E28" s="1496" t="s">
        <v>987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988</v>
      </c>
      <c r="C29" s="1059">
        <f ca="1">ROUND(C5*C18*C19*C20*C21*C24,0)</f>
        <v>5133</v>
      </c>
      <c r="D29" s="1500">
        <f>'数据-汇总表'!F20</f>
        <v>9696</v>
      </c>
      <c r="E29" s="1846">
        <f ca="1">ROUND(C29*D29/10000,0)</f>
        <v>4977</v>
      </c>
      <c r="F29" s="1501" t="s">
        <v>1694</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75" thickBot="1">
      <c r="A30" s="1504"/>
      <c r="B30" s="1505" t="s">
        <v>989</v>
      </c>
      <c r="C30" s="1047">
        <f ca="1">ROUND(IF(E2="工业",C29*M39,C29*M38),0)</f>
        <v>1283</v>
      </c>
      <c r="D30" s="1506"/>
      <c r="E30" s="1846">
        <f ca="1">ROUND(C30*D30/10000,0)</f>
        <v>0</v>
      </c>
      <c r="F30" s="1507" t="s">
        <v>990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991</v>
      </c>
      <c r="C31" s="1512" t="s">
        <v>992</v>
      </c>
      <c r="D31" s="1438"/>
      <c r="E31" s="1512"/>
      <c r="F31" s="1512"/>
      <c r="G31" s="1436" t="s">
        <v>990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985</v>
      </c>
      <c r="D32" s="1516" t="s">
        <v>986</v>
      </c>
      <c r="E32" s="1516" t="s">
        <v>987</v>
      </c>
      <c r="F32" s="1517" t="s">
        <v>993</v>
      </c>
      <c r="G32" s="1475" t="s">
        <v>985</v>
      </c>
      <c r="H32" s="1475" t="s">
        <v>986</v>
      </c>
      <c r="I32" s="1475" t="s">
        <v>987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524" t="s">
        <v>2958</v>
      </c>
      <c r="B33" s="1520" t="s">
        <v>994</v>
      </c>
      <c r="C33" s="1059">
        <f ca="1">ROUND(D5*C19*C20*C24*F33,0)</f>
        <v>3457</v>
      </c>
      <c r="D33" s="1533"/>
      <c r="E33" s="1044">
        <f ca="1">ROUND(C33*D33/10000,0)</f>
        <v>0</v>
      </c>
      <c r="F33" s="1044">
        <f>SUMIF(修正!A45:A56,G2,修正!B45:B56)</f>
        <v>0.6</v>
      </c>
      <c r="G33" s="1044">
        <f t="shared" ref="G33" ca="1" si="6">ROUND(IF(E2="工业",C33*$M$39,C33*$M$38),0)</f>
        <v>864</v>
      </c>
      <c r="H33" s="1044">
        <f>D33</f>
        <v>0</v>
      </c>
      <c r="I33" s="1044">
        <f ca="1">ROUND(G33*H33/10000,0)</f>
        <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525"/>
      <c r="B34" s="1441" t="s">
        <v>995</v>
      </c>
      <c r="C34" s="1059">
        <f ca="1">ROUND(D5*C19*C20*C24*F34,0)</f>
        <v>1729</v>
      </c>
      <c r="D34" s="1533"/>
      <c r="E34" s="1044">
        <f t="shared" ref="E34:E39" ca="1" si="7">ROUND(C34*D34/10000,0)</f>
        <v>0</v>
      </c>
      <c r="F34" s="1044">
        <f>SUMIF(修正!A45:A56,G2,修正!C45:C56)</f>
        <v>0.3</v>
      </c>
      <c r="G34" s="1044">
        <f ca="1">ROUND(IF(E2="工业",C34*$M$39,C34*$M$38),0)</f>
        <v>432</v>
      </c>
      <c r="H34" s="1044">
        <f t="shared" ref="H34:H39" si="8">D34</f>
        <v>0</v>
      </c>
      <c r="I34" s="1044">
        <f t="shared" ref="I34:I39" ca="1" si="9">ROUND(G34*H34/10000,0)</f>
        <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525"/>
      <c r="B35" s="1441" t="s">
        <v>996</v>
      </c>
      <c r="C35" s="1059">
        <f ca="1">ROUND(D5*C19*C20*C24*F35,0)</f>
        <v>1152</v>
      </c>
      <c r="D35" s="1533"/>
      <c r="E35" s="1044">
        <f t="shared" ca="1" si="7"/>
        <v>0</v>
      </c>
      <c r="F35" s="1044">
        <f>SUMIF(修正!A45:A56,G2,修正!D45:D56)</f>
        <v>0.2</v>
      </c>
      <c r="G35" s="1044">
        <f ca="1">ROUND(IF(E2="工业",C35*$M$39,C35*$M$38),0)</f>
        <v>288</v>
      </c>
      <c r="H35" s="1044">
        <f t="shared" si="8"/>
        <v>0</v>
      </c>
      <c r="I35" s="1044">
        <f t="shared" ca="1" si="9"/>
        <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26"/>
      <c r="B36" s="1441" t="s">
        <v>997</v>
      </c>
      <c r="C36" s="1059">
        <f ca="1">ROUND(D5*C19*C20*C24*F36,0)</f>
        <v>1152</v>
      </c>
      <c r="D36" s="1533"/>
      <c r="E36" s="1044">
        <f t="shared" ca="1" si="7"/>
        <v>0</v>
      </c>
      <c r="F36" s="1044">
        <f>SUMIF(修正!A45:A56,G2,修正!E45:E56)</f>
        <v>0.2</v>
      </c>
      <c r="G36" s="1044">
        <f ca="1">ROUND(IF(E2="工业",C36*$M$39,C36*$M$38),0)</f>
        <v>288</v>
      </c>
      <c r="H36" s="1044">
        <f t="shared" si="8"/>
        <v>0</v>
      </c>
      <c r="I36" s="1044">
        <f t="shared" ca="1" si="9"/>
        <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998</v>
      </c>
      <c r="C37" s="1044">
        <f ca="1">ROUND(C5*C19*C20*C24*F37,0)</f>
        <v>1152</v>
      </c>
      <c r="D37" s="1533"/>
      <c r="E37" s="1044">
        <f t="shared" ca="1" si="7"/>
        <v>0</v>
      </c>
      <c r="F37" s="1059">
        <f>SUMIF(修正!A45:A56,G2,修正!F45:F56)</f>
        <v>0.2</v>
      </c>
      <c r="G37" s="1044">
        <f ca="1">ROUND(IF(E2="工业",C37*$M$39,C37*$M$38),0)</f>
        <v>288</v>
      </c>
      <c r="H37" s="1044">
        <f t="shared" si="8"/>
        <v>0</v>
      </c>
      <c r="I37" s="1044">
        <f t="shared" ca="1" si="9"/>
        <v>0</v>
      </c>
      <c r="J37" s="1521"/>
      <c r="K37" s="1397"/>
      <c r="L37" s="1540" t="s">
        <v>1696</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999</v>
      </c>
      <c r="C38" s="1044">
        <f ca="1">ROUND(C5*C19*C20*C24*F38,0)</f>
        <v>1152</v>
      </c>
      <c r="D38" s="1533"/>
      <c r="E38" s="1044">
        <f t="shared" ca="1" si="7"/>
        <v>0</v>
      </c>
      <c r="F38" s="1059">
        <f>SUMIF(修正!A45:A56,G2,修正!G45:G56)</f>
        <v>0.2</v>
      </c>
      <c r="G38" s="1044">
        <f ca="1">ROUND(IF(E2="工业",C38*$M$39,C38*$M$38),0)</f>
        <v>288</v>
      </c>
      <c r="H38" s="1044">
        <f t="shared" si="8"/>
        <v>0</v>
      </c>
      <c r="I38" s="1044">
        <f t="shared" ca="1" si="9"/>
        <v>0</v>
      </c>
      <c r="J38" s="1521"/>
      <c r="K38" s="1397"/>
      <c r="L38" s="1542" t="s">
        <v>1698</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1000</v>
      </c>
      <c r="C39" s="1047">
        <f ca="1">ROUND(C5*C19*C20*C24*F39,0)</f>
        <v>864</v>
      </c>
      <c r="D39" s="1534"/>
      <c r="E39" s="1047">
        <f t="shared" ca="1" si="7"/>
        <v>0</v>
      </c>
      <c r="F39" s="1061">
        <f>SUMIF(修正!A45:A56,G2,修正!H45:H56)</f>
        <v>0.15</v>
      </c>
      <c r="G39" s="1047">
        <f ca="1">ROUND(IF(E2="工业",C39*$M$39,C39*$M$38),0)</f>
        <v>216</v>
      </c>
      <c r="H39" s="1047">
        <f t="shared" si="8"/>
        <v>0</v>
      </c>
      <c r="I39" s="1047">
        <f t="shared" ca="1" si="9"/>
        <v>0</v>
      </c>
      <c r="J39" s="1523"/>
      <c r="K39" s="1397"/>
      <c r="L39" s="1544" t="s">
        <v>1697</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1002</v>
      </c>
      <c r="B45" s="2422">
        <f>1+E47</f>
        <v>1.0463</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1003</v>
      </c>
      <c r="B46" s="2405" t="s">
        <v>1004</v>
      </c>
      <c r="C46" s="2427" t="s">
        <v>1005</v>
      </c>
      <c r="D46" s="2428" t="s">
        <v>1006</v>
      </c>
      <c r="E46" s="2429" t="s">
        <v>1008</v>
      </c>
      <c r="F46" s="2430" t="s">
        <v>2245</v>
      </c>
      <c r="G46" s="2428" t="s">
        <v>1009</v>
      </c>
      <c r="H46" s="2411" t="s">
        <v>2413</v>
      </c>
      <c r="I46" s="2428" t="s">
        <v>1007</v>
      </c>
      <c r="J46" s="2431" t="s">
        <v>1010</v>
      </c>
      <c r="K46" s="2431" t="s">
        <v>1011</v>
      </c>
      <c r="L46" s="2431" t="s">
        <v>1012</v>
      </c>
      <c r="M46" s="2431" t="s">
        <v>1013</v>
      </c>
      <c r="N46" s="2431" t="s">
        <v>1014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c r="A47" s="1063" t="s">
        <v>1015</v>
      </c>
      <c r="B47" s="2408" t="str">
        <f>估价对象房地状况!C16</f>
        <v>估价对象位于XX商圈，周边商业氛围成熟，人流量大，商业繁华度好</v>
      </c>
      <c r="C47" s="1046" t="s">
        <v>3001</v>
      </c>
      <c r="D47" s="2414">
        <f t="shared" ref="D47:D55" si="10">SUMIF($J$46:$N$46,C47,J47:N47)</f>
        <v>0</v>
      </c>
      <c r="E47" s="2433">
        <f>ROUND(SUM(D47:D55),4)</f>
        <v>4.6300000000000001E-2</v>
      </c>
      <c r="F47" s="2434">
        <f>IF(E2="商业",SUMIF(L1:L12,G2,N1:N12),"——")</f>
        <v>0.15</v>
      </c>
      <c r="G47" s="2412">
        <f>H47</f>
        <v>2.47E-2</v>
      </c>
      <c r="H47" s="2458">
        <f t="shared" ref="H47:H55" si="11">IFERROR(ROUNDDOWN(($F$47*I47/2),4),"——")</f>
        <v>2.47E-2</v>
      </c>
      <c r="I47" s="2432">
        <v>0.33</v>
      </c>
      <c r="J47" s="2435">
        <f t="shared" ref="J47:J55" si="12">K47+$G47</f>
        <v>4.9399999999999999E-2</v>
      </c>
      <c r="K47" s="2435">
        <f t="shared" ref="K47:K55" si="13">$L47+$G47</f>
        <v>2.47E-2</v>
      </c>
      <c r="L47" s="2435">
        <v>0</v>
      </c>
      <c r="M47" s="2435">
        <f t="shared" ref="M47:N55" si="14">L47-$G47</f>
        <v>-2.47E-2</v>
      </c>
      <c r="N47" s="2435">
        <f t="shared" si="14"/>
        <v>-4.9399999999999999E-2</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c r="A48" s="1063" t="s">
        <v>1016</v>
      </c>
      <c r="B48" s="2405" t="str">
        <f>估价对象房地状况!C18</f>
        <v>估价对象周边道路状况、公共交通通达情况、停车便捷程度，综合评价交通便捷度较好</v>
      </c>
      <c r="C48" s="1046" t="s">
        <v>3014</v>
      </c>
      <c r="D48" s="2414">
        <f t="shared" si="10"/>
        <v>1.8700000000000001E-2</v>
      </c>
      <c r="E48" s="2436"/>
      <c r="F48" s="2434"/>
      <c r="G48" s="2412">
        <f t="shared" ref="G48:G55" si="15">H48</f>
        <v>1.8700000000000001E-2</v>
      </c>
      <c r="H48" s="2458">
        <f t="shared" si="11"/>
        <v>1.8700000000000001E-2</v>
      </c>
      <c r="I48" s="2432">
        <v>0.25</v>
      </c>
      <c r="J48" s="2435">
        <f t="shared" si="12"/>
        <v>3.7400000000000003E-2</v>
      </c>
      <c r="K48" s="2435">
        <f t="shared" si="13"/>
        <v>1.8700000000000001E-2</v>
      </c>
      <c r="L48" s="2435">
        <v>0</v>
      </c>
      <c r="M48" s="2435">
        <f t="shared" si="14"/>
        <v>-1.8700000000000001E-2</v>
      </c>
      <c r="N48" s="2435">
        <f t="shared" si="14"/>
        <v>-3.7400000000000003E-2</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1017</v>
      </c>
      <c r="B49" s="2405">
        <f>估价对象房地状况!C19</f>
        <v>0</v>
      </c>
      <c r="C49" s="1046" t="s">
        <v>3014</v>
      </c>
      <c r="D49" s="2414">
        <f t="shared" si="10"/>
        <v>3.7000000000000002E-3</v>
      </c>
      <c r="E49" s="2436"/>
      <c r="F49" s="2434"/>
      <c r="G49" s="2412">
        <f t="shared" si="15"/>
        <v>3.7000000000000002E-3</v>
      </c>
      <c r="H49" s="2458">
        <f t="shared" si="11"/>
        <v>3.7000000000000002E-3</v>
      </c>
      <c r="I49" s="2432">
        <v>0.05</v>
      </c>
      <c r="J49" s="2435">
        <f t="shared" si="12"/>
        <v>7.4000000000000003E-3</v>
      </c>
      <c r="K49" s="2435">
        <f t="shared" si="13"/>
        <v>3.7000000000000002E-3</v>
      </c>
      <c r="L49" s="2435">
        <v>0</v>
      </c>
      <c r="M49" s="2435">
        <f t="shared" si="14"/>
        <v>-3.7000000000000002E-3</v>
      </c>
      <c r="N49" s="2435">
        <f t="shared" si="14"/>
        <v>-7.4000000000000003E-3</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3" t="s">
        <v>1018</v>
      </c>
      <c r="B50" s="3092" t="s">
        <v>2935</v>
      </c>
      <c r="C50" s="1046" t="s">
        <v>3014</v>
      </c>
      <c r="D50" s="2414">
        <f t="shared" si="10"/>
        <v>3.7000000000000002E-3</v>
      </c>
      <c r="E50" s="2436"/>
      <c r="F50" s="2434"/>
      <c r="G50" s="2412">
        <f t="shared" si="15"/>
        <v>3.7000000000000002E-3</v>
      </c>
      <c r="H50" s="2458">
        <f t="shared" si="11"/>
        <v>3.7000000000000002E-3</v>
      </c>
      <c r="I50" s="2432">
        <v>0.05</v>
      </c>
      <c r="J50" s="2435">
        <f t="shared" si="12"/>
        <v>7.4000000000000003E-3</v>
      </c>
      <c r="K50" s="2435">
        <f t="shared" si="13"/>
        <v>3.7000000000000002E-3</v>
      </c>
      <c r="L50" s="2435">
        <v>0</v>
      </c>
      <c r="M50" s="2435">
        <f t="shared" si="14"/>
        <v>-3.7000000000000002E-3</v>
      </c>
      <c r="N50" s="2435">
        <f t="shared" si="14"/>
        <v>-7.4000000000000003E-3</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1019</v>
      </c>
      <c r="B51" s="2405">
        <f>估价对象房地状况!C24</f>
        <v>0</v>
      </c>
      <c r="C51" s="1046" t="s">
        <v>3014</v>
      </c>
      <c r="D51" s="2414">
        <f t="shared" si="10"/>
        <v>6.0000000000000001E-3</v>
      </c>
      <c r="E51" s="2436"/>
      <c r="F51" s="2434"/>
      <c r="G51" s="2412">
        <f t="shared" si="15"/>
        <v>6.0000000000000001E-3</v>
      </c>
      <c r="H51" s="2458">
        <f t="shared" si="11"/>
        <v>6.0000000000000001E-3</v>
      </c>
      <c r="I51" s="2432">
        <v>0.08</v>
      </c>
      <c r="J51" s="2435">
        <f t="shared" si="12"/>
        <v>1.2E-2</v>
      </c>
      <c r="K51" s="2435">
        <f t="shared" si="13"/>
        <v>6.0000000000000001E-3</v>
      </c>
      <c r="L51" s="2435">
        <v>0</v>
      </c>
      <c r="M51" s="2435">
        <f t="shared" si="14"/>
        <v>-6.0000000000000001E-3</v>
      </c>
      <c r="N51" s="2435">
        <f t="shared" si="14"/>
        <v>-1.2E-2</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3" t="s">
        <v>1020</v>
      </c>
      <c r="B52" s="3091" t="s">
        <v>2934</v>
      </c>
      <c r="C52" s="1046" t="s">
        <v>3014</v>
      </c>
      <c r="D52" s="2414">
        <f t="shared" si="10"/>
        <v>2.2000000000000001E-3</v>
      </c>
      <c r="E52" s="2436"/>
      <c r="F52" s="2434"/>
      <c r="G52" s="2412">
        <f t="shared" si="15"/>
        <v>2.2000000000000001E-3</v>
      </c>
      <c r="H52" s="2458">
        <f t="shared" si="11"/>
        <v>2.2000000000000001E-3</v>
      </c>
      <c r="I52" s="2432">
        <v>0.03</v>
      </c>
      <c r="J52" s="2435">
        <f t="shared" si="12"/>
        <v>4.4000000000000003E-3</v>
      </c>
      <c r="K52" s="2435">
        <f t="shared" si="13"/>
        <v>2.2000000000000001E-3</v>
      </c>
      <c r="L52" s="2435">
        <v>0</v>
      </c>
      <c r="M52" s="2435">
        <f t="shared" si="14"/>
        <v>-2.2000000000000001E-3</v>
      </c>
      <c r="N52" s="2435">
        <f t="shared" si="14"/>
        <v>-4.4000000000000003E-3</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1021</v>
      </c>
      <c r="B53" s="2406" t="str">
        <f>估价对象房地状况!C21</f>
        <v>估价对象所在区域公共配套设施齐备情况</v>
      </c>
      <c r="C53" s="1046" t="s">
        <v>3001</v>
      </c>
      <c r="D53" s="2414">
        <f t="shared" si="10"/>
        <v>0</v>
      </c>
      <c r="E53" s="2436"/>
      <c r="F53" s="2434"/>
      <c r="G53" s="2412">
        <f t="shared" si="15"/>
        <v>3.7000000000000002E-3</v>
      </c>
      <c r="H53" s="2458">
        <f t="shared" si="11"/>
        <v>3.7000000000000002E-3</v>
      </c>
      <c r="I53" s="2432">
        <v>0.05</v>
      </c>
      <c r="J53" s="2435">
        <f t="shared" si="12"/>
        <v>7.4000000000000003E-3</v>
      </c>
      <c r="K53" s="2435">
        <f t="shared" si="13"/>
        <v>3.7000000000000002E-3</v>
      </c>
      <c r="L53" s="2435">
        <v>0</v>
      </c>
      <c r="M53" s="2435">
        <f t="shared" si="14"/>
        <v>-3.7000000000000002E-3</v>
      </c>
      <c r="N53" s="2435">
        <f t="shared" si="14"/>
        <v>-7.4000000000000003E-3</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1022</v>
      </c>
      <c r="B54" s="2405" t="str">
        <f>估价对象房地状况!C22</f>
        <v>估价对象所在区域基础设施水平</v>
      </c>
      <c r="C54" s="1046" t="s">
        <v>3014</v>
      </c>
      <c r="D54" s="2414">
        <f t="shared" si="10"/>
        <v>7.4999999999999997E-3</v>
      </c>
      <c r="E54" s="2436"/>
      <c r="F54" s="2434"/>
      <c r="G54" s="2412">
        <f t="shared" si="15"/>
        <v>7.4999999999999997E-3</v>
      </c>
      <c r="H54" s="2458">
        <f t="shared" si="11"/>
        <v>7.4999999999999997E-3</v>
      </c>
      <c r="I54" s="2432">
        <v>0.1</v>
      </c>
      <c r="J54" s="2435">
        <f t="shared" si="12"/>
        <v>1.4999999999999999E-2</v>
      </c>
      <c r="K54" s="2435">
        <f t="shared" si="13"/>
        <v>7.4999999999999997E-3</v>
      </c>
      <c r="L54" s="2435">
        <v>0</v>
      </c>
      <c r="M54" s="2435">
        <f t="shared" si="14"/>
        <v>-7.4999999999999997E-3</v>
      </c>
      <c r="N54" s="2435">
        <f t="shared" si="14"/>
        <v>-1.4999999999999999E-2</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38" t="s">
        <v>1023</v>
      </c>
      <c r="B55" s="2409" t="str">
        <f>估价对象房地状况!C20</f>
        <v>区域自然环境：；人文环境；综合评价环境状况一般</v>
      </c>
      <c r="C55" s="3292" t="s">
        <v>3014</v>
      </c>
      <c r="D55" s="2414">
        <f t="shared" si="10"/>
        <v>4.4999999999999997E-3</v>
      </c>
      <c r="E55" s="2440"/>
      <c r="F55" s="2434"/>
      <c r="G55" s="2412">
        <f t="shared" si="15"/>
        <v>4.4999999999999997E-3</v>
      </c>
      <c r="H55" s="2458">
        <f t="shared" si="11"/>
        <v>4.4999999999999997E-3</v>
      </c>
      <c r="I55" s="2439">
        <v>0.06</v>
      </c>
      <c r="J55" s="2435">
        <f t="shared" si="12"/>
        <v>8.9999999999999993E-3</v>
      </c>
      <c r="K55" s="2435">
        <f t="shared" si="13"/>
        <v>4.4999999999999997E-3</v>
      </c>
      <c r="L55" s="2435">
        <v>0</v>
      </c>
      <c r="M55" s="2435">
        <f t="shared" si="14"/>
        <v>-4.4999999999999997E-3</v>
      </c>
      <c r="N55" s="2435">
        <f t="shared" si="14"/>
        <v>-8.9999999999999993E-3</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1024</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1003</v>
      </c>
      <c r="B57" s="2405"/>
      <c r="C57" s="2427" t="s">
        <v>1005</v>
      </c>
      <c r="D57" s="2428" t="s">
        <v>1006</v>
      </c>
      <c r="E57" s="2429" t="s">
        <v>1008</v>
      </c>
      <c r="F57" s="2430" t="s">
        <v>2245</v>
      </c>
      <c r="G57" s="2428" t="s">
        <v>1009</v>
      </c>
      <c r="H57" s="2411" t="s">
        <v>2413</v>
      </c>
      <c r="I57" s="2428" t="s">
        <v>1007</v>
      </c>
      <c r="J57" s="2431" t="s">
        <v>1010</v>
      </c>
      <c r="K57" s="2431" t="s">
        <v>1011</v>
      </c>
      <c r="L57" s="2431" t="s">
        <v>1012</v>
      </c>
      <c r="M57" s="2431" t="s">
        <v>1013</v>
      </c>
      <c r="N57" s="2431" t="s">
        <v>1014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3" t="s">
        <v>1025</v>
      </c>
      <c r="B58" s="2408" t="str">
        <f>估价对象房地状况!C17</f>
        <v>估价对象位于XX商圈，周边办公楼项目较多，入驻率高，办公集聚程度较好</v>
      </c>
      <c r="C58" s="1046"/>
      <c r="D58" s="2414">
        <f t="shared" ref="D58:D66" si="16">SUMIF($J$57:$N$57,C58,J58:N58)</f>
        <v>0</v>
      </c>
      <c r="E58" s="2433">
        <f>ROUND(SUM(D58:D66),4)</f>
        <v>0</v>
      </c>
      <c r="F58" s="2434" t="str">
        <f>IF(E2="办公",SUMIF(L1:L12,G2,N1:N12),"——")</f>
        <v>——</v>
      </c>
      <c r="G58" s="2412"/>
      <c r="H58" s="2458" t="str">
        <f>IFERROR(ROUNDDOWN($F$58*I58/2,4),"——")</f>
        <v>——</v>
      </c>
      <c r="I58" s="2432">
        <v>0.24</v>
      </c>
      <c r="J58" s="2435">
        <f t="shared" ref="J58:J66" si="17">K58+$G58</f>
        <v>0</v>
      </c>
      <c r="K58" s="2435">
        <f t="shared" ref="K58:K66" si="18">$L58+$G58</f>
        <v>0</v>
      </c>
      <c r="L58" s="2435">
        <v>0</v>
      </c>
      <c r="M58" s="2435">
        <f t="shared" ref="M58:N66" si="19">L58-$G58</f>
        <v>0</v>
      </c>
      <c r="N58" s="2435">
        <f t="shared" si="19"/>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c r="A59" s="1063" t="s">
        <v>1016</v>
      </c>
      <c r="B59" s="2405" t="str">
        <f>估价对象房地状况!C18</f>
        <v>估价对象周边道路状况、公共交通通达情况、停车便捷程度，综合评价交通便捷度较好</v>
      </c>
      <c r="C59" s="1046"/>
      <c r="D59" s="2414">
        <f t="shared" si="16"/>
        <v>0</v>
      </c>
      <c r="E59" s="2436"/>
      <c r="F59" s="2434"/>
      <c r="G59" s="2412"/>
      <c r="H59" s="2413" t="str">
        <f t="shared" ref="H59:H66" si="20">IFERROR($F$58*I59/2,"——")</f>
        <v>——</v>
      </c>
      <c r="I59" s="2432">
        <v>0.3</v>
      </c>
      <c r="J59" s="2435">
        <f t="shared" si="17"/>
        <v>0</v>
      </c>
      <c r="K59" s="2435">
        <f t="shared" si="18"/>
        <v>0</v>
      </c>
      <c r="L59" s="2435">
        <v>0</v>
      </c>
      <c r="M59" s="2435">
        <f t="shared" si="19"/>
        <v>0</v>
      </c>
      <c r="N59" s="2435">
        <f t="shared" si="19"/>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1017</v>
      </c>
      <c r="B60" s="2405">
        <f>估价对象房地状况!C19</f>
        <v>0</v>
      </c>
      <c r="C60" s="1046"/>
      <c r="D60" s="2414">
        <f t="shared" si="16"/>
        <v>0</v>
      </c>
      <c r="E60" s="2436"/>
      <c r="F60" s="2434"/>
      <c r="G60" s="2412"/>
      <c r="H60" s="2413" t="str">
        <f t="shared" si="20"/>
        <v>——</v>
      </c>
      <c r="I60" s="2432">
        <v>0.08</v>
      </c>
      <c r="J60" s="2435">
        <f t="shared" si="17"/>
        <v>0</v>
      </c>
      <c r="K60" s="2435">
        <f t="shared" si="18"/>
        <v>0</v>
      </c>
      <c r="L60" s="2435">
        <v>0</v>
      </c>
      <c r="M60" s="2435">
        <f t="shared" si="19"/>
        <v>0</v>
      </c>
      <c r="N60" s="2435">
        <f t="shared" si="19"/>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3" t="s">
        <v>1018</v>
      </c>
      <c r="B61" s="3092" t="s">
        <v>2936</v>
      </c>
      <c r="C61" s="1046"/>
      <c r="D61" s="2414">
        <f t="shared" si="16"/>
        <v>0</v>
      </c>
      <c r="E61" s="2436"/>
      <c r="F61" s="2434"/>
      <c r="G61" s="2412"/>
      <c r="H61" s="2413" t="str">
        <f t="shared" si="20"/>
        <v>——</v>
      </c>
      <c r="I61" s="2432">
        <v>0.04</v>
      </c>
      <c r="J61" s="2435">
        <f t="shared" si="17"/>
        <v>0</v>
      </c>
      <c r="K61" s="2435">
        <f t="shared" si="18"/>
        <v>0</v>
      </c>
      <c r="L61" s="2435">
        <v>0</v>
      </c>
      <c r="M61" s="2435">
        <f t="shared" si="19"/>
        <v>0</v>
      </c>
      <c r="N61" s="2435">
        <f t="shared" si="19"/>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1019</v>
      </c>
      <c r="B62" s="2405">
        <f>估价对象房地状况!C24</f>
        <v>0</v>
      </c>
      <c r="C62" s="1046"/>
      <c r="D62" s="2414">
        <f t="shared" si="16"/>
        <v>0</v>
      </c>
      <c r="E62" s="2436"/>
      <c r="F62" s="2434"/>
      <c r="G62" s="2412"/>
      <c r="H62" s="2413" t="str">
        <f t="shared" si="20"/>
        <v>——</v>
      </c>
      <c r="I62" s="2432">
        <v>0.05</v>
      </c>
      <c r="J62" s="2435">
        <f t="shared" si="17"/>
        <v>0</v>
      </c>
      <c r="K62" s="2435">
        <f t="shared" si="18"/>
        <v>0</v>
      </c>
      <c r="L62" s="2435">
        <v>0</v>
      </c>
      <c r="M62" s="2435">
        <f t="shared" si="19"/>
        <v>0</v>
      </c>
      <c r="N62" s="2435">
        <f t="shared" si="19"/>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3" t="s">
        <v>1020</v>
      </c>
      <c r="B63" s="3091" t="s">
        <v>2934</v>
      </c>
      <c r="C63" s="1046"/>
      <c r="D63" s="2414">
        <f t="shared" si="16"/>
        <v>0</v>
      </c>
      <c r="E63" s="2436"/>
      <c r="F63" s="2434"/>
      <c r="G63" s="2412"/>
      <c r="H63" s="2413" t="str">
        <f t="shared" si="20"/>
        <v>——</v>
      </c>
      <c r="I63" s="2432">
        <v>0.05</v>
      </c>
      <c r="J63" s="2435">
        <f t="shared" si="17"/>
        <v>0</v>
      </c>
      <c r="K63" s="2435">
        <f t="shared" si="18"/>
        <v>0</v>
      </c>
      <c r="L63" s="2435">
        <v>0</v>
      </c>
      <c r="M63" s="2435">
        <f t="shared" si="19"/>
        <v>0</v>
      </c>
      <c r="N63" s="2435">
        <f t="shared" si="19"/>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1021</v>
      </c>
      <c r="B64" s="2406" t="str">
        <f>估价对象房地状况!C21</f>
        <v>估价对象所在区域公共配套设施齐备情况</v>
      </c>
      <c r="C64" s="1046"/>
      <c r="D64" s="2414">
        <f t="shared" si="16"/>
        <v>0</v>
      </c>
      <c r="E64" s="2436"/>
      <c r="F64" s="2434"/>
      <c r="G64" s="2412"/>
      <c r="H64" s="2413" t="str">
        <f t="shared" si="20"/>
        <v>——</v>
      </c>
      <c r="I64" s="2432">
        <v>0.06</v>
      </c>
      <c r="J64" s="2435">
        <f t="shared" si="17"/>
        <v>0</v>
      </c>
      <c r="K64" s="2435">
        <f t="shared" si="18"/>
        <v>0</v>
      </c>
      <c r="L64" s="2435">
        <v>0</v>
      </c>
      <c r="M64" s="2435">
        <f t="shared" si="19"/>
        <v>0</v>
      </c>
      <c r="N64" s="2435">
        <f t="shared" si="19"/>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1022</v>
      </c>
      <c r="B65" s="2406" t="str">
        <f>估价对象房地状况!C22</f>
        <v>估价对象所在区域基础设施水平</v>
      </c>
      <c r="C65" s="1046"/>
      <c r="D65" s="2414">
        <f t="shared" si="16"/>
        <v>0</v>
      </c>
      <c r="E65" s="2436"/>
      <c r="F65" s="2434"/>
      <c r="G65" s="2412"/>
      <c r="H65" s="2413" t="str">
        <f t="shared" si="20"/>
        <v>——</v>
      </c>
      <c r="I65" s="2432">
        <v>0.12</v>
      </c>
      <c r="J65" s="2435">
        <f t="shared" si="17"/>
        <v>0</v>
      </c>
      <c r="K65" s="2435">
        <f t="shared" si="18"/>
        <v>0</v>
      </c>
      <c r="L65" s="2435">
        <v>0</v>
      </c>
      <c r="M65" s="2435">
        <f t="shared" si="19"/>
        <v>0</v>
      </c>
      <c r="N65" s="2435">
        <f t="shared" si="19"/>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38" t="s">
        <v>1023</v>
      </c>
      <c r="B66" s="2410" t="str">
        <f>估价对象房地状况!C20</f>
        <v>区域自然环境：；人文环境；综合评价环境状况一般</v>
      </c>
      <c r="C66" s="1046"/>
      <c r="D66" s="2414">
        <f t="shared" si="16"/>
        <v>0</v>
      </c>
      <c r="E66" s="2440"/>
      <c r="F66" s="2434"/>
      <c r="G66" s="2412"/>
      <c r="H66" s="2413" t="str">
        <f t="shared" si="20"/>
        <v>——</v>
      </c>
      <c r="I66" s="2439">
        <v>0.06</v>
      </c>
      <c r="J66" s="2435">
        <f t="shared" si="17"/>
        <v>0</v>
      </c>
      <c r="K66" s="2435">
        <f t="shared" si="18"/>
        <v>0</v>
      </c>
      <c r="L66" s="2435">
        <v>0</v>
      </c>
      <c r="M66" s="2435">
        <f t="shared" si="19"/>
        <v>0</v>
      </c>
      <c r="N66" s="2435">
        <f t="shared" si="19"/>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1026</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1003</v>
      </c>
      <c r="B68" s="2405"/>
      <c r="C68" s="2427" t="s">
        <v>1005</v>
      </c>
      <c r="D68" s="2428" t="s">
        <v>1006</v>
      </c>
      <c r="E68" s="2429" t="s">
        <v>1008</v>
      </c>
      <c r="F68" s="2430" t="s">
        <v>2245</v>
      </c>
      <c r="G68" s="2428" t="s">
        <v>1009</v>
      </c>
      <c r="H68" s="2411" t="s">
        <v>2413</v>
      </c>
      <c r="I68" s="2428" t="s">
        <v>1007</v>
      </c>
      <c r="J68" s="2431" t="s">
        <v>1010</v>
      </c>
      <c r="K68" s="2431" t="s">
        <v>1011</v>
      </c>
      <c r="L68" s="2431" t="s">
        <v>1012</v>
      </c>
      <c r="M68" s="2431" t="s">
        <v>1013</v>
      </c>
      <c r="N68" s="2431" t="s">
        <v>1014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3" t="s">
        <v>1027</v>
      </c>
      <c r="B69" s="2408" t="str">
        <f>估价对象房地状况!C15</f>
        <v>估价对象周边居住用地比例、居住小区规模和社区发展完善程度，综合评价居住社区成熟度一般</v>
      </c>
      <c r="C69" s="1155"/>
      <c r="D69" s="2414">
        <f t="shared" ref="D69:D77" si="21">SUMIF($J$68:$N$68,C69,J69:N69)</f>
        <v>0</v>
      </c>
      <c r="E69" s="2433">
        <f>ROUND(SUM(D69:D77),4)</f>
        <v>0</v>
      </c>
      <c r="F69" s="2434" t="str">
        <f>IF(E2="住宅",SUMIF(L1:L12,G2,N1:N12),"——")</f>
        <v>——</v>
      </c>
      <c r="G69" s="2415"/>
      <c r="H69" s="2459" t="str">
        <f t="shared" ref="H69:H77" si="22">IFERROR(ROUNDDOWN($F$69*I69/2,4),"——")</f>
        <v>——</v>
      </c>
      <c r="I69" s="2432">
        <v>0.14000000000000001</v>
      </c>
      <c r="J69" s="2435">
        <f t="shared" ref="J69:J77" si="23">K69+$G69</f>
        <v>0</v>
      </c>
      <c r="K69" s="2435">
        <f t="shared" ref="K69:K77" si="24">$L69+$G69</f>
        <v>0</v>
      </c>
      <c r="L69" s="2435">
        <v>0</v>
      </c>
      <c r="M69" s="2435">
        <f t="shared" ref="M69:N77" si="25">L69-$G69</f>
        <v>0</v>
      </c>
      <c r="N69" s="2435">
        <f t="shared" si="25"/>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c r="A70" s="1063" t="s">
        <v>1028</v>
      </c>
      <c r="B70" s="2405" t="str">
        <f>估价对象房地状况!C18</f>
        <v>估价对象周边道路状况、公共交通通达情况、停车便捷程度，综合评价交通便捷度较好</v>
      </c>
      <c r="C70" s="1155"/>
      <c r="D70" s="2414">
        <f t="shared" si="21"/>
        <v>0</v>
      </c>
      <c r="E70" s="2442"/>
      <c r="F70" s="2443"/>
      <c r="G70" s="2415"/>
      <c r="H70" s="2459" t="str">
        <f t="shared" si="22"/>
        <v>——</v>
      </c>
      <c r="I70" s="2432">
        <v>0.3</v>
      </c>
      <c r="J70" s="2435">
        <f t="shared" si="23"/>
        <v>0</v>
      </c>
      <c r="K70" s="2435">
        <f t="shared" si="24"/>
        <v>0</v>
      </c>
      <c r="L70" s="2435">
        <v>0</v>
      </c>
      <c r="M70" s="2435">
        <f t="shared" si="25"/>
        <v>0</v>
      </c>
      <c r="N70" s="2435">
        <f t="shared" si="25"/>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1017</v>
      </c>
      <c r="B71" s="2405">
        <f>估价对象房地状况!C19</f>
        <v>0</v>
      </c>
      <c r="C71" s="1155"/>
      <c r="D71" s="2414">
        <f t="shared" si="21"/>
        <v>0</v>
      </c>
      <c r="E71" s="2442"/>
      <c r="F71" s="2443"/>
      <c r="G71" s="2415"/>
      <c r="H71" s="2459" t="str">
        <f t="shared" si="22"/>
        <v>——</v>
      </c>
      <c r="I71" s="2432">
        <v>0.08</v>
      </c>
      <c r="J71" s="2435">
        <f t="shared" si="23"/>
        <v>0</v>
      </c>
      <c r="K71" s="2435">
        <f t="shared" si="24"/>
        <v>0</v>
      </c>
      <c r="L71" s="2435">
        <v>0</v>
      </c>
      <c r="M71" s="2435">
        <f t="shared" si="25"/>
        <v>0</v>
      </c>
      <c r="N71" s="2435">
        <f t="shared" si="25"/>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3" t="s">
        <v>1029</v>
      </c>
      <c r="B72" s="2405">
        <f>估价对象房地状况!C24</f>
        <v>0</v>
      </c>
      <c r="C72" s="1155"/>
      <c r="D72" s="2414">
        <f t="shared" si="21"/>
        <v>0</v>
      </c>
      <c r="E72" s="2442"/>
      <c r="F72" s="2443"/>
      <c r="G72" s="2415"/>
      <c r="H72" s="2459" t="str">
        <f t="shared" si="22"/>
        <v>——</v>
      </c>
      <c r="I72" s="2432">
        <v>0.04</v>
      </c>
      <c r="J72" s="2435">
        <f t="shared" si="23"/>
        <v>0</v>
      </c>
      <c r="K72" s="2435">
        <f t="shared" si="24"/>
        <v>0</v>
      </c>
      <c r="L72" s="2435">
        <v>0</v>
      </c>
      <c r="M72" s="2435">
        <f t="shared" si="25"/>
        <v>0</v>
      </c>
      <c r="N72" s="2435">
        <f t="shared" si="25"/>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1021</v>
      </c>
      <c r="B73" s="2406" t="str">
        <f>估价对象房地状况!C21</f>
        <v>估价对象所在区域公共配套设施齐备情况</v>
      </c>
      <c r="C73" s="1155"/>
      <c r="D73" s="2414">
        <f t="shared" si="21"/>
        <v>0</v>
      </c>
      <c r="E73" s="2442"/>
      <c r="F73" s="2443"/>
      <c r="G73" s="2415"/>
      <c r="H73" s="2459" t="str">
        <f t="shared" si="22"/>
        <v>——</v>
      </c>
      <c r="I73" s="2432">
        <v>0.08</v>
      </c>
      <c r="J73" s="2435">
        <f t="shared" si="23"/>
        <v>0</v>
      </c>
      <c r="K73" s="2435">
        <f t="shared" si="24"/>
        <v>0</v>
      </c>
      <c r="L73" s="2435">
        <v>0</v>
      </c>
      <c r="M73" s="2435">
        <f t="shared" si="25"/>
        <v>0</v>
      </c>
      <c r="N73" s="2435">
        <f t="shared" si="25"/>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1022</v>
      </c>
      <c r="B74" s="2406" t="str">
        <f>估价对象房地状况!C22</f>
        <v>估价对象所在区域基础设施水平</v>
      </c>
      <c r="C74" s="1155"/>
      <c r="D74" s="2414">
        <f t="shared" si="21"/>
        <v>0</v>
      </c>
      <c r="E74" s="2442"/>
      <c r="F74" s="2443"/>
      <c r="G74" s="2415"/>
      <c r="H74" s="2459" t="str">
        <f t="shared" si="22"/>
        <v>——</v>
      </c>
      <c r="I74" s="2432">
        <v>0.12</v>
      </c>
      <c r="J74" s="2435">
        <f t="shared" si="23"/>
        <v>0</v>
      </c>
      <c r="K74" s="2435">
        <f t="shared" si="24"/>
        <v>0</v>
      </c>
      <c r="L74" s="2435">
        <v>0</v>
      </c>
      <c r="M74" s="2435">
        <f t="shared" si="25"/>
        <v>0</v>
      </c>
      <c r="N74" s="2435">
        <f t="shared" si="25"/>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3" t="s">
        <v>1020</v>
      </c>
      <c r="B75" s="3091" t="s">
        <v>2934</v>
      </c>
      <c r="C75" s="1155"/>
      <c r="D75" s="2414">
        <f t="shared" si="21"/>
        <v>0</v>
      </c>
      <c r="E75" s="2442"/>
      <c r="F75" s="2443"/>
      <c r="G75" s="2415"/>
      <c r="H75" s="2459" t="str">
        <f t="shared" si="22"/>
        <v>——</v>
      </c>
      <c r="I75" s="2432">
        <v>0.05</v>
      </c>
      <c r="J75" s="2435">
        <f t="shared" si="23"/>
        <v>0</v>
      </c>
      <c r="K75" s="2435">
        <f t="shared" si="24"/>
        <v>0</v>
      </c>
      <c r="L75" s="2435">
        <v>0</v>
      </c>
      <c r="M75" s="2435">
        <f t="shared" si="25"/>
        <v>0</v>
      </c>
      <c r="N75" s="2435">
        <f t="shared" si="25"/>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1023</v>
      </c>
      <c r="B76" s="2408" t="str">
        <f>估价对象房地状况!C20</f>
        <v>区域自然环境：；人文环境；综合评价环境状况一般</v>
      </c>
      <c r="C76" s="1155"/>
      <c r="D76" s="2414">
        <f t="shared" si="21"/>
        <v>0</v>
      </c>
      <c r="E76" s="2442"/>
      <c r="F76" s="2443"/>
      <c r="G76" s="2415"/>
      <c r="H76" s="2459" t="str">
        <f t="shared" si="22"/>
        <v>——</v>
      </c>
      <c r="I76" s="2432">
        <v>0.15</v>
      </c>
      <c r="J76" s="2435">
        <f t="shared" si="23"/>
        <v>0</v>
      </c>
      <c r="K76" s="2435">
        <f t="shared" si="24"/>
        <v>0</v>
      </c>
      <c r="L76" s="2435">
        <v>0</v>
      </c>
      <c r="M76" s="2435">
        <f t="shared" si="25"/>
        <v>0</v>
      </c>
      <c r="N76" s="2435">
        <f t="shared" si="25"/>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1030</v>
      </c>
      <c r="B77" s="1847"/>
      <c r="C77" s="1155"/>
      <c r="D77" s="2414">
        <f t="shared" si="21"/>
        <v>0</v>
      </c>
      <c r="E77" s="2444"/>
      <c r="F77" s="2443"/>
      <c r="G77" s="2415"/>
      <c r="H77" s="2459" t="str">
        <f t="shared" si="22"/>
        <v>——</v>
      </c>
      <c r="I77" s="2439">
        <v>0.04</v>
      </c>
      <c r="J77" s="2435">
        <f t="shared" si="23"/>
        <v>0</v>
      </c>
      <c r="K77" s="2435">
        <f t="shared" si="24"/>
        <v>0</v>
      </c>
      <c r="L77" s="2435">
        <v>0</v>
      </c>
      <c r="M77" s="2435">
        <f t="shared" si="25"/>
        <v>0</v>
      </c>
      <c r="N77" s="2435">
        <f t="shared" si="25"/>
        <v>0</v>
      </c>
      <c r="AC77" s="1401"/>
      <c r="AD77" s="1400"/>
      <c r="AJ77" s="1399"/>
      <c r="AN77" s="1400"/>
    </row>
    <row r="78" spans="1:40" ht="15">
      <c r="A78" s="2421" t="s">
        <v>1031</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1003</v>
      </c>
      <c r="B79" s="2405"/>
      <c r="C79" s="2427" t="s">
        <v>1005</v>
      </c>
      <c r="D79" s="2428" t="s">
        <v>1006</v>
      </c>
      <c r="E79" s="2429" t="s">
        <v>1008</v>
      </c>
      <c r="F79" s="2430" t="s">
        <v>2245</v>
      </c>
      <c r="G79" s="2428" t="s">
        <v>1009</v>
      </c>
      <c r="H79" s="2411" t="s">
        <v>2413</v>
      </c>
      <c r="I79" s="2428" t="s">
        <v>1007</v>
      </c>
      <c r="J79" s="2431" t="s">
        <v>1010</v>
      </c>
      <c r="K79" s="2431" t="s">
        <v>1011</v>
      </c>
      <c r="L79" s="2431" t="s">
        <v>1012</v>
      </c>
      <c r="M79" s="2431" t="s">
        <v>1013</v>
      </c>
      <c r="N79" s="2431" t="s">
        <v>1014</v>
      </c>
      <c r="AC79" s="1401"/>
      <c r="AD79" s="1400"/>
      <c r="AJ79" s="1399"/>
      <c r="AN79" s="1400"/>
    </row>
    <row r="80" spans="1:40" ht="36">
      <c r="A80" s="1063" t="s">
        <v>1032</v>
      </c>
      <c r="B80" s="2405" t="str">
        <f>估价对象房地状况!G15</f>
        <v>估价对象位于XX开发区，园区建设成熟度XX，产业集聚程度XX</v>
      </c>
      <c r="C80" s="1046"/>
      <c r="D80" s="2414">
        <f t="shared" ref="D80:D87" si="26">SUMIF($J$79:$N$79,C80,J80:N80)</f>
        <v>0</v>
      </c>
      <c r="E80" s="2433">
        <f>ROUND(SUM(D80:D87),4)</f>
        <v>0</v>
      </c>
      <c r="F80" s="2434" t="str">
        <f>IF(E2="工业",SUMIF(L1:L12,G2,N1:N12),"——")</f>
        <v>——</v>
      </c>
      <c r="G80" s="2412"/>
      <c r="H80" s="2458" t="str">
        <f t="shared" ref="H80:H87" si="27">IFERROR(ROUNDDOWN($F$80*I80/2,4),"——")</f>
        <v>——</v>
      </c>
      <c r="I80" s="2432">
        <v>0.26</v>
      </c>
      <c r="J80" s="2435">
        <f t="shared" ref="J80:J87" si="28">K80+$G80</f>
        <v>0</v>
      </c>
      <c r="K80" s="2435">
        <f t="shared" ref="K80:K87" si="29">$L80+$G80</f>
        <v>0</v>
      </c>
      <c r="L80" s="2435">
        <v>0</v>
      </c>
      <c r="M80" s="2435">
        <f t="shared" ref="M80:N87" si="30">L80-$G80</f>
        <v>0</v>
      </c>
      <c r="N80" s="2435">
        <f t="shared" si="30"/>
        <v>0</v>
      </c>
      <c r="AC80" s="1401"/>
      <c r="AD80" s="1400"/>
      <c r="AJ80" s="1399"/>
      <c r="AN80" s="1400"/>
    </row>
    <row r="81" spans="1:40" ht="48">
      <c r="A81" s="1063" t="s">
        <v>1028</v>
      </c>
      <c r="B81" s="2405" t="str">
        <f>估价对象房地状况!G16</f>
        <v>估价对象周边道路状况、公共交通通达情况、停车便捷程度，综合评价交通便捷度较好</v>
      </c>
      <c r="C81" s="1046"/>
      <c r="D81" s="2414">
        <f t="shared" si="26"/>
        <v>0</v>
      </c>
      <c r="E81" s="2442"/>
      <c r="F81" s="2443"/>
      <c r="G81" s="2412"/>
      <c r="H81" s="2458" t="str">
        <f t="shared" si="27"/>
        <v>——</v>
      </c>
      <c r="I81" s="2432">
        <v>0.33</v>
      </c>
      <c r="J81" s="2435">
        <f t="shared" si="28"/>
        <v>0</v>
      </c>
      <c r="K81" s="2435">
        <f t="shared" si="29"/>
        <v>0</v>
      </c>
      <c r="L81" s="2435">
        <v>0</v>
      </c>
      <c r="M81" s="2435">
        <f t="shared" si="30"/>
        <v>0</v>
      </c>
      <c r="N81" s="2435">
        <f t="shared" si="30"/>
        <v>0</v>
      </c>
      <c r="AC81" s="1401"/>
      <c r="AD81" s="1400"/>
      <c r="AJ81" s="1399"/>
      <c r="AN81" s="1400"/>
    </row>
    <row r="82" spans="1:40" ht="24">
      <c r="A82" s="1063" t="s">
        <v>1017</v>
      </c>
      <c r="B82" s="2405">
        <f>估价对象房地状况!G17</f>
        <v>0</v>
      </c>
      <c r="C82" s="1046"/>
      <c r="D82" s="2414">
        <f t="shared" si="26"/>
        <v>0</v>
      </c>
      <c r="E82" s="2442"/>
      <c r="F82" s="2443"/>
      <c r="G82" s="2412"/>
      <c r="H82" s="2458" t="str">
        <f t="shared" si="27"/>
        <v>——</v>
      </c>
      <c r="I82" s="2432">
        <v>0.05</v>
      </c>
      <c r="J82" s="2435">
        <f t="shared" si="28"/>
        <v>0</v>
      </c>
      <c r="K82" s="2435">
        <f t="shared" si="29"/>
        <v>0</v>
      </c>
      <c r="L82" s="2435">
        <v>0</v>
      </c>
      <c r="M82" s="2435">
        <f t="shared" si="30"/>
        <v>0</v>
      </c>
      <c r="N82" s="2435">
        <f t="shared" si="30"/>
        <v>0</v>
      </c>
      <c r="AC82" s="1401"/>
      <c r="AD82" s="1400"/>
      <c r="AJ82" s="1399"/>
      <c r="AN82" s="1400"/>
    </row>
    <row r="83" spans="1:40" ht="14.25">
      <c r="A83" s="1063" t="s">
        <v>1029</v>
      </c>
      <c r="B83" s="2405">
        <f>估价对象房地状况!G22</f>
        <v>0</v>
      </c>
      <c r="C83" s="1046"/>
      <c r="D83" s="2414">
        <f t="shared" si="26"/>
        <v>0</v>
      </c>
      <c r="E83" s="2442"/>
      <c r="F83" s="2443"/>
      <c r="G83" s="2412"/>
      <c r="H83" s="2458" t="str">
        <f t="shared" si="27"/>
        <v>——</v>
      </c>
      <c r="I83" s="2432">
        <v>0.04</v>
      </c>
      <c r="J83" s="2435">
        <f t="shared" si="28"/>
        <v>0</v>
      </c>
      <c r="K83" s="2435">
        <f t="shared" si="29"/>
        <v>0</v>
      </c>
      <c r="L83" s="2435">
        <v>0</v>
      </c>
      <c r="M83" s="2435">
        <f t="shared" si="30"/>
        <v>0</v>
      </c>
      <c r="N83" s="2435">
        <f t="shared" si="30"/>
        <v>0</v>
      </c>
      <c r="AC83" s="1401"/>
      <c r="AD83" s="1400"/>
      <c r="AJ83" s="1399"/>
      <c r="AN83" s="1400"/>
    </row>
    <row r="84" spans="1:40" ht="24">
      <c r="A84" s="1063" t="s">
        <v>1021</v>
      </c>
      <c r="B84" s="2406" t="str">
        <f>估价对象房地状况!G19</f>
        <v>估价对象所在区域公共配套设施齐备情况</v>
      </c>
      <c r="C84" s="1046"/>
      <c r="D84" s="2414">
        <f t="shared" si="26"/>
        <v>0</v>
      </c>
      <c r="E84" s="2442"/>
      <c r="F84" s="2443"/>
      <c r="G84" s="2412"/>
      <c r="H84" s="2458" t="str">
        <f t="shared" si="27"/>
        <v>——</v>
      </c>
      <c r="I84" s="2432">
        <v>0.06</v>
      </c>
      <c r="J84" s="2435">
        <f t="shared" si="28"/>
        <v>0</v>
      </c>
      <c r="K84" s="2435">
        <f t="shared" si="29"/>
        <v>0</v>
      </c>
      <c r="L84" s="2435">
        <v>0</v>
      </c>
      <c r="M84" s="2435">
        <f t="shared" si="30"/>
        <v>0</v>
      </c>
      <c r="N84" s="2435">
        <f t="shared" si="30"/>
        <v>0</v>
      </c>
      <c r="AC84" s="1401"/>
      <c r="AD84" s="1400"/>
      <c r="AJ84" s="1399"/>
      <c r="AN84" s="1400"/>
    </row>
    <row r="85" spans="1:40" ht="24">
      <c r="A85" s="1063" t="s">
        <v>1022</v>
      </c>
      <c r="B85" s="2406" t="str">
        <f>估价对象房地状况!G20</f>
        <v>估价对象所在区域基础设施水平</v>
      </c>
      <c r="C85" s="1046"/>
      <c r="D85" s="2414">
        <f t="shared" si="26"/>
        <v>0</v>
      </c>
      <c r="E85" s="2442"/>
      <c r="F85" s="2443"/>
      <c r="G85" s="2412"/>
      <c r="H85" s="2458" t="str">
        <f t="shared" si="27"/>
        <v>——</v>
      </c>
      <c r="I85" s="2432">
        <v>0.15</v>
      </c>
      <c r="J85" s="2435">
        <f t="shared" si="28"/>
        <v>0</v>
      </c>
      <c r="K85" s="2435">
        <f t="shared" si="29"/>
        <v>0</v>
      </c>
      <c r="L85" s="2435">
        <v>0</v>
      </c>
      <c r="M85" s="2435">
        <f t="shared" si="30"/>
        <v>0</v>
      </c>
      <c r="N85" s="2435">
        <f t="shared" si="30"/>
        <v>0</v>
      </c>
      <c r="AC85" s="1401"/>
      <c r="AD85" s="1400"/>
      <c r="AJ85" s="1399"/>
      <c r="AN85" s="1400"/>
    </row>
    <row r="86" spans="1:40" ht="24">
      <c r="A86" s="1063" t="s">
        <v>1020</v>
      </c>
      <c r="B86" s="3091" t="s">
        <v>2934</v>
      </c>
      <c r="C86" s="1046"/>
      <c r="D86" s="2414">
        <f t="shared" si="26"/>
        <v>0</v>
      </c>
      <c r="E86" s="2442"/>
      <c r="F86" s="2443"/>
      <c r="G86" s="2412"/>
      <c r="H86" s="2458" t="str">
        <f t="shared" si="27"/>
        <v>——</v>
      </c>
      <c r="I86" s="2432">
        <v>0.05</v>
      </c>
      <c r="J86" s="2435">
        <f t="shared" si="28"/>
        <v>0</v>
      </c>
      <c r="K86" s="2435">
        <f t="shared" si="29"/>
        <v>0</v>
      </c>
      <c r="L86" s="2435">
        <v>0</v>
      </c>
      <c r="M86" s="2435">
        <f t="shared" si="30"/>
        <v>0</v>
      </c>
      <c r="N86" s="2435">
        <f t="shared" si="30"/>
        <v>0</v>
      </c>
      <c r="AC86" s="1401"/>
      <c r="AD86" s="1400"/>
      <c r="AJ86" s="1399"/>
      <c r="AN86" s="1400"/>
    </row>
    <row r="87" spans="1:40" ht="36.75" thickBot="1">
      <c r="A87" s="2438" t="s">
        <v>1033</v>
      </c>
      <c r="B87" s="2407" t="str">
        <f>估价对象房地状况!G18</f>
        <v>该园区内是否有污染型企业，绿化情况，卫生条件，整体环境状况判断</v>
      </c>
      <c r="C87" s="1046"/>
      <c r="D87" s="2414">
        <f t="shared" si="26"/>
        <v>0</v>
      </c>
      <c r="E87" s="2444"/>
      <c r="F87" s="2443"/>
      <c r="G87" s="2412"/>
      <c r="H87" s="2458" t="str">
        <f t="shared" si="27"/>
        <v>——</v>
      </c>
      <c r="I87" s="2439">
        <v>0.06</v>
      </c>
      <c r="J87" s="2435">
        <f t="shared" si="28"/>
        <v>0</v>
      </c>
      <c r="K87" s="2435">
        <f t="shared" si="29"/>
        <v>0</v>
      </c>
      <c r="L87" s="2435">
        <v>0</v>
      </c>
      <c r="M87" s="2435">
        <f t="shared" si="30"/>
        <v>0</v>
      </c>
      <c r="N87" s="2435">
        <f t="shared" si="30"/>
        <v>0</v>
      </c>
      <c r="AC87" s="1401"/>
      <c r="AD87" s="1400"/>
      <c r="AJ87" s="1399"/>
      <c r="AN87" s="1400"/>
    </row>
    <row r="90" spans="1:40">
      <c r="A90" s="3527" t="s">
        <v>1628</v>
      </c>
      <c r="B90" s="3527"/>
      <c r="C90" s="3527"/>
      <c r="D90" s="3527"/>
      <c r="E90" s="3527"/>
      <c r="F90" s="3527"/>
      <c r="G90" s="3527"/>
      <c r="H90" s="3527"/>
      <c r="I90" s="3527"/>
      <c r="J90" s="3527"/>
      <c r="K90" s="3181"/>
      <c r="L90" s="3181"/>
      <c r="M90" s="3181"/>
      <c r="N90" s="3181"/>
    </row>
    <row r="91" spans="1:40">
      <c r="A91" s="3528" t="s">
        <v>916</v>
      </c>
      <c r="B91" s="3528" t="s">
        <v>1629</v>
      </c>
      <c r="C91" s="1136" t="s">
        <v>1630</v>
      </c>
      <c r="D91" s="1137"/>
      <c r="E91" s="1137"/>
      <c r="F91" s="1137"/>
      <c r="G91" s="1137"/>
      <c r="H91" s="1137"/>
      <c r="I91" s="1137"/>
      <c r="J91" s="1138"/>
      <c r="K91" s="1130"/>
      <c r="L91" s="1130"/>
      <c r="M91" s="1130"/>
      <c r="N91" s="1130"/>
    </row>
    <row r="92" spans="1:40">
      <c r="A92" s="3528"/>
      <c r="B92" s="3528"/>
      <c r="C92" s="3182" t="s">
        <v>878</v>
      </c>
      <c r="D92" s="3182" t="s">
        <v>879</v>
      </c>
      <c r="E92" s="3182" t="s">
        <v>880</v>
      </c>
      <c r="F92" s="3182" t="s">
        <v>881</v>
      </c>
      <c r="G92" s="3182" t="s">
        <v>882</v>
      </c>
      <c r="H92" s="3182" t="s">
        <v>883</v>
      </c>
      <c r="I92" s="3182" t="s">
        <v>884</v>
      </c>
      <c r="J92" s="3182" t="s">
        <v>885</v>
      </c>
      <c r="K92" s="3182" t="s">
        <v>886</v>
      </c>
      <c r="L92" s="3182" t="s">
        <v>887</v>
      </c>
      <c r="M92" s="3182" t="s">
        <v>888</v>
      </c>
      <c r="N92" s="3182" t="s">
        <v>912</v>
      </c>
    </row>
    <row r="93" spans="1:40">
      <c r="A93" s="352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0"/>
      <c r="B99" s="1139" t="s">
        <v>1631</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5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29" t="s">
        <v>1632</v>
      </c>
      <c r="B101" s="1143" t="s">
        <v>877</v>
      </c>
      <c r="C101" s="1144">
        <f>$G$3</f>
        <v>2.5</v>
      </c>
      <c r="D101" s="1144">
        <f t="shared" ref="D101:N101" si="32">$G$3</f>
        <v>2.5</v>
      </c>
      <c r="E101" s="1144">
        <f t="shared" si="32"/>
        <v>2.5</v>
      </c>
      <c r="F101" s="1144">
        <f t="shared" si="32"/>
        <v>2.5</v>
      </c>
      <c r="G101" s="1144">
        <f t="shared" si="32"/>
        <v>2.5</v>
      </c>
      <c r="H101" s="1144">
        <f t="shared" si="32"/>
        <v>2.5</v>
      </c>
      <c r="I101" s="1144">
        <f t="shared" si="32"/>
        <v>2.5</v>
      </c>
      <c r="J101" s="1144">
        <f t="shared" si="32"/>
        <v>2.5</v>
      </c>
      <c r="K101" s="1144">
        <f t="shared" si="32"/>
        <v>2.5</v>
      </c>
      <c r="L101" s="1144">
        <f t="shared" si="32"/>
        <v>2.5</v>
      </c>
      <c r="M101" s="1144">
        <f t="shared" si="32"/>
        <v>2.5</v>
      </c>
      <c r="N101" s="1144">
        <f t="shared" si="32"/>
        <v>2.5</v>
      </c>
    </row>
    <row r="102" spans="1:14">
      <c r="A102" s="3530"/>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530"/>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530"/>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530"/>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530"/>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530"/>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530"/>
      <c r="B108" s="3532" t="s">
        <v>1633</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531"/>
      <c r="B109" s="3533"/>
      <c r="C109" s="1142">
        <f>(-0.163*(C108^2)-0.59*C108+7617)*(10^(-4))/C101</f>
        <v>0.30407392</v>
      </c>
      <c r="D109" s="1142">
        <f>(-0.163*(D108^2)-0.59*D108+7617)*(10^(-4))/D101</f>
        <v>0.30407392</v>
      </c>
      <c r="E109" s="1142">
        <f>(-0.161*(E108^2)-7.509*E108+6533)*(10^(-4))/E101</f>
        <v>0.25850496000000001</v>
      </c>
      <c r="F109" s="1142">
        <f>(-0.161*(F108^2)-7.509*F108+6533)*(10^(-4))/F101</f>
        <v>0.25850496000000001</v>
      </c>
      <c r="G109" s="1142">
        <f>(-0.161*(G108^2)-7.509*G108+6533)*(10^(-4))/G101</f>
        <v>0.25850496000000001</v>
      </c>
      <c r="H109" s="1142">
        <f>(-0.161*(H108^2)-7.509*H108+6533)*(10^(-4))/H101</f>
        <v>0.25850496000000001</v>
      </c>
      <c r="I109" s="1142">
        <f>(-0.161*(I108^2)-7.509*I108+6533)*(10^(-4))/I101</f>
        <v>0.25850496000000001</v>
      </c>
      <c r="J109" s="1142">
        <f>(-0.214*(J108^2)-21.991*J108+4665)*(10^(-4))/J101</f>
        <v>0.17901504000000001</v>
      </c>
      <c r="K109" s="1142">
        <f>(-0.214*(K108^2)-21.991*K108+4665)*(10^(-4))/K101</f>
        <v>0.17901504000000001</v>
      </c>
      <c r="L109" s="1142">
        <f>(-0.214*(L108^2)-21.991*L108+4665)*(10^(-4))/L101</f>
        <v>0.17901504000000001</v>
      </c>
      <c r="M109" s="1142">
        <f>(-0.214*(M108^2)-21.991*M108+4665)*(10^(-4))/M101</f>
        <v>0.17901504000000001</v>
      </c>
      <c r="N109" s="1142">
        <f>(-0.214*(N108^2)-21.991*N108+4665)*(10^(-4))/N101</f>
        <v>0.17901504000000001</v>
      </c>
    </row>
    <row r="110" spans="1:14">
      <c r="A110" s="3523" t="s">
        <v>1634</v>
      </c>
      <c r="B110" s="3523"/>
      <c r="C110" s="3523"/>
      <c r="D110" s="3523"/>
      <c r="E110" s="3523"/>
      <c r="F110" s="3523"/>
      <c r="G110" s="3523"/>
      <c r="H110" s="3523"/>
      <c r="I110" s="3523"/>
      <c r="J110" s="3523"/>
      <c r="K110" s="3180"/>
      <c r="L110" s="3180"/>
      <c r="M110" s="3180"/>
      <c r="N110" s="3180"/>
    </row>
    <row r="112" spans="1:14" ht="12.75" thickBot="1"/>
    <row r="113" spans="1:13" ht="25.5" thickBot="1">
      <c r="A113" s="1012" t="s">
        <v>890</v>
      </c>
      <c r="B113" s="2448">
        <f>G3</f>
        <v>2.5</v>
      </c>
      <c r="C113" s="1013" t="s">
        <v>891</v>
      </c>
      <c r="D113" s="1014">
        <f>SUMPRODUCT((A115:A118=F113)*(B114:M114=H113)*B115:M118)</f>
        <v>0.65029999999999999</v>
      </c>
      <c r="E113" s="1015" t="s">
        <v>892</v>
      </c>
      <c r="F113" s="1016" t="str">
        <f>E2</f>
        <v>商业</v>
      </c>
      <c r="G113" s="1015" t="s">
        <v>893</v>
      </c>
      <c r="H113" s="1016" t="str">
        <f>G2</f>
        <v>九级</v>
      </c>
      <c r="I113" s="1015"/>
      <c r="J113" s="1007"/>
      <c r="K113" s="1007"/>
      <c r="L113" s="1007"/>
      <c r="M113" s="1007"/>
    </row>
    <row r="114" spans="1:13" ht="12.75">
      <c r="A114" s="1019"/>
      <c r="B114" s="1020" t="s">
        <v>878</v>
      </c>
      <c r="C114" s="1020" t="s">
        <v>879</v>
      </c>
      <c r="D114" s="1020" t="s">
        <v>880</v>
      </c>
      <c r="E114" s="1021" t="s">
        <v>881</v>
      </c>
      <c r="F114" s="1021" t="s">
        <v>882</v>
      </c>
      <c r="G114" s="1021" t="s">
        <v>883</v>
      </c>
      <c r="H114" s="1022" t="s">
        <v>884</v>
      </c>
      <c r="I114" s="1022" t="s">
        <v>885</v>
      </c>
      <c r="J114" s="1023" t="s">
        <v>886</v>
      </c>
      <c r="K114" s="1023" t="s">
        <v>887</v>
      </c>
      <c r="L114" s="1023" t="s">
        <v>888</v>
      </c>
      <c r="M114" s="1024" t="s">
        <v>889</v>
      </c>
    </row>
    <row r="115" spans="1:13" ht="12.75">
      <c r="A115" s="1025" t="s">
        <v>894</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4">I115</f>
        <v>0.65029999999999999</v>
      </c>
      <c r="K115" s="1026">
        <f t="shared" si="34"/>
        <v>0.65029999999999999</v>
      </c>
      <c r="L115" s="1026">
        <f t="shared" si="34"/>
        <v>0.65029999999999999</v>
      </c>
      <c r="M115" s="1027">
        <f t="shared" si="34"/>
        <v>0.65029999999999999</v>
      </c>
    </row>
    <row r="116" spans="1:13" ht="12.75">
      <c r="A116" s="1025" t="s">
        <v>895</v>
      </c>
      <c r="B116" s="1026">
        <f>ROUND(0.949-0.012*B113,4)</f>
        <v>0.91900000000000004</v>
      </c>
      <c r="C116" s="1026">
        <f>B116</f>
        <v>0.91900000000000004</v>
      </c>
      <c r="D116" s="1026">
        <f>ROUND(0.8567-0.013*B113,4)</f>
        <v>0.82420000000000004</v>
      </c>
      <c r="E116" s="1026">
        <f t="shared" ref="E116:H117" si="35">D116</f>
        <v>0.82420000000000004</v>
      </c>
      <c r="F116" s="1026">
        <f t="shared" si="35"/>
        <v>0.82420000000000004</v>
      </c>
      <c r="G116" s="1026">
        <f t="shared" si="35"/>
        <v>0.82420000000000004</v>
      </c>
      <c r="H116" s="1026">
        <f t="shared" si="35"/>
        <v>0.82420000000000004</v>
      </c>
      <c r="I116" s="1026">
        <f>ROUND(0.7694-0.014*B113,4)</f>
        <v>0.73440000000000005</v>
      </c>
      <c r="J116" s="1026">
        <f t="shared" si="34"/>
        <v>0.73440000000000005</v>
      </c>
      <c r="K116" s="1026">
        <f t="shared" si="34"/>
        <v>0.73440000000000005</v>
      </c>
      <c r="L116" s="1026">
        <f t="shared" si="34"/>
        <v>0.73440000000000005</v>
      </c>
      <c r="M116" s="1027">
        <f t="shared" si="34"/>
        <v>0.73440000000000005</v>
      </c>
    </row>
    <row r="117" spans="1:13" ht="12.75">
      <c r="A117" s="1028" t="s">
        <v>896</v>
      </c>
      <c r="B117" s="1026">
        <f>ROUND(0.8808-0.006*B113,4)</f>
        <v>0.86580000000000001</v>
      </c>
      <c r="C117" s="1026">
        <f>B117</f>
        <v>0.86580000000000001</v>
      </c>
      <c r="D117" s="1026">
        <f>ROUND(0.8748-0.008*B113,4)</f>
        <v>0.8548</v>
      </c>
      <c r="E117" s="1026">
        <f t="shared" si="35"/>
        <v>0.8548</v>
      </c>
      <c r="F117" s="1026">
        <f t="shared" si="35"/>
        <v>0.8548</v>
      </c>
      <c r="G117" s="1026">
        <f t="shared" si="35"/>
        <v>0.8548</v>
      </c>
      <c r="H117" s="1026">
        <f t="shared" si="35"/>
        <v>0.8548</v>
      </c>
      <c r="I117" s="1026">
        <f>ROUND(0.7412-0.0095*B113,4)</f>
        <v>0.71750000000000003</v>
      </c>
      <c r="J117" s="1026">
        <f t="shared" si="34"/>
        <v>0.71750000000000003</v>
      </c>
      <c r="K117" s="1026">
        <f t="shared" si="34"/>
        <v>0.71750000000000003</v>
      </c>
      <c r="L117" s="1026">
        <f t="shared" si="34"/>
        <v>0.71750000000000003</v>
      </c>
      <c r="M117" s="1027">
        <f t="shared" si="34"/>
        <v>0.71750000000000003</v>
      </c>
    </row>
    <row r="118" spans="1:13" ht="13.5" thickBot="1">
      <c r="A118" s="1029" t="s">
        <v>897</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4"/>
        <v>0.53269999999999995</v>
      </c>
      <c r="K118" s="1030">
        <f t="shared" si="34"/>
        <v>0.53269999999999995</v>
      </c>
      <c r="L118" s="1030">
        <f t="shared" si="34"/>
        <v>0.53269999999999995</v>
      </c>
      <c r="M118" s="1031">
        <f t="shared" si="34"/>
        <v>0.53269999999999995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C13" sqref="C1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460</v>
      </c>
      <c r="B1" s="2806" t="s">
        <v>2995</v>
      </c>
      <c r="C1" s="2101"/>
      <c r="D1" s="2101"/>
      <c r="E1" s="2101"/>
      <c r="F1" s="2101"/>
      <c r="G1" s="2101"/>
      <c r="H1" s="2101"/>
      <c r="I1" s="2101"/>
      <c r="J1" s="2101"/>
      <c r="K1" s="418">
        <f>MATCH(B1,'数据-取费表'!A6:A16,0)+5</f>
        <v>7</v>
      </c>
    </row>
    <row r="2" spans="1:31" s="2038" customFormat="1" ht="18" customHeight="1">
      <c r="A2" s="2098" t="s">
        <v>461</v>
      </c>
      <c r="B2" s="2102">
        <f ca="1">C36</f>
        <v>6618</v>
      </c>
      <c r="C2" s="2101"/>
      <c r="D2" s="2101"/>
      <c r="E2" s="2101"/>
      <c r="F2" s="2101"/>
      <c r="G2" s="2101"/>
      <c r="H2" s="2101"/>
      <c r="I2" s="2101"/>
      <c r="J2" s="2101"/>
      <c r="K2" s="2101"/>
    </row>
    <row r="3" spans="1:31" s="2038" customFormat="1" ht="18" customHeight="1">
      <c r="A3" s="2103" t="s">
        <v>1677</v>
      </c>
      <c r="B3" s="2104">
        <f ca="1">ROUND(B2*10000/IF(B1="",'数据-汇总表'!E3,INDIRECT("'数据-取费表'!K"&amp;$K$1)),0)</f>
        <v>6825</v>
      </c>
      <c r="C3" s="2101"/>
      <c r="D3" s="2101"/>
      <c r="E3" s="2101"/>
      <c r="F3" s="2101"/>
      <c r="G3" s="2101"/>
      <c r="H3" s="2101"/>
      <c r="I3" s="2101"/>
      <c r="J3" s="2101"/>
      <c r="K3" s="2101"/>
    </row>
    <row r="4" spans="1:31" s="2038" customFormat="1" ht="18" customHeight="1">
      <c r="A4" s="422" t="s">
        <v>462</v>
      </c>
      <c r="B4" s="423">
        <f ca="1">ROUND(B2*10000/IF(B1="",'数据-汇总表'!D3,INDIRECT("'数据-取费表'!R"&amp;$K$1)),0)</f>
        <v>26472</v>
      </c>
      <c r="C4" s="424"/>
      <c r="D4" s="418"/>
      <c r="E4" s="418"/>
      <c r="F4" s="418"/>
      <c r="G4" s="418"/>
      <c r="H4" s="418"/>
      <c r="I4" s="418"/>
      <c r="J4" s="418"/>
      <c r="K4" s="418"/>
    </row>
    <row r="5" spans="1:31" s="2038" customFormat="1" ht="18" customHeight="1" thickBot="1">
      <c r="A5" s="425"/>
      <c r="B5" s="426">
        <f ca="1">ROUND(B2/(IF(B1="",'数据-汇总表'!D3,INDIRECT("'数据-取费表'!R"&amp;$K$1))/666.67),0)</f>
        <v>1765</v>
      </c>
      <c r="C5" s="427" t="s">
        <v>463</v>
      </c>
      <c r="D5" s="418"/>
      <c r="E5" s="418"/>
      <c r="F5" s="418"/>
      <c r="G5" s="418"/>
      <c r="H5" s="418"/>
      <c r="I5" s="418"/>
      <c r="J5" s="418"/>
      <c r="K5" s="418"/>
    </row>
    <row r="6" spans="1:31" s="2108" customFormat="1" ht="16.5" customHeight="1">
      <c r="A6" s="2825" t="s">
        <v>1835</v>
      </c>
      <c r="B6" s="2826"/>
      <c r="C6" s="2827">
        <f ca="1">SUM(C10:K10)</f>
        <v>15789</v>
      </c>
      <c r="D6" s="2826"/>
      <c r="E6" s="2826"/>
      <c r="F6" s="2826"/>
      <c r="G6" s="2826"/>
      <c r="H6" s="2826"/>
      <c r="I6" s="2826"/>
      <c r="J6" s="2826"/>
      <c r="K6" s="2828"/>
    </row>
    <row r="7" spans="1:31" s="2110" customFormat="1" ht="15">
      <c r="A7" s="2829" t="s">
        <v>464</v>
      </c>
      <c r="B7" s="2830" t="s">
        <v>465</v>
      </c>
      <c r="C7" s="432" t="s">
        <v>2995</v>
      </c>
      <c r="D7" s="432"/>
      <c r="E7" s="432"/>
      <c r="F7" s="432"/>
      <c r="G7" s="432"/>
      <c r="H7" s="432"/>
      <c r="I7" s="432"/>
      <c r="J7" s="432"/>
      <c r="K7" s="433"/>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799" t="s">
        <v>1838</v>
      </c>
      <c r="B8" s="260" t="s">
        <v>466</v>
      </c>
      <c r="C8" s="2831"/>
      <c r="D8" s="2831"/>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799" t="s">
        <v>1839</v>
      </c>
      <c r="B9" s="260" t="s">
        <v>467</v>
      </c>
      <c r="C9" s="437">
        <f>SUMIF('数据-汇总表'!$C19:$C33,'剩余法-商业'!C7,'数据-汇总表'!$E19:$E33)</f>
        <v>9696</v>
      </c>
      <c r="D9" s="437">
        <f>SUMIF('数据-汇总表'!$C19:$C33,'剩余法-商业'!D7,'数据-汇总表'!$E19:$E33)</f>
        <v>0</v>
      </c>
      <c r="E9" s="437">
        <f>SUMIF('数据-汇总表'!$C19:$C33,'剩余法-商业'!E7,'数据-汇总表'!$E19:$E33)</f>
        <v>0</v>
      </c>
      <c r="F9" s="437">
        <f>SUMIF('数据-汇总表'!$C19:$C33,'剩余法-商业'!F7,'数据-汇总表'!$E19:$E33)</f>
        <v>0</v>
      </c>
      <c r="G9" s="437">
        <f>SUMIF('数据-汇总表'!$C19:$C33,'剩余法-商业'!G7,'数据-汇总表'!$E19:$E33)</f>
        <v>0</v>
      </c>
      <c r="H9" s="437">
        <f>SUMIF('数据-汇总表'!$C19:$C33,'剩余法-商业'!H7,'数据-汇总表'!$E19:$E33)</f>
        <v>0</v>
      </c>
      <c r="I9" s="437">
        <f>SUMIF('数据-汇总表'!$C19:$C33,'剩余法-商业'!I7,'数据-汇总表'!$E19:$E33)</f>
        <v>0</v>
      </c>
      <c r="J9" s="437">
        <f>SUMIF('数据-汇总表'!$C19:$C33,'剩余法-商业'!J7,'数据-汇总表'!$E19:$E33)</f>
        <v>0</v>
      </c>
      <c r="K9" s="438">
        <f>SUMIF('数据-汇总表'!$C19:$C33,'剩余法-商业'!K7,'数据-汇总表'!$E19:$E33)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1840</v>
      </c>
      <c r="B10" s="2819" t="s">
        <v>468</v>
      </c>
      <c r="C10" s="3023">
        <f ca="1">不动产收益法商业!B2</f>
        <v>15789</v>
      </c>
      <c r="D10" s="3023"/>
      <c r="E10" s="3023"/>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1836</v>
      </c>
      <c r="B11" s="2826"/>
      <c r="C11" s="2826"/>
      <c r="D11" s="2826"/>
      <c r="E11" s="2826"/>
      <c r="F11" s="2826"/>
      <c r="G11" s="2826"/>
      <c r="H11" s="2826"/>
      <c r="I11" s="2826"/>
      <c r="J11" s="2826"/>
      <c r="K11" s="2828"/>
    </row>
    <row r="12" spans="1:31" s="2082" customFormat="1" ht="13.5" customHeight="1">
      <c r="A12" s="2837" t="s">
        <v>464</v>
      </c>
      <c r="B12" s="2809" t="s">
        <v>465</v>
      </c>
      <c r="C12" s="2838" t="s">
        <v>469</v>
      </c>
      <c r="D12" s="3173" t="s">
        <v>470</v>
      </c>
      <c r="E12" s="3173" t="s">
        <v>471</v>
      </c>
      <c r="F12" s="3173" t="s">
        <v>472</v>
      </c>
      <c r="G12" s="2809"/>
      <c r="H12" s="2810"/>
      <c r="I12" s="2810"/>
      <c r="J12" s="2810"/>
      <c r="K12" s="2811"/>
    </row>
    <row r="13" spans="1:31" s="2113" customFormat="1" ht="13.5" customHeight="1">
      <c r="A13" s="2839" t="s">
        <v>1841</v>
      </c>
      <c r="B13" s="2840" t="s">
        <v>473</v>
      </c>
      <c r="C13" s="446">
        <f ca="1">IF(B1="",'数据-取费表'!P16,INDIRECT("'数据-取费表'!p"&amp;$K$1)+INDIRECT("'数据-取费表'!t"&amp;$K$1))</f>
        <v>3394</v>
      </c>
      <c r="D13" s="2841"/>
      <c r="E13" s="2842"/>
      <c r="F13" s="2843"/>
      <c r="G13" s="2809"/>
      <c r="H13" s="2810"/>
      <c r="I13" s="2810"/>
      <c r="J13" s="2810"/>
      <c r="K13" s="2811"/>
    </row>
    <row r="14" spans="1:31" s="2113" customFormat="1" ht="13.5" customHeight="1">
      <c r="A14" s="2839" t="s">
        <v>1842</v>
      </c>
      <c r="B14" s="2840" t="s">
        <v>474</v>
      </c>
      <c r="C14" s="53">
        <f ca="1">ROUND(C13*F14,0)</f>
        <v>102</v>
      </c>
      <c r="D14" s="2841"/>
      <c r="E14" s="2842"/>
      <c r="F14" s="2844">
        <f>'数据-取费表'!B33</f>
        <v>0.03</v>
      </c>
      <c r="G14" s="2809" t="s">
        <v>475</v>
      </c>
      <c r="H14" s="2810"/>
      <c r="I14" s="2810"/>
      <c r="J14" s="2810"/>
      <c r="K14" s="2811"/>
    </row>
    <row r="15" spans="1:31" s="2113" customFormat="1" ht="13.5" customHeight="1">
      <c r="A15" s="2839" t="s">
        <v>1843</v>
      </c>
      <c r="B15" s="2840" t="s">
        <v>476</v>
      </c>
      <c r="C15" s="53">
        <f ca="1">ROUND(IF(B1="",SUMIF('数据-取费表'!C:C,"住宅",'数据-取费表'!P:P)*F15,IF(INDIRECT("'数据-取费表'!c"&amp;$K$1)="住宅",INDIRECT("'数据-取费表'!P"&amp;$K$1)*F15,0)),0)</f>
        <v>0</v>
      </c>
      <c r="D15" s="2841"/>
      <c r="E15" s="2842"/>
      <c r="F15" s="2844">
        <f>'数据-取费表'!B34</f>
        <v>0.15</v>
      </c>
      <c r="G15" s="2809" t="s">
        <v>477</v>
      </c>
      <c r="H15" s="2810"/>
      <c r="I15" s="2810"/>
      <c r="J15" s="2810"/>
      <c r="K15" s="2811"/>
    </row>
    <row r="16" spans="1:31" s="2114" customFormat="1" ht="13.5" customHeight="1">
      <c r="A16" s="2839" t="s">
        <v>1844</v>
      </c>
      <c r="B16" s="2840" t="s">
        <v>478</v>
      </c>
      <c r="C16" s="53">
        <f ca="1">ROUND(D16*E16/10000,0)</f>
        <v>194</v>
      </c>
      <c r="D16" s="2841">
        <f ca="1">IF(B1="",'数据-汇总表'!E3,INDIRECT("'数据-取费表'!K"&amp;$K$1)+INDIRECT("'数据-取费表'!S"&amp;$K$1))</f>
        <v>9696</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1845</v>
      </c>
      <c r="B17" s="2840" t="s">
        <v>479</v>
      </c>
      <c r="C17" s="2845">
        <f ca="1">ROUND(C13*F17,0)</f>
        <v>51</v>
      </c>
      <c r="D17" s="471"/>
      <c r="E17" s="2845"/>
      <c r="F17" s="2846">
        <f>'数据-取费表'!B36</f>
        <v>1.4999999999999999E-2</v>
      </c>
      <c r="G17" s="260" t="s">
        <v>480</v>
      </c>
      <c r="H17" s="2812"/>
      <c r="I17" s="2812"/>
      <c r="J17" s="2812"/>
      <c r="K17" s="275"/>
    </row>
    <row r="18" spans="1:14" s="2113" customFormat="1" ht="13.5" customHeight="1">
      <c r="A18" s="2847" t="s">
        <v>1846</v>
      </c>
      <c r="B18" s="2848" t="s">
        <v>481</v>
      </c>
      <c r="C18" s="2849">
        <f ca="1">SUM(C13:C17)</f>
        <v>3741</v>
      </c>
      <c r="D18" s="2850"/>
      <c r="E18" s="464"/>
      <c r="F18" s="464"/>
      <c r="G18" s="2813" t="s">
        <v>2425</v>
      </c>
      <c r="H18" s="2814"/>
      <c r="I18" s="2814"/>
      <c r="J18" s="2814"/>
      <c r="K18" s="2815"/>
    </row>
    <row r="19" spans="1:14" s="2113" customFormat="1" ht="13.5" customHeight="1">
      <c r="A19" s="2847" t="s">
        <v>1847</v>
      </c>
      <c r="B19" s="2848" t="s">
        <v>482</v>
      </c>
      <c r="C19" s="3173">
        <f ca="1">ROUND(D19*E19/10000,0)</f>
        <v>0</v>
      </c>
      <c r="D19" s="2851">
        <f ca="1">D16</f>
        <v>9696</v>
      </c>
      <c r="E19" s="3173">
        <f>'数据-取费表'!B32</f>
        <v>0</v>
      </c>
      <c r="F19" s="464"/>
      <c r="G19" s="2809" t="s">
        <v>483</v>
      </c>
      <c r="H19" s="2810"/>
      <c r="I19" s="2814"/>
      <c r="J19" s="2814"/>
      <c r="K19" s="2815"/>
    </row>
    <row r="20" spans="1:14" s="2113" customFormat="1" ht="13.5" customHeight="1">
      <c r="A20" s="2847" t="s">
        <v>1848</v>
      </c>
      <c r="B20" s="2848" t="s">
        <v>484</v>
      </c>
      <c r="C20" s="3173">
        <f ca="1">C21+C22-IF(B1="",'数据-取费表'!B29,IF(G20="已全部缴纳",C21+C22,H20))</f>
        <v>194</v>
      </c>
      <c r="D20" s="2851"/>
      <c r="E20" s="3173"/>
      <c r="F20" s="2852"/>
      <c r="G20" s="3083" t="s">
        <v>3229</v>
      </c>
      <c r="H20" s="2807"/>
      <c r="I20" s="2808" t="s">
        <v>2646</v>
      </c>
      <c r="J20" s="2814"/>
      <c r="K20" s="2815"/>
    </row>
    <row r="21" spans="1:14" s="2113" customFormat="1" ht="13.5" customHeight="1">
      <c r="A21" s="2839" t="s">
        <v>1849</v>
      </c>
      <c r="B21" s="2840" t="s">
        <v>485</v>
      </c>
      <c r="C21" s="53">
        <f ca="1">ROUND(D21*E21/10000,0)</f>
        <v>0</v>
      </c>
      <c r="D21" s="2841">
        <f ca="1">IF(B1="",'数据-汇总表'!E5,IF(INDIRECT("'数据-取费表'!c"&amp;$K$1)="住宅",INDIRECT("'数据-取费表'!k"&amp;$K$1),0))</f>
        <v>0</v>
      </c>
      <c r="E21" s="53">
        <f>'数据-取费表'!B27</f>
        <v>160</v>
      </c>
      <c r="F21" s="2844"/>
      <c r="G21" s="26"/>
      <c r="H21" s="51"/>
      <c r="I21" s="51"/>
      <c r="J21" s="51"/>
      <c r="K21" s="2816"/>
    </row>
    <row r="22" spans="1:14" s="2113" customFormat="1" ht="13.5" customHeight="1">
      <c r="A22" s="2839" t="s">
        <v>1850</v>
      </c>
      <c r="B22" s="2840" t="s">
        <v>486</v>
      </c>
      <c r="C22" s="53">
        <f ca="1">ROUND(D22*E22/10000,0)</f>
        <v>194</v>
      </c>
      <c r="D22" s="2841">
        <f ca="1">IF(B1="",'数据-汇总表'!E6,IF(INDIRECT("'数据-取费表'!c"&amp;$K$1)="住宅",INDIRECT("'数据-取费表'!s"&amp;$K$1),INDIRECT("'数据-取费表'!k"&amp;$K$1)+INDIRECT("'数据-取费表'!s"&amp;$K$1)))</f>
        <v>9696</v>
      </c>
      <c r="E22" s="53">
        <f>'数据-取费表'!B28</f>
        <v>200</v>
      </c>
      <c r="F22" s="2844"/>
      <c r="G22" s="26"/>
      <c r="H22" s="51"/>
      <c r="I22" s="51"/>
      <c r="J22" s="51"/>
      <c r="K22" s="2816"/>
    </row>
    <row r="23" spans="1:14" s="2113" customFormat="1" ht="13.5" customHeight="1">
      <c r="A23" s="2847" t="s">
        <v>1851</v>
      </c>
      <c r="B23" s="3029" t="s">
        <v>2829</v>
      </c>
      <c r="C23" s="2849">
        <f ca="1">ROUND((C18+C19+C20)*F23,0)</f>
        <v>118</v>
      </c>
      <c r="D23" s="464"/>
      <c r="E23" s="464"/>
      <c r="F23" s="2853">
        <f>'数据-取费表'!B37</f>
        <v>0.03</v>
      </c>
      <c r="G23" s="2809" t="s">
        <v>2426</v>
      </c>
      <c r="H23" s="2810"/>
      <c r="I23" s="2810"/>
      <c r="J23" s="2810"/>
      <c r="K23" s="2811"/>
      <c r="L23" s="2115"/>
      <c r="M23" s="2115"/>
      <c r="N23" s="2115"/>
    </row>
    <row r="24" spans="1:14" s="2113" customFormat="1" ht="13.5" customHeight="1">
      <c r="A24" s="2847" t="s">
        <v>1852</v>
      </c>
      <c r="B24" s="3029" t="s">
        <v>2832</v>
      </c>
      <c r="C24" s="2849">
        <f ca="1">ROUND(C6*F24,0)</f>
        <v>474</v>
      </c>
      <c r="D24" s="471"/>
      <c r="E24" s="469"/>
      <c r="F24" s="2853">
        <f>'数据-取费表'!B38</f>
        <v>0.03</v>
      </c>
      <c r="G24" s="2818" t="s">
        <v>493</v>
      </c>
      <c r="H24" s="2812"/>
      <c r="I24" s="2812"/>
      <c r="J24" s="2812"/>
      <c r="K24" s="275"/>
      <c r="L24" s="2115"/>
      <c r="M24" s="2115"/>
      <c r="N24" s="2115"/>
    </row>
    <row r="25" spans="1:14" s="2116" customFormat="1" ht="13.5" customHeight="1">
      <c r="A25" s="2847" t="s">
        <v>1853</v>
      </c>
      <c r="B25" s="3029" t="s">
        <v>2830</v>
      </c>
      <c r="C25" s="463">
        <f>ROUND(F25/(1+'数据-取费表'!C42),4)</f>
        <v>2.9000000000000001E-2</v>
      </c>
      <c r="D25" s="458" t="s">
        <v>2824</v>
      </c>
      <c r="E25" s="465"/>
      <c r="F25" s="2853">
        <f>'数据-取费表'!B48+'数据-取费表'!B49</f>
        <v>3.0499999999999999E-2</v>
      </c>
      <c r="G25" s="2817" t="s">
        <v>2284</v>
      </c>
      <c r="H25" s="2810"/>
      <c r="I25" s="2810"/>
      <c r="J25" s="2810"/>
      <c r="K25" s="2811"/>
    </row>
    <row r="26" spans="1:14" s="2115" customFormat="1" ht="13.5" customHeight="1">
      <c r="A26" s="2847" t="s">
        <v>1854</v>
      </c>
      <c r="B26" s="3030" t="s">
        <v>2831</v>
      </c>
      <c r="C26" s="2854">
        <f ca="1">C28</f>
        <v>326</v>
      </c>
      <c r="D26" s="463">
        <f ca="1">C27</f>
        <v>0.1537</v>
      </c>
      <c r="E26" s="465" t="s">
        <v>489</v>
      </c>
      <c r="F26" s="467">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799" t="s">
        <v>1849</v>
      </c>
      <c r="B27" s="2855" t="s">
        <v>490</v>
      </c>
      <c r="C27" s="2856">
        <f ca="1">ROUND(IF('数据-取费表'!B22&lt;=1,(1+C25)*F26*'数据-取费表'!B24,(1+C25)*(POWER((1+F26),'数据-取费表'!B24)-1)),4)</f>
        <v>0.1537</v>
      </c>
      <c r="D27" s="468"/>
      <c r="E27" s="469"/>
      <c r="F27" s="470"/>
      <c r="G27" s="2569" t="str">
        <f>IF('数据-取费表'!B22&lt;=1,"（1+取得税费率/(1+5%)）×年利率×建设期","（1+取得税费率）/(1+5%)×((1+年利率)^建设期-1)")</f>
        <v>（1+取得税费率）/(1+5%)×((1+年利率)^建设期-1)</v>
      </c>
      <c r="H27" s="2812"/>
      <c r="I27" s="2812"/>
      <c r="J27" s="2812"/>
      <c r="K27" s="275"/>
    </row>
    <row r="28" spans="1:14" s="2117" customFormat="1" ht="13.5" customHeight="1">
      <c r="A28" s="799" t="s">
        <v>1850</v>
      </c>
      <c r="B28" s="2855" t="s">
        <v>2833</v>
      </c>
      <c r="C28" s="2857">
        <f ca="1">ROUND(IF('数据-取费表'!B22&lt;=1,(C18+C19+C20+C23+C24)*F26*'数据-取费表'!B24/2,(C18+C19+C20+C23+C24)*(POWER((1+F26),'数据-取费表'!B24/2)-1)),0)</f>
        <v>326</v>
      </c>
      <c r="D28" s="468"/>
      <c r="E28" s="469"/>
      <c r="F28" s="470"/>
      <c r="G28" s="2569" t="str">
        <f>IF('数据-取费表'!B22&lt;=1,"（1）-（4）项×年利率×建设期÷2","（1）-（4）项×((1+年利率)^(建设期÷2)-1)")</f>
        <v>（1）-（4）项×((1+年利率)^(建设期÷2)-1)</v>
      </c>
      <c r="H28" s="2812"/>
      <c r="I28" s="2812"/>
      <c r="J28" s="2812"/>
      <c r="K28" s="275"/>
    </row>
    <row r="29" spans="1:14" s="2117" customFormat="1" ht="13.5" customHeight="1">
      <c r="A29" s="2858" t="s">
        <v>1855</v>
      </c>
      <c r="B29" s="2848" t="s">
        <v>491</v>
      </c>
      <c r="C29" s="2849">
        <f ca="1">ROUND(C6*F29/(1+'数据-取费表'!C42),0)</f>
        <v>842</v>
      </c>
      <c r="D29" s="464"/>
      <c r="E29" s="464"/>
      <c r="F29" s="3031">
        <f>'数据-取费表'!B41</f>
        <v>5.6000000000000001E-2</v>
      </c>
      <c r="G29" s="2818" t="s">
        <v>492</v>
      </c>
      <c r="H29" s="2810"/>
      <c r="I29" s="2810"/>
      <c r="J29" s="2810"/>
      <c r="K29" s="2811"/>
    </row>
    <row r="30" spans="1:14" s="2118" customFormat="1" ht="13.5" customHeight="1">
      <c r="A30" s="1631" t="s">
        <v>1856</v>
      </c>
      <c r="B30" s="2859" t="s">
        <v>494</v>
      </c>
      <c r="C30" s="2854">
        <f ca="1">C31</f>
        <v>5695</v>
      </c>
      <c r="D30" s="473">
        <f ca="1">C32</f>
        <v>0.1827</v>
      </c>
      <c r="E30" s="465" t="s">
        <v>489</v>
      </c>
      <c r="F30" s="467"/>
      <c r="G30" s="2817" t="s">
        <v>2969</v>
      </c>
      <c r="H30" s="2810"/>
      <c r="I30" s="2810"/>
      <c r="J30" s="2810"/>
      <c r="K30" s="2811"/>
    </row>
    <row r="31" spans="1:14" s="2117" customFormat="1" ht="13.5" customHeight="1">
      <c r="A31" s="799" t="s">
        <v>1849</v>
      </c>
      <c r="B31" s="2855"/>
      <c r="C31" s="446">
        <f ca="1">C18+C19+C20+C23+C24+C26+C29</f>
        <v>5695</v>
      </c>
      <c r="D31" s="468"/>
      <c r="E31" s="469"/>
      <c r="F31" s="470"/>
      <c r="G31" s="260"/>
      <c r="H31" s="2812"/>
      <c r="I31" s="2812"/>
      <c r="J31" s="2812"/>
      <c r="K31" s="275"/>
    </row>
    <row r="32" spans="1:14" s="2117" customFormat="1" ht="13.5" customHeight="1">
      <c r="A32" s="799" t="s">
        <v>1850</v>
      </c>
      <c r="B32" s="2855"/>
      <c r="C32" s="53">
        <f ca="1">ROUND(C25+D26,4)</f>
        <v>0.1827</v>
      </c>
      <c r="D32" s="468"/>
      <c r="E32" s="469"/>
      <c r="F32" s="470"/>
      <c r="G32" s="260"/>
      <c r="H32" s="2812"/>
      <c r="I32" s="2812"/>
      <c r="J32" s="2812"/>
      <c r="K32" s="275"/>
    </row>
    <row r="33" spans="1:11" s="2119" customFormat="1" ht="13.5" customHeight="1">
      <c r="A33" s="3028" t="s">
        <v>2828</v>
      </c>
      <c r="B33" s="3026" t="s">
        <v>2826</v>
      </c>
      <c r="C33" s="474">
        <f ca="1">C35</f>
        <v>905</v>
      </c>
      <c r="D33" s="463">
        <f ca="1">C34</f>
        <v>0.20580000000000001</v>
      </c>
      <c r="E33" s="465" t="s">
        <v>489</v>
      </c>
      <c r="F33" s="475">
        <f ca="1">IF(B1="",'数据-取费表'!Q16,INDIRECT("'数据-取费表'!q"&amp;$K$1))</f>
        <v>0.2</v>
      </c>
      <c r="G33" s="2813"/>
      <c r="H33" s="2814"/>
      <c r="I33" s="2814"/>
      <c r="J33" s="2814"/>
      <c r="K33" s="2815"/>
    </row>
    <row r="34" spans="1:11" s="2120" customFormat="1" ht="13.5" customHeight="1">
      <c r="A34" s="371" t="s">
        <v>1849</v>
      </c>
      <c r="B34" s="2860" t="s">
        <v>495</v>
      </c>
      <c r="C34" s="468">
        <f ca="1">ROUND((1+C25)*F33,4)</f>
        <v>0.20580000000000001</v>
      </c>
      <c r="D34" s="468"/>
      <c r="E34" s="469"/>
      <c r="F34" s="476"/>
      <c r="G34" s="260" t="s">
        <v>2285</v>
      </c>
      <c r="H34" s="2812"/>
      <c r="I34" s="2812"/>
      <c r="J34" s="2812"/>
      <c r="K34" s="275"/>
    </row>
    <row r="35" spans="1:11" s="2120" customFormat="1" ht="13.5" customHeight="1" thickBot="1">
      <c r="A35" s="1632" t="s">
        <v>1850</v>
      </c>
      <c r="B35" s="3027" t="s">
        <v>2834</v>
      </c>
      <c r="C35" s="1624">
        <f ca="1">ROUND((C18+C19+C20+C23+C24)*F33,0)</f>
        <v>905</v>
      </c>
      <c r="D35" s="1625"/>
      <c r="E35" s="2861"/>
      <c r="F35" s="1626"/>
      <c r="G35" s="2819"/>
      <c r="H35" s="2820"/>
      <c r="I35" s="2820"/>
      <c r="J35" s="2820"/>
      <c r="K35" s="2821"/>
    </row>
    <row r="36" spans="1:11" s="2082" customFormat="1" ht="13.5" customHeight="1" thickBot="1">
      <c r="A36" s="280" t="s">
        <v>1837</v>
      </c>
      <c r="B36" s="2823"/>
      <c r="C36" s="2862">
        <f ca="1">ROUND((C6-C30-C33)/(1+D30+D33),0)</f>
        <v>6618</v>
      </c>
      <c r="D36" s="2823"/>
      <c r="E36" s="2823"/>
      <c r="F36" s="2823"/>
      <c r="G36" s="2822" t="s">
        <v>2835</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90" zoomScaleNormal="90" workbookViewId="0">
      <selection activeCell="D36" sqref="D36"/>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8" t="s">
        <v>1718</v>
      </c>
      <c r="B1" s="734"/>
      <c r="C1" s="769" t="s">
        <v>2995</v>
      </c>
      <c r="D1" s="3120" t="s">
        <v>3242</v>
      </c>
      <c r="E1" s="2384" t="s">
        <v>864</v>
      </c>
      <c r="F1" s="2385">
        <f ca="1">J53</f>
        <v>37</v>
      </c>
      <c r="G1" s="770">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19" t="s">
        <v>461</v>
      </c>
      <c r="B2" s="771">
        <f ca="1">C40+J29+L46</f>
        <v>15789</v>
      </c>
      <c r="C2" s="2054"/>
      <c r="D2" s="2052"/>
      <c r="E2" s="2053"/>
      <c r="F2" s="2053"/>
      <c r="G2" s="1586"/>
      <c r="H2" s="2054"/>
      <c r="I2" s="2054"/>
      <c r="J2" s="2054"/>
      <c r="K2" s="2055"/>
      <c r="L2" s="2054"/>
      <c r="M2" s="2054"/>
    </row>
    <row r="3" spans="1:33" ht="18" customHeight="1" thickBot="1">
      <c r="A3" s="829" t="s">
        <v>513</v>
      </c>
      <c r="B3" s="830">
        <f ca="1">IF(ISERROR(B2*10000/F43),0,ROUND(B2*10000/F43,0))</f>
        <v>16284</v>
      </c>
      <c r="C3" s="2054"/>
      <c r="D3" s="2052"/>
      <c r="E3" s="2053"/>
      <c r="F3" s="2053"/>
      <c r="G3" s="1586"/>
      <c r="H3" s="772" t="s">
        <v>689</v>
      </c>
      <c r="I3" s="1359"/>
      <c r="J3" s="1359"/>
      <c r="K3" s="1587"/>
      <c r="L3" s="1359"/>
      <c r="M3" s="1359"/>
    </row>
    <row r="4" spans="1:33" ht="18" customHeight="1">
      <c r="A4" s="773" t="s">
        <v>624</v>
      </c>
      <c r="B4" s="774" t="s">
        <v>625</v>
      </c>
      <c r="C4" s="774" t="s">
        <v>626</v>
      </c>
      <c r="D4" s="774" t="s">
        <v>627</v>
      </c>
      <c r="E4" s="775" t="s">
        <v>1724</v>
      </c>
      <c r="F4" s="776"/>
      <c r="G4" s="1588"/>
      <c r="H4" s="773" t="s">
        <v>624</v>
      </c>
      <c r="I4" s="774" t="s">
        <v>625</v>
      </c>
      <c r="J4" s="774" t="s">
        <v>626</v>
      </c>
      <c r="K4" s="774" t="s">
        <v>1728</v>
      </c>
      <c r="L4" s="775" t="s">
        <v>1724</v>
      </c>
      <c r="M4" s="776"/>
    </row>
    <row r="5" spans="1:33" ht="18" customHeight="1">
      <c r="A5" s="777">
        <v>1</v>
      </c>
      <c r="B5" s="778" t="s">
        <v>2453</v>
      </c>
      <c r="C5" s="55">
        <f ca="1">C6+C10+C12</f>
        <v>1013</v>
      </c>
      <c r="D5" s="2493" t="s">
        <v>2456</v>
      </c>
      <c r="E5" s="2487"/>
      <c r="F5" s="2488"/>
      <c r="G5" s="1588"/>
      <c r="H5" s="777">
        <v>1</v>
      </c>
      <c r="I5" s="778" t="s">
        <v>2453</v>
      </c>
      <c r="J5" s="55">
        <f ca="1">J6+J10+J12</f>
        <v>0</v>
      </c>
      <c r="K5" s="2493" t="s">
        <v>2456</v>
      </c>
      <c r="L5" s="2487"/>
      <c r="M5" s="2488"/>
    </row>
    <row r="6" spans="1:33" ht="18" customHeight="1">
      <c r="A6" s="1827" t="s">
        <v>1817</v>
      </c>
      <c r="B6" s="3575" t="s">
        <v>2458</v>
      </c>
      <c r="C6" s="779">
        <f ca="1">ROUND(F6*F8*F7*(1-F9)/10000,0)</f>
        <v>1009</v>
      </c>
      <c r="D6" s="2494" t="s">
        <v>2457</v>
      </c>
      <c r="E6" s="780" t="s">
        <v>631</v>
      </c>
      <c r="F6" s="781">
        <f ca="1">INDIRECT("'数据-取费表'!u"&amp;$G$1)</f>
        <v>3</v>
      </c>
      <c r="G6" s="1588"/>
      <c r="H6" s="2501" t="s">
        <v>1817</v>
      </c>
      <c r="I6" s="3575" t="s">
        <v>2458</v>
      </c>
      <c r="J6" s="779">
        <f ca="1">ROUND(M6*M8*M7*(1-M9)/10000,0)</f>
        <v>0</v>
      </c>
      <c r="K6" s="337" t="s">
        <v>630</v>
      </c>
      <c r="L6" s="780" t="s">
        <v>631</v>
      </c>
      <c r="M6" s="781">
        <f ca="1">INDIRECT("'数据-取费表'!z"&amp;$G$1)</f>
        <v>0</v>
      </c>
    </row>
    <row r="7" spans="1:33" ht="18" customHeight="1">
      <c r="A7" s="2497"/>
      <c r="B7" s="3576"/>
      <c r="C7" s="784"/>
      <c r="D7" s="785"/>
      <c r="E7" s="780" t="s">
        <v>632</v>
      </c>
      <c r="F7" s="781">
        <f ca="1">IF(INDIRECT("'数据-取费表'!ah"&amp;$G$1)="",INDIRECT("'数据-取费表'!k"&amp;$G$1),INDIRECT("'数据-取费表'!ah"&amp;$G$1))</f>
        <v>9696</v>
      </c>
      <c r="G7" s="1588"/>
      <c r="H7" s="2486"/>
      <c r="I7" s="3576"/>
      <c r="J7" s="784"/>
      <c r="K7" s="785"/>
      <c r="L7" s="780" t="s">
        <v>632</v>
      </c>
      <c r="M7" s="781">
        <f ca="1">F7</f>
        <v>9696</v>
      </c>
    </row>
    <row r="8" spans="1:33" ht="18" customHeight="1">
      <c r="A8" s="2490"/>
      <c r="B8" s="3577"/>
      <c r="C8" s="784"/>
      <c r="D8" s="785"/>
      <c r="E8" s="780" t="s">
        <v>1733</v>
      </c>
      <c r="F8" s="781">
        <f ca="1">INDIRECT("'数据-取费表'!ai"&amp;$G$1)</f>
        <v>365</v>
      </c>
      <c r="G8" s="1588"/>
      <c r="H8" s="2486"/>
      <c r="I8" s="3577"/>
      <c r="J8" s="784"/>
      <c r="K8" s="785"/>
      <c r="L8" s="780" t="s">
        <v>1733</v>
      </c>
      <c r="M8" s="781">
        <f ca="1">INDIRECT("'数据-取费表'!ai"&amp;$G$1)</f>
        <v>365</v>
      </c>
    </row>
    <row r="9" spans="1:33" ht="18" customHeight="1">
      <c r="A9" s="782"/>
      <c r="B9" s="3578"/>
      <c r="C9" s="784"/>
      <c r="D9" s="785"/>
      <c r="E9" s="780" t="s">
        <v>634</v>
      </c>
      <c r="F9" s="790">
        <f ca="1">INDIRECT("'数据-取费表'!w"&amp;$G$1)</f>
        <v>0.05</v>
      </c>
      <c r="G9" s="1588"/>
      <c r="H9" s="2502"/>
      <c r="I9" s="3577"/>
      <c r="J9" s="784"/>
      <c r="K9" s="785"/>
      <c r="L9" s="791" t="s">
        <v>634</v>
      </c>
      <c r="M9" s="792">
        <f ca="1">INDIRECT("'数据-取费表'!ab"&amp;$G$1)</f>
        <v>0</v>
      </c>
    </row>
    <row r="10" spans="1:33" ht="18" customHeight="1">
      <c r="A10" s="1827" t="s">
        <v>1818</v>
      </c>
      <c r="B10" s="2491" t="s">
        <v>2454</v>
      </c>
      <c r="C10" s="795">
        <f ca="1">ROUND(IF(F10="押一",C6/12*F11,IF(F10="押二",C6/12*2*F11,IF(F10="押三",C6/12*3*F11,C11*F11))),0)</f>
        <v>4</v>
      </c>
      <c r="D10" s="2498" t="s">
        <v>2971</v>
      </c>
      <c r="E10" s="2495" t="s">
        <v>2459</v>
      </c>
      <c r="F10" s="2618" t="s">
        <v>3240</v>
      </c>
      <c r="G10" s="1588"/>
      <c r="H10" s="2558" t="s">
        <v>1818</v>
      </c>
      <c r="I10" s="2563" t="s">
        <v>2454</v>
      </c>
      <c r="J10" s="779">
        <f ca="1">ROUND(IF(M10="押一",J6/12*M11,IF(M10="押二",J6/12*2*M11,IF(M10="押三",J6/12*3*M11,J11*M11))),0)</f>
        <v>0</v>
      </c>
      <c r="K10" s="2498" t="s">
        <v>2971</v>
      </c>
      <c r="L10" s="2495" t="s">
        <v>2459</v>
      </c>
      <c r="M10" s="2618"/>
    </row>
    <row r="11" spans="1:33" ht="18" customHeight="1">
      <c r="A11" s="786"/>
      <c r="B11" s="2492" t="s">
        <v>2568</v>
      </c>
      <c r="C11" s="2496"/>
      <c r="D11" s="785"/>
      <c r="E11" s="2495" t="s">
        <v>2451</v>
      </c>
      <c r="F11" s="792">
        <f ca="1">'数据-取费表'!B39</f>
        <v>1.4999999999999999E-2</v>
      </c>
      <c r="G11" s="1588"/>
      <c r="H11" s="2559"/>
      <c r="I11" s="2492" t="s">
        <v>2568</v>
      </c>
      <c r="J11" s="2496"/>
      <c r="K11" s="2560"/>
      <c r="L11" s="2495" t="s">
        <v>2451</v>
      </c>
      <c r="M11" s="2489">
        <f ca="1">'数据-取费表'!B39</f>
        <v>1.4999999999999999E-2</v>
      </c>
    </row>
    <row r="12" spans="1:33" ht="18" customHeight="1" thickBot="1">
      <c r="A12" s="2534" t="s">
        <v>2462</v>
      </c>
      <c r="B12" s="2535" t="s">
        <v>2455</v>
      </c>
      <c r="C12" s="2536"/>
      <c r="D12" s="2537"/>
      <c r="E12" s="2538"/>
      <c r="F12" s="2539"/>
      <c r="G12" s="1588"/>
      <c r="H12" s="2548" t="s">
        <v>2462</v>
      </c>
      <c r="I12" s="2561" t="s">
        <v>2455</v>
      </c>
      <c r="J12" s="2562"/>
      <c r="K12" s="2537"/>
      <c r="L12" s="2538"/>
      <c r="M12" s="2551"/>
    </row>
    <row r="13" spans="1:33" ht="18" customHeight="1" thickTop="1">
      <c r="A13" s="1826">
        <v>2</v>
      </c>
      <c r="B13" s="1824" t="s">
        <v>638</v>
      </c>
      <c r="C13" s="788">
        <f ca="1">ROUND(C29*F13,0)</f>
        <v>5396</v>
      </c>
      <c r="D13" s="1831" t="s">
        <v>2292</v>
      </c>
      <c r="E13" s="1831" t="s">
        <v>637</v>
      </c>
      <c r="F13" s="2533">
        <f ca="1">INDIRECT("'数据-取费表'!y"&amp;$G$1)</f>
        <v>1</v>
      </c>
      <c r="G13" s="1588"/>
      <c r="H13" s="1826">
        <v>2</v>
      </c>
      <c r="I13" s="1824" t="s">
        <v>638</v>
      </c>
      <c r="J13" s="1816">
        <f ca="1">ROUND(J14*J15,0)</f>
        <v>0</v>
      </c>
      <c r="K13" s="1818" t="s">
        <v>636</v>
      </c>
      <c r="L13" s="2549"/>
      <c r="M13" s="2550"/>
    </row>
    <row r="14" spans="1:33" ht="18" customHeight="1">
      <c r="A14" s="1644" t="s">
        <v>1824</v>
      </c>
      <c r="B14" s="780" t="s">
        <v>639</v>
      </c>
      <c r="C14" s="800">
        <f ca="1">INDIRECT("'数据-取费表'!m"&amp;$G$1)+INDIRECT("'数据-取费表'!t"&amp;$G$1)</f>
        <v>3394</v>
      </c>
      <c r="D14" s="3299" t="s">
        <v>640</v>
      </c>
      <c r="E14" s="3298"/>
      <c r="F14" s="801"/>
      <c r="G14" s="1588"/>
      <c r="H14" s="1645" t="s">
        <v>1817</v>
      </c>
      <c r="I14" s="2228" t="s">
        <v>2820</v>
      </c>
      <c r="J14" s="53">
        <f ca="1">C29</f>
        <v>5396</v>
      </c>
      <c r="K14" s="26"/>
      <c r="L14" s="797"/>
      <c r="M14" s="798"/>
    </row>
    <row r="15" spans="1:33" s="2061" customFormat="1" ht="18" customHeight="1" thickBot="1">
      <c r="A15" s="1644" t="s">
        <v>1825</v>
      </c>
      <c r="B15" s="780" t="s">
        <v>641</v>
      </c>
      <c r="C15" s="53">
        <f ca="1">ROUND(C14*F15,0)</f>
        <v>102</v>
      </c>
      <c r="D15" s="802" t="s">
        <v>642</v>
      </c>
      <c r="E15" s="802" t="s">
        <v>643</v>
      </c>
      <c r="F15" s="803">
        <f>'数据-取费表'!B33</f>
        <v>0.03</v>
      </c>
      <c r="G15" s="1589"/>
      <c r="H15" s="2548" t="s">
        <v>1882</v>
      </c>
      <c r="I15" s="2543" t="s">
        <v>637</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1826</v>
      </c>
      <c r="B16" s="780" t="s">
        <v>644</v>
      </c>
      <c r="C16" s="53">
        <f ca="1">ROUND(INDIRECT("'数据-取费表'!m"&amp;$G$1)*F16,0)</f>
        <v>0</v>
      </c>
      <c r="D16" s="780" t="s">
        <v>642</v>
      </c>
      <c r="E16" s="780" t="s">
        <v>643</v>
      </c>
      <c r="F16" s="805">
        <f ca="1">IF(INDIRECT("'数据-取费表'!c"&amp;$G$1)="住宅",'数据-取费表'!B34,0)</f>
        <v>0</v>
      </c>
      <c r="G16" s="1588"/>
      <c r="H16" s="1826" t="s">
        <v>1741</v>
      </c>
      <c r="I16" s="1824" t="s">
        <v>645</v>
      </c>
      <c r="J16" s="788">
        <f ca="1">ROUND(J17+J22+J23+J24,0)</f>
        <v>88</v>
      </c>
      <c r="K16" s="1818" t="s">
        <v>1743</v>
      </c>
      <c r="L16" s="3301"/>
      <c r="M16" s="2488"/>
    </row>
    <row r="17" spans="1:33" s="2061" customFormat="1" ht="18" customHeight="1">
      <c r="A17" s="1644" t="s">
        <v>1880</v>
      </c>
      <c r="B17" s="780" t="s">
        <v>647</v>
      </c>
      <c r="C17" s="53">
        <f ca="1">ROUND(F17*(F43+INDIRECT("'数据-取费表'!S"&amp;$G$1))/10000,0)</f>
        <v>194</v>
      </c>
      <c r="D17" s="780" t="s">
        <v>648</v>
      </c>
      <c r="E17" s="780" t="s">
        <v>649</v>
      </c>
      <c r="F17" s="56">
        <f>'数据-取费表'!B35</f>
        <v>200</v>
      </c>
      <c r="G17" s="1589"/>
      <c r="H17" s="1645" t="s">
        <v>1817</v>
      </c>
      <c r="I17" s="780" t="s">
        <v>650</v>
      </c>
      <c r="J17" s="53">
        <f ca="1">ROUND(IF(项目基本情况!B11="自然人",J5*M17,J18+J19+J20),0)</f>
        <v>45</v>
      </c>
      <c r="K17" s="3299" t="s">
        <v>651</v>
      </c>
      <c r="L17" s="3300" t="s">
        <v>1747</v>
      </c>
      <c r="M17" s="806">
        <f ca="1">IF(项目基本情况!B11="企业","",IF(INDIRECT("'数据-取费表'!c"&amp;$G$1)="住宅",5%,IF(M6*M7*M8/12/(1+'数据-取费表'!C42)&gt;20000,12%,7%)))</f>
        <v>7.0000000000000007E-2</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1881</v>
      </c>
      <c r="B18" s="780" t="s">
        <v>653</v>
      </c>
      <c r="C18" s="53">
        <f ca="1">ROUND(C14*F18,0)</f>
        <v>51</v>
      </c>
      <c r="D18" s="780" t="s">
        <v>642</v>
      </c>
      <c r="E18" s="780" t="s">
        <v>643</v>
      </c>
      <c r="F18" s="805">
        <f>'数据-取费表'!B36</f>
        <v>1.4999999999999999E-2</v>
      </c>
      <c r="G18" s="1589"/>
      <c r="H18" s="1644" t="s">
        <v>1824</v>
      </c>
      <c r="I18" s="780" t="s">
        <v>654</v>
      </c>
      <c r="J18" s="53">
        <f ca="1">ROUND(J5*M18/1.05,1)</f>
        <v>0</v>
      </c>
      <c r="K18" s="3300" t="s">
        <v>655</v>
      </c>
      <c r="L18" s="780" t="s">
        <v>643</v>
      </c>
      <c r="M18" s="805">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1817</v>
      </c>
      <c r="B19" s="780" t="s">
        <v>656</v>
      </c>
      <c r="C19" s="53">
        <f ca="1">SUM(C14:C18)</f>
        <v>3741</v>
      </c>
      <c r="D19" s="260" t="s">
        <v>1750</v>
      </c>
      <c r="E19" s="3302"/>
      <c r="F19" s="56"/>
      <c r="G19" s="1588"/>
      <c r="H19" s="1644" t="s">
        <v>1825</v>
      </c>
      <c r="I19" s="780" t="s">
        <v>658</v>
      </c>
      <c r="J19" s="53">
        <f ca="1">IF(K19="按租金收入计税",ROUND(J5*M19,1),ROUND(C29*F33*0.7,1))</f>
        <v>45.3</v>
      </c>
      <c r="K19" s="807" t="s">
        <v>659</v>
      </c>
      <c r="L19" s="780" t="s">
        <v>643</v>
      </c>
      <c r="M19" s="805">
        <f>IF(K19="按租金收入计税",'数据-取费表'!B51,'数据-取费表'!B50)</f>
        <v>1.2E-2</v>
      </c>
    </row>
    <row r="20" spans="1:33" s="2061" customFormat="1" ht="18" customHeight="1">
      <c r="A20" s="1645" t="s">
        <v>1882</v>
      </c>
      <c r="B20" s="780" t="s">
        <v>660</v>
      </c>
      <c r="C20" s="53">
        <f ca="1">ROUND(C19*F20,0)</f>
        <v>112</v>
      </c>
      <c r="D20" s="808" t="s">
        <v>661</v>
      </c>
      <c r="E20" s="780" t="s">
        <v>643</v>
      </c>
      <c r="F20" s="805">
        <f>'数据-取费表'!B37</f>
        <v>0.03</v>
      </c>
      <c r="G20" s="1589"/>
      <c r="H20" s="1647" t="s">
        <v>1826</v>
      </c>
      <c r="I20" s="337" t="s">
        <v>662</v>
      </c>
      <c r="J20" s="54">
        <f ca="1">ROUND(M20*M21/10000,0)</f>
        <v>0</v>
      </c>
      <c r="K20" s="810" t="s">
        <v>663</v>
      </c>
      <c r="L20" s="780" t="s">
        <v>664</v>
      </c>
      <c r="M20" s="636">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1883</v>
      </c>
      <c r="B21" s="780" t="s">
        <v>665</v>
      </c>
      <c r="C21" s="53" t="s">
        <v>1757</v>
      </c>
      <c r="D21" s="808" t="s">
        <v>2293</v>
      </c>
      <c r="E21" s="780" t="s">
        <v>667</v>
      </c>
      <c r="F21" s="805">
        <f>'数据-取费表'!B38</f>
        <v>0.03</v>
      </c>
      <c r="G21" s="1589"/>
      <c r="H21" s="2503"/>
      <c r="I21" s="789"/>
      <c r="J21" s="69"/>
      <c r="K21" s="812"/>
      <c r="L21" s="780" t="s">
        <v>668</v>
      </c>
      <c r="M21" s="781">
        <f ca="1">INDIRECT("'数据-取费表'!r"&amp;$G$1)</f>
        <v>2499.98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1884</v>
      </c>
      <c r="B22" s="780" t="s">
        <v>669</v>
      </c>
      <c r="C22" s="53"/>
      <c r="D22" s="2569" t="str">
        <f>IF(F23&lt;=1,"单利计息。","复利计息。")&amp;"建造成本、管理费用、销售费用产生的利息。"</f>
        <v>复利计息。建造成本、管理费用、销售费用产生的利息。</v>
      </c>
      <c r="E22" s="3302"/>
      <c r="F22" s="56"/>
      <c r="G22" s="1588"/>
      <c r="H22" s="1645" t="s">
        <v>1882</v>
      </c>
      <c r="I22" s="780" t="s">
        <v>1761</v>
      </c>
      <c r="J22" s="53">
        <f ca="1">ROUND(J14*M22,0)</f>
        <v>43</v>
      </c>
      <c r="K22" s="3300" t="s">
        <v>671</v>
      </c>
      <c r="L22" s="780" t="s">
        <v>643</v>
      </c>
      <c r="M22" s="813">
        <f ca="1">INDIRECT("'数据-取费表'!Ak"&amp;$G$1)</f>
        <v>8.0000000000000002E-3</v>
      </c>
    </row>
    <row r="23" spans="1:33" s="2061" customFormat="1" ht="18" customHeight="1">
      <c r="A23" s="1644" t="s">
        <v>1824</v>
      </c>
      <c r="B23" s="780" t="s">
        <v>2432</v>
      </c>
      <c r="C23" s="53">
        <f ca="1">ROUND(IF('数据-取费表'!B22&lt;=1,(C19+C20)*F24*F23/2,(C19+C20)*(POWER((1+F24),F23/2)-1)),0)</f>
        <v>278</v>
      </c>
      <c r="D23" s="2568" t="str">
        <f>IF(F23&lt;=1,"(建造成本+管理费用)×利率×(建设周期÷2)","(建造成本+管理费用)×((1+利率)^(建设周期÷2)-1)")</f>
        <v>(建造成本+管理费用)×((1+利率)^(建设周期÷2)-1)</v>
      </c>
      <c r="E23" s="780" t="s">
        <v>672</v>
      </c>
      <c r="F23" s="636">
        <f>'数据-取费表'!B20</f>
        <v>3</v>
      </c>
      <c r="G23" s="1589"/>
      <c r="H23" s="1645" t="s">
        <v>1883</v>
      </c>
      <c r="I23" s="780" t="s">
        <v>673</v>
      </c>
      <c r="J23" s="53">
        <f ca="1">ROUND(J13*M23,0)</f>
        <v>0</v>
      </c>
      <c r="K23" s="3300" t="s">
        <v>674</v>
      </c>
      <c r="L23" s="780" t="s">
        <v>643</v>
      </c>
      <c r="M23" s="814">
        <f ca="1">INDIRECT("'数据-取费表'!Al"&amp;$G$1)</f>
        <v>8.0000000000000004E-4</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1825</v>
      </c>
      <c r="B24" s="780" t="s">
        <v>675</v>
      </c>
      <c r="C24" s="53">
        <f ca="1">ROUND(IF('数据-取费表'!B22&lt;=1,F21*F24*F23/2,F21*(POWER((1+F24),F23/2)-1)),4)</f>
        <v>2.2000000000000001E-3</v>
      </c>
      <c r="D24" s="2568" t="str">
        <f>IF(F23&lt;=1,"销售费用×利率×(建设周期÷2)","销售费用×((1+利率)^(建设周期÷2)-1)")</f>
        <v>销售费用×((1+利率)^(建设周期÷2)-1)</v>
      </c>
      <c r="E24" s="780" t="s">
        <v>676</v>
      </c>
      <c r="F24" s="815">
        <f ca="1">'数据-取费表'!B40</f>
        <v>4.7500000000000001E-2</v>
      </c>
      <c r="G24" s="1589"/>
      <c r="H24" s="2548" t="s">
        <v>1884</v>
      </c>
      <c r="I24" s="2543" t="s">
        <v>660</v>
      </c>
      <c r="J24" s="2541">
        <f ca="1">ROUND(J5*M24,0)</f>
        <v>0</v>
      </c>
      <c r="K24" s="2542" t="s">
        <v>677</v>
      </c>
      <c r="L24" s="2543" t="s">
        <v>643</v>
      </c>
      <c r="M24" s="2539">
        <f ca="1">INDIRECT("'数据-取费表'!Am"&amp;$G$1)</f>
        <v>8.0000000000000002E-3</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1833</v>
      </c>
      <c r="B25" s="780" t="s">
        <v>678</v>
      </c>
      <c r="C25" s="53"/>
      <c r="D25" s="260" t="s">
        <v>679</v>
      </c>
      <c r="E25" s="3302"/>
      <c r="F25" s="56"/>
      <c r="G25" s="1588"/>
      <c r="H25" s="1826" t="s">
        <v>1769</v>
      </c>
      <c r="I25" s="3007" t="s">
        <v>2817</v>
      </c>
      <c r="J25" s="788">
        <f ca="1">J5-J16</f>
        <v>-88</v>
      </c>
      <c r="K25" s="2545" t="s">
        <v>1770</v>
      </c>
      <c r="L25" s="2546"/>
      <c r="M25" s="2547"/>
    </row>
    <row r="26" spans="1:33" ht="18" customHeight="1">
      <c r="A26" s="1644" t="s">
        <v>1824</v>
      </c>
      <c r="B26" s="780" t="s">
        <v>2433</v>
      </c>
      <c r="C26" s="53">
        <f ca="1">ROUND((C19+C20)*F26,0)</f>
        <v>771</v>
      </c>
      <c r="D26" s="808" t="s">
        <v>695</v>
      </c>
      <c r="E26" s="791" t="s">
        <v>696</v>
      </c>
      <c r="F26" s="790">
        <f ca="1">INDIRECT("'数据-取费表'!q"&amp;$G$1)</f>
        <v>0.2</v>
      </c>
      <c r="G26" s="1588"/>
      <c r="H26" s="2499" t="s">
        <v>1773</v>
      </c>
      <c r="I26" s="2229" t="s">
        <v>2822</v>
      </c>
      <c r="J26" s="779">
        <f ca="1">IF(J5&lt;&gt;0,ROUND(J25*(1-((1+M28)/(1+M26))^M27)/(M26-M28),0),0)</f>
        <v>0</v>
      </c>
      <c r="K26" s="810" t="s">
        <v>698</v>
      </c>
      <c r="L26" s="780" t="s">
        <v>2414</v>
      </c>
      <c r="M26" s="790">
        <f ca="1">INDIRECT("'数据-取费表'!I"&amp;$G$1)</f>
        <v>4.4999999999999998E-2</v>
      </c>
    </row>
    <row r="27" spans="1:33" ht="18" customHeight="1">
      <c r="A27" s="1644" t="s">
        <v>1825</v>
      </c>
      <c r="B27" s="780" t="s">
        <v>680</v>
      </c>
      <c r="C27" s="53">
        <f ca="1">ROUND(F21*F26,4)</f>
        <v>6.0000000000000001E-3</v>
      </c>
      <c r="D27" s="808" t="s">
        <v>1775</v>
      </c>
      <c r="E27" s="802"/>
      <c r="F27" s="803"/>
      <c r="G27" s="1588"/>
      <c r="H27" s="2500"/>
      <c r="I27" s="783"/>
      <c r="J27" s="784"/>
      <c r="K27" s="817" t="s">
        <v>701</v>
      </c>
      <c r="L27" s="780" t="s">
        <v>702</v>
      </c>
      <c r="M27" s="818">
        <f ca="1">INDIRECT("'数据-取费表'!ag"&amp;$G$1)</f>
        <v>-3</v>
      </c>
    </row>
    <row r="28" spans="1:33" s="2061" customFormat="1" ht="18" customHeight="1">
      <c r="A28" s="1646" t="s">
        <v>1834</v>
      </c>
      <c r="B28" s="780" t="s">
        <v>681</v>
      </c>
      <c r="C28" s="53">
        <f>ROUND(F28/(1+'数据-取费表'!C42),4)</f>
        <v>5.33E-2</v>
      </c>
      <c r="D28" s="808" t="s">
        <v>2294</v>
      </c>
      <c r="E28" s="780" t="s">
        <v>643</v>
      </c>
      <c r="F28" s="805">
        <f>'数据-取费表'!B41</f>
        <v>5.6000000000000001E-2</v>
      </c>
      <c r="G28" s="1589"/>
      <c r="H28" s="1826"/>
      <c r="I28" s="787"/>
      <c r="J28" s="788"/>
      <c r="K28" s="812"/>
      <c r="L28" s="780" t="s">
        <v>704</v>
      </c>
      <c r="M28" s="790">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1885</v>
      </c>
      <c r="B29" s="2538" t="s">
        <v>2295</v>
      </c>
      <c r="C29" s="2541">
        <f ca="1">ROUND((C19+C20+C23+C26)/(1-F21-C24-C27-C28),0)</f>
        <v>5396</v>
      </c>
      <c r="D29" s="2542"/>
      <c r="E29" s="2543"/>
      <c r="F29" s="2544"/>
      <c r="G29" s="1589"/>
      <c r="H29" s="819" t="s">
        <v>1780</v>
      </c>
      <c r="I29" s="820" t="s">
        <v>1781</v>
      </c>
      <c r="J29" s="821">
        <f ca="1">ROUND(J26/(1+F40)^F41,0)</f>
        <v>0</v>
      </c>
      <c r="K29" s="822" t="s">
        <v>682</v>
      </c>
      <c r="L29" s="823"/>
      <c r="M29" s="824">
        <f ca="1">INDIRECT("'数据-取费表'!k"&amp;$G$1)</f>
        <v>9696</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1741</v>
      </c>
      <c r="B30" s="1824" t="s">
        <v>645</v>
      </c>
      <c r="C30" s="788">
        <f ca="1">ROUND(C31+C36+C37+C38,0)</f>
        <v>155</v>
      </c>
      <c r="D30" s="1818" t="s">
        <v>1743</v>
      </c>
      <c r="E30" s="3301"/>
      <c r="F30" s="2488"/>
      <c r="G30" s="2059"/>
      <c r="H30" s="2062"/>
      <c r="I30" s="2063"/>
      <c r="J30" s="2064"/>
      <c r="K30" s="2065"/>
      <c r="L30" s="2066"/>
      <c r="M30" s="2067"/>
    </row>
    <row r="31" spans="1:33" ht="18" customHeight="1">
      <c r="A31" s="1645" t="s">
        <v>1817</v>
      </c>
      <c r="B31" s="780" t="s">
        <v>650</v>
      </c>
      <c r="C31" s="53">
        <f ca="1">ROUND(IF(项目基本情况!B11="自然人",C5*F31,C32+C33+C34),1)</f>
        <v>99.7</v>
      </c>
      <c r="D31" s="3299" t="s">
        <v>651</v>
      </c>
      <c r="E31" s="3300" t="s">
        <v>684</v>
      </c>
      <c r="F31" s="806">
        <f ca="1">IF(项目基本情况!B11="企业","",IF(INDIRECT("'数据-取费表'!c"&amp;$G$1)="住宅",5%,IF(F6*F7*F8/12/(1+'数据-取费表'!C42)&gt;20000,12%,7%)))</f>
        <v>0.12</v>
      </c>
      <c r="G31" s="2059"/>
      <c r="H31" s="2062"/>
      <c r="I31" s="2063"/>
      <c r="J31" s="2064"/>
      <c r="K31" s="2065"/>
      <c r="L31" s="2066"/>
      <c r="M31" s="2067"/>
    </row>
    <row r="32" spans="1:33" ht="18" customHeight="1">
      <c r="A32" s="1644" t="s">
        <v>1824</v>
      </c>
      <c r="B32" s="780" t="s">
        <v>654</v>
      </c>
      <c r="C32" s="53">
        <f ca="1">ROUND(C5*F32/1.05,1)</f>
        <v>54</v>
      </c>
      <c r="D32" s="3300" t="s">
        <v>655</v>
      </c>
      <c r="E32" s="780" t="s">
        <v>643</v>
      </c>
      <c r="F32" s="805">
        <f>'数据-取费表'!B41</f>
        <v>5.6000000000000001E-2</v>
      </c>
      <c r="G32" s="2059"/>
      <c r="H32" s="2068"/>
      <c r="I32" s="2069"/>
      <c r="J32" s="2070"/>
      <c r="K32" s="2071"/>
      <c r="L32" s="2072"/>
      <c r="M32" s="2073"/>
    </row>
    <row r="33" spans="1:18" ht="18" customHeight="1">
      <c r="A33" s="1644" t="s">
        <v>1825</v>
      </c>
      <c r="B33" s="780" t="s">
        <v>658</v>
      </c>
      <c r="C33" s="53">
        <f ca="1">IF(D33="按租金收入计税",ROUND(C5*F33,1),IF(D33="按房产原值计税",ROUND(C29*F33*0.7,1),INDIRECT("'数据-取费表'!Aj"&amp;$G$1)))</f>
        <v>45.3</v>
      </c>
      <c r="D33" s="807" t="s">
        <v>1675</v>
      </c>
      <c r="E33" s="780" t="s">
        <v>643</v>
      </c>
      <c r="F33" s="805">
        <f>IF(D33="按租金收入计税",'数据-取费表'!B51,'数据-取费表'!B50)</f>
        <v>1.2E-2</v>
      </c>
      <c r="G33" s="2059"/>
      <c r="H33" s="2074"/>
      <c r="I33" s="2074"/>
      <c r="J33" s="2074"/>
      <c r="K33" s="2075"/>
      <c r="L33" s="2074"/>
      <c r="M33" s="2074"/>
    </row>
    <row r="34" spans="1:18" ht="18" customHeight="1">
      <c r="A34" s="1647" t="s">
        <v>1826</v>
      </c>
      <c r="B34" s="337" t="s">
        <v>662</v>
      </c>
      <c r="C34" s="54">
        <f ca="1">ROUND(F34*F35/10000,1)</f>
        <v>0.4</v>
      </c>
      <c r="D34" s="810" t="s">
        <v>663</v>
      </c>
      <c r="E34" s="780" t="s">
        <v>664</v>
      </c>
      <c r="F34" s="636">
        <f>'数据-取费表'!B52</f>
        <v>1.5</v>
      </c>
      <c r="G34" s="2059"/>
      <c r="H34" s="2062"/>
      <c r="I34" s="831" t="s">
        <v>1806</v>
      </c>
      <c r="J34" s="832"/>
      <c r="K34" s="2077"/>
      <c r="L34" s="2076"/>
      <c r="M34" s="2076"/>
    </row>
    <row r="35" spans="1:18" ht="18" customHeight="1">
      <c r="A35" s="811"/>
      <c r="B35" s="789"/>
      <c r="C35" s="69"/>
      <c r="D35" s="812"/>
      <c r="E35" s="780" t="s">
        <v>668</v>
      </c>
      <c r="F35" s="781">
        <f ca="1">INDIRECT("'数据-取费表'!r"&amp;$G$1)</f>
        <v>2499.98</v>
      </c>
      <c r="G35" s="2059"/>
      <c r="H35" s="2062"/>
      <c r="I35" s="833" t="s">
        <v>1807</v>
      </c>
      <c r="J35" s="834">
        <f ca="1">ROUND(C13*J36,0)</f>
        <v>459</v>
      </c>
      <c r="K35" s="2075"/>
      <c r="L35" s="2074"/>
      <c r="M35" s="2074"/>
    </row>
    <row r="36" spans="1:18" ht="18" customHeight="1">
      <c r="A36" s="1645" t="s">
        <v>1882</v>
      </c>
      <c r="B36" s="780" t="s">
        <v>1761</v>
      </c>
      <c r="C36" s="53">
        <f ca="1">ROUND(C29*F36,1)</f>
        <v>43.2</v>
      </c>
      <c r="D36" s="3300" t="s">
        <v>685</v>
      </c>
      <c r="E36" s="780" t="s">
        <v>643</v>
      </c>
      <c r="F36" s="813">
        <f ca="1">INDIRECT("'数据-取费表'!Ak"&amp;$G$1)</f>
        <v>8.0000000000000002E-3</v>
      </c>
      <c r="G36" s="2059"/>
      <c r="H36" s="2074"/>
      <c r="I36" s="835" t="s">
        <v>1808</v>
      </c>
      <c r="J36" s="836">
        <f ca="1">INDIRECT("'数据-取费表'!j"&amp;$G$1)</f>
        <v>8.5000000000000006E-2</v>
      </c>
      <c r="K36" s="2079"/>
      <c r="L36" s="2074"/>
      <c r="M36" s="2074"/>
    </row>
    <row r="37" spans="1:18" ht="18" customHeight="1">
      <c r="A37" s="1645" t="s">
        <v>1883</v>
      </c>
      <c r="B37" s="780" t="s">
        <v>673</v>
      </c>
      <c r="C37" s="53">
        <f ca="1">ROUND(C13*F37,1)</f>
        <v>4.3</v>
      </c>
      <c r="D37" s="3300" t="s">
        <v>674</v>
      </c>
      <c r="E37" s="780" t="s">
        <v>643</v>
      </c>
      <c r="F37" s="814">
        <f ca="1">INDIRECT("'数据-取费表'!Al"&amp;$G$1)</f>
        <v>8.0000000000000004E-4</v>
      </c>
      <c r="G37" s="2059"/>
      <c r="H37" s="2074"/>
      <c r="I37" s="837" t="s">
        <v>1809</v>
      </c>
      <c r="J37" s="838"/>
      <c r="K37" s="2079"/>
      <c r="L37" s="2074"/>
      <c r="M37" s="2074"/>
    </row>
    <row r="38" spans="1:18" ht="18" customHeight="1" thickBot="1">
      <c r="A38" s="2548" t="s">
        <v>1884</v>
      </c>
      <c r="B38" s="2543" t="s">
        <v>660</v>
      </c>
      <c r="C38" s="2541">
        <f ca="1">ROUND(C5*F38,1)</f>
        <v>8.1</v>
      </c>
      <c r="D38" s="2542" t="s">
        <v>677</v>
      </c>
      <c r="E38" s="2543" t="s">
        <v>643</v>
      </c>
      <c r="F38" s="2539">
        <f ca="1">INDIRECT("'数据-取费表'!Am"&amp;$G$1)</f>
        <v>8.0000000000000002E-3</v>
      </c>
      <c r="G38" s="2059"/>
      <c r="H38" s="2074"/>
      <c r="I38" s="839" t="s">
        <v>1810</v>
      </c>
      <c r="J38" s="840"/>
      <c r="K38" s="2080"/>
      <c r="L38" s="2074"/>
      <c r="M38" s="2074"/>
    </row>
    <row r="39" spans="1:18" ht="24.6" customHeight="1" thickTop="1">
      <c r="A39" s="1826" t="s">
        <v>1769</v>
      </c>
      <c r="B39" s="3007" t="s">
        <v>2817</v>
      </c>
      <c r="C39" s="788">
        <f ca="1">C5-C30</f>
        <v>858</v>
      </c>
      <c r="D39" s="2545" t="s">
        <v>1770</v>
      </c>
      <c r="E39" s="2546"/>
      <c r="F39" s="2547"/>
      <c r="G39" s="2059"/>
      <c r="H39" s="2074"/>
      <c r="I39" s="833" t="s">
        <v>1811</v>
      </c>
      <c r="J39" s="841">
        <f ca="1">ROUND(J35/C39,3)</f>
        <v>0.53500000000000003</v>
      </c>
      <c r="K39" s="2080"/>
      <c r="L39" s="2074"/>
      <c r="M39" s="2074"/>
    </row>
    <row r="40" spans="1:18" ht="18" customHeight="1">
      <c r="A40" s="777" t="s">
        <v>1773</v>
      </c>
      <c r="B40" s="2229" t="s">
        <v>2296</v>
      </c>
      <c r="C40" s="779">
        <f ca="1">ROUND(C39*(1-((1+F42)/(1+F40))^F41)/(F40-F42),0)</f>
        <v>15789</v>
      </c>
      <c r="D40" s="810" t="s">
        <v>698</v>
      </c>
      <c r="E40" s="780" t="s">
        <v>2414</v>
      </c>
      <c r="F40" s="790">
        <f ca="1">INDIRECT("'数据-取费表'!I"&amp;$G$1)</f>
        <v>4.4999999999999998E-2</v>
      </c>
      <c r="G40" s="2059"/>
      <c r="H40" s="2059"/>
      <c r="I40" s="833" t="s">
        <v>1812</v>
      </c>
      <c r="J40" s="841">
        <f ca="1">1-J39</f>
        <v>0.46499999999999997</v>
      </c>
      <c r="K40" s="2080"/>
      <c r="L40" s="2059"/>
      <c r="M40" s="2059"/>
    </row>
    <row r="41" spans="1:18" ht="18" customHeight="1">
      <c r="A41" s="782"/>
      <c r="B41" s="783"/>
      <c r="C41" s="784"/>
      <c r="D41" s="817" t="s">
        <v>1801</v>
      </c>
      <c r="E41" s="780" t="s">
        <v>702</v>
      </c>
      <c r="F41" s="818">
        <f ca="1">IF(INDIRECT("'数据-取费表'!af"&amp;$G$1)=0,INDIRECT("'数据-取费表'!ae"&amp;$G$1),INDIRECT("'数据-取费表'!af"&amp;$G$1))</f>
        <v>40</v>
      </c>
      <c r="G41" s="2059"/>
      <c r="H41" s="1985"/>
      <c r="I41" s="839" t="s">
        <v>1813</v>
      </c>
      <c r="J41" s="842"/>
      <c r="K41" s="2079"/>
      <c r="L41" s="1985"/>
      <c r="M41" s="1985"/>
    </row>
    <row r="42" spans="1:18" ht="18" customHeight="1">
      <c r="A42" s="786"/>
      <c r="B42" s="787"/>
      <c r="C42" s="788"/>
      <c r="D42" s="812"/>
      <c r="E42" s="780" t="s">
        <v>704</v>
      </c>
      <c r="F42" s="790">
        <f ca="1">INDIRECT("'数据-取费表'!v"&amp;$G$1)</f>
        <v>0</v>
      </c>
      <c r="G42" s="2059"/>
      <c r="H42" s="1985"/>
      <c r="I42" s="843" t="s">
        <v>1814</v>
      </c>
      <c r="J42" s="841">
        <f ca="1">ROUND(C13/C40,3)</f>
        <v>0.34200000000000003</v>
      </c>
      <c r="K42" s="2079"/>
      <c r="L42" s="1985"/>
      <c r="M42" s="1985"/>
    </row>
    <row r="43" spans="1:18" ht="18" customHeight="1" thickBot="1">
      <c r="A43" s="819" t="s">
        <v>1780</v>
      </c>
      <c r="B43" s="820" t="s">
        <v>1803</v>
      </c>
      <c r="C43" s="821">
        <f ca="1">ROUND(C40*10000/F43,0)</f>
        <v>16284</v>
      </c>
      <c r="D43" s="822" t="s">
        <v>1804</v>
      </c>
      <c r="E43" s="823" t="s">
        <v>1805</v>
      </c>
      <c r="F43" s="824">
        <f ca="1">INDIRECT("'数据-取费表'!k"&amp;$G$1)</f>
        <v>9696</v>
      </c>
      <c r="G43" s="2059"/>
      <c r="H43" s="1985"/>
      <c r="I43" s="843" t="s">
        <v>1815</v>
      </c>
      <c r="J43" s="844">
        <f ca="1">1-J42</f>
        <v>0.65799999999999992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2290</v>
      </c>
      <c r="B46" s="2082"/>
      <c r="C46" s="2571">
        <f ca="1">C67-C40</f>
        <v>-17500</v>
      </c>
      <c r="D46" s="2082"/>
      <c r="E46" s="2082"/>
      <c r="F46" s="2082"/>
      <c r="I46" s="2375" t="s">
        <v>2338</v>
      </c>
      <c r="J46" s="2376"/>
      <c r="K46" s="2377"/>
      <c r="L46" s="3155">
        <f>IF(OR(M47="住宅",D1="土地（套用方法）"),0,IF(L48&gt;J51,L60,J60))</f>
        <v>0</v>
      </c>
      <c r="O46" s="2391" t="s">
        <v>2405</v>
      </c>
      <c r="P46" s="1588"/>
      <c r="Q46" s="1600"/>
      <c r="R46" s="1588"/>
    </row>
    <row r="47" spans="1:18" s="2056" customFormat="1" ht="18" customHeight="1" thickBot="1">
      <c r="A47" s="2369">
        <v>1</v>
      </c>
      <c r="B47" s="2370" t="s">
        <v>629</v>
      </c>
      <c r="C47" s="2571">
        <f ca="1">C48+C52+C54</f>
        <v>0</v>
      </c>
      <c r="D47" s="2082"/>
      <c r="E47" s="2082"/>
      <c r="F47" s="2082"/>
      <c r="I47" s="3145" t="s">
        <v>2339</v>
      </c>
      <c r="J47" s="2378" t="s">
        <v>3172</v>
      </c>
      <c r="K47" s="3152" t="s">
        <v>2344</v>
      </c>
      <c r="L47" s="3156">
        <f ca="1">INDIRECT("'数据-取费表'!d"&amp;$G$1)</f>
        <v>40</v>
      </c>
      <c r="M47" s="1600" t="str">
        <f>IF(ISNUMBER(FIND("住宅",C1)),"住宅","非住宅")</f>
        <v>非住宅</v>
      </c>
      <c r="O47" s="2392" t="s">
        <v>2370</v>
      </c>
      <c r="P47" s="2393" t="s">
        <v>2371</v>
      </c>
      <c r="Q47" s="2394" t="s">
        <v>2372</v>
      </c>
      <c r="R47" s="2393" t="s">
        <v>2373</v>
      </c>
    </row>
    <row r="48" spans="1:18" s="2056" customFormat="1" ht="18" customHeight="1" thickBot="1">
      <c r="A48" s="2639" t="s">
        <v>1863</v>
      </c>
      <c r="B48" s="2640" t="s">
        <v>2533</v>
      </c>
      <c r="C48" s="2371">
        <f ca="1">ROUND(F48*F50*F49*(1-F51)/10000,0)</f>
        <v>0</v>
      </c>
      <c r="D48" s="2372" t="s">
        <v>630</v>
      </c>
      <c r="E48" s="2373" t="s">
        <v>2291</v>
      </c>
      <c r="F48" s="2374"/>
      <c r="G48" s="2087"/>
      <c r="I48" s="3121" t="s">
        <v>2340</v>
      </c>
      <c r="J48" s="2379" t="s">
        <v>2345</v>
      </c>
      <c r="K48" s="3153" t="s">
        <v>2346</v>
      </c>
      <c r="L48" s="1905">
        <f ca="1">INDIRECT("'数据-取费表'!f"&amp;$G$1)</f>
        <v>40</v>
      </c>
      <c r="O48" s="2395" t="s">
        <v>2374</v>
      </c>
      <c r="P48" s="2396" t="s">
        <v>2400</v>
      </c>
      <c r="Q48" s="2397">
        <f ca="1">C40+J29</f>
        <v>15789</v>
      </c>
      <c r="R48" s="2396" t="s">
        <v>2375</v>
      </c>
    </row>
    <row r="49" spans="1:18" s="2056" customFormat="1" ht="18" customHeight="1" thickBot="1">
      <c r="A49" s="782"/>
      <c r="B49" s="783"/>
      <c r="C49" s="784"/>
      <c r="D49" s="785"/>
      <c r="E49" s="780" t="s">
        <v>632</v>
      </c>
      <c r="F49" s="781">
        <f ca="1">F7</f>
        <v>9696</v>
      </c>
      <c r="G49" s="2087"/>
      <c r="H49" s="2090"/>
      <c r="I49" s="3121" t="s">
        <v>2341</v>
      </c>
      <c r="J49" s="2380"/>
      <c r="K49" s="3154" t="s">
        <v>2347</v>
      </c>
      <c r="L49" s="2381"/>
      <c r="O49" s="2395" t="s">
        <v>2376</v>
      </c>
      <c r="P49" s="2396" t="s">
        <v>2401</v>
      </c>
      <c r="Q49" s="2397">
        <f ca="1">J60</f>
        <v>2158</v>
      </c>
      <c r="R49" s="2396" t="s">
        <v>2377</v>
      </c>
    </row>
    <row r="50" spans="1:18" s="2056" customFormat="1" ht="18" customHeight="1" thickBot="1">
      <c r="A50" s="782"/>
      <c r="B50" s="783"/>
      <c r="C50" s="784"/>
      <c r="D50" s="785"/>
      <c r="E50" s="780" t="s">
        <v>1733</v>
      </c>
      <c r="F50" s="781">
        <f ca="1">F8</f>
        <v>365</v>
      </c>
      <c r="G50" s="2092"/>
      <c r="H50" s="2090"/>
      <c r="I50" s="3121" t="s">
        <v>2342</v>
      </c>
      <c r="J50" s="3149">
        <f>SUMPRODUCT((I63:I65=J47)*(J62:L62=J48)*(J63:L65))</f>
        <v>60</v>
      </c>
      <c r="K50" s="3154" t="s">
        <v>2348</v>
      </c>
      <c r="L50" s="2381"/>
      <c r="O50" s="2398" t="s">
        <v>2378</v>
      </c>
      <c r="P50" s="2396" t="s">
        <v>2402</v>
      </c>
      <c r="Q50" s="2397">
        <f ca="1">C29</f>
        <v>5396</v>
      </c>
      <c r="R50" s="2396" t="s">
        <v>2375</v>
      </c>
    </row>
    <row r="51" spans="1:18" s="2056" customFormat="1" ht="18" customHeight="1" thickBot="1">
      <c r="A51" s="782"/>
      <c r="B51" s="783"/>
      <c r="C51" s="784"/>
      <c r="D51" s="785"/>
      <c r="E51" s="780" t="s">
        <v>634</v>
      </c>
      <c r="F51" s="2368"/>
      <c r="H51" s="2090"/>
      <c r="I51" s="3146" t="s">
        <v>2343</v>
      </c>
      <c r="J51" s="3150">
        <f>IF(J49="",J50,J49+J50-YEAR('数据-取费表'!B2))</f>
        <v>60</v>
      </c>
      <c r="K51" s="3121" t="s">
        <v>2349</v>
      </c>
      <c r="L51" s="3157">
        <f ca="1">ROUND(-PV(INDIRECT("'数据-取费表'!h"&amp;$G$1),L48,(C39-C13*J36),0),0)</f>
        <v>6493</v>
      </c>
      <c r="O51" s="2398" t="s">
        <v>2379</v>
      </c>
      <c r="P51" s="2396" t="s">
        <v>2380</v>
      </c>
      <c r="Q51" s="2399">
        <f ca="1">J58</f>
        <v>0.4</v>
      </c>
      <c r="R51" s="2400"/>
    </row>
    <row r="52" spans="1:18" s="2056" customFormat="1" ht="18" customHeight="1" thickBot="1">
      <c r="A52" s="777" t="s">
        <v>2531</v>
      </c>
      <c r="B52" s="2491" t="s">
        <v>2454</v>
      </c>
      <c r="C52" s="795">
        <f ca="1">ROUND(IF(F52="押一",C48/12*F11,IF(F52="押二",C48/12*2*F11,IF(F52="押三",C48/12*3*F11,C53*F11))),0)</f>
        <v>0</v>
      </c>
      <c r="D52" s="2498" t="s">
        <v>2971</v>
      </c>
      <c r="E52" s="2495" t="s">
        <v>2459</v>
      </c>
      <c r="F52" s="2618" t="s">
        <v>3240</v>
      </c>
      <c r="I52" s="3147" t="s">
        <v>2416</v>
      </c>
      <c r="J52" s="2382"/>
      <c r="K52" s="3147" t="s">
        <v>2415</v>
      </c>
      <c r="L52" s="2382"/>
      <c r="O52" s="2398" t="s">
        <v>2381</v>
      </c>
      <c r="P52" s="2396" t="s">
        <v>2382</v>
      </c>
      <c r="Q52" s="2399">
        <f>J52</f>
        <v>0</v>
      </c>
      <c r="R52" s="2400"/>
    </row>
    <row r="53" spans="1:18" s="2056" customFormat="1" ht="39.75" customHeight="1" thickBot="1">
      <c r="A53" s="782"/>
      <c r="B53" s="2492" t="s">
        <v>2568</v>
      </c>
      <c r="C53" s="2496"/>
      <c r="D53" s="2498"/>
      <c r="E53" s="2495"/>
      <c r="F53" s="796"/>
      <c r="I53" s="3148" t="s">
        <v>2976</v>
      </c>
      <c r="J53" s="3151">
        <f ca="1">IF(M47="住宅",IF(D1="——",MAX(J51,L48),MAX(J51,L48-'数据-取费表'!B20)),IF(D1="——",MIN(J51,L48),MIN(J51,L48-'数据-取费表'!B20)))</f>
        <v>37</v>
      </c>
      <c r="K53" s="3579" t="s">
        <v>2963</v>
      </c>
      <c r="L53" s="3580"/>
      <c r="O53" s="2398" t="s">
        <v>2383</v>
      </c>
      <c r="P53" s="2396" t="s">
        <v>2384</v>
      </c>
      <c r="Q53" s="2397">
        <f ca="1">J53</f>
        <v>37</v>
      </c>
      <c r="R53" s="2396" t="s">
        <v>2385</v>
      </c>
    </row>
    <row r="54" spans="1:18" s="2056" customFormat="1" ht="18" customHeight="1" thickBot="1">
      <c r="A54" s="2534" t="s">
        <v>2462</v>
      </c>
      <c r="B54" s="2535" t="s">
        <v>2455</v>
      </c>
      <c r="C54" s="2536"/>
      <c r="D54" s="2498"/>
      <c r="E54" s="2495"/>
      <c r="F54" s="796"/>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2386</v>
      </c>
      <c r="P54" s="2396" t="s">
        <v>2403</v>
      </c>
      <c r="Q54" s="2397">
        <f ca="1">Q48+Q49</f>
        <v>17947</v>
      </c>
      <c r="R54" s="2400" t="s">
        <v>2387</v>
      </c>
    </row>
    <row r="55" spans="1:18" s="2056" customFormat="1" ht="18" customHeight="1" thickTop="1" thickBot="1">
      <c r="A55" s="793">
        <v>2</v>
      </c>
      <c r="B55" s="794" t="s">
        <v>638</v>
      </c>
      <c r="C55" s="795">
        <f ca="1">C13</f>
        <v>5396</v>
      </c>
      <c r="D55" s="791"/>
      <c r="E55" s="791"/>
      <c r="F55" s="796"/>
      <c r="I55" s="3160" t="s">
        <v>2350</v>
      </c>
      <c r="J55" s="3096">
        <f ca="1">ROUND(IF(J47="钢混",J57/J50,1-(1-2%)*(J50-J57)/J50),3)</f>
        <v>0.33300000000000002</v>
      </c>
      <c r="K55" s="3161" t="s">
        <v>2351</v>
      </c>
      <c r="L55" s="2383"/>
      <c r="O55" s="2401" t="s">
        <v>2406</v>
      </c>
      <c r="P55" s="1588"/>
      <c r="Q55" s="1600"/>
      <c r="R55" s="1588"/>
    </row>
    <row r="56" spans="1:18" s="2056" customFormat="1" ht="42.75" customHeight="1" thickBot="1">
      <c r="A56" s="1646"/>
      <c r="B56" s="2228" t="s">
        <v>2295</v>
      </c>
      <c r="C56" s="53">
        <f ca="1">C29</f>
        <v>5396</v>
      </c>
      <c r="D56" s="3300"/>
      <c r="E56" s="780"/>
      <c r="F56" s="805"/>
      <c r="I56" s="3162" t="s">
        <v>2352</v>
      </c>
      <c r="J56" s="3172"/>
      <c r="K56" s="3121" t="s">
        <v>2357</v>
      </c>
      <c r="L56" s="1905" t="str">
        <f ca="1">IF(L48&lt;J51,"——",L48-J51)</f>
        <v>——</v>
      </c>
      <c r="O56" s="2392" t="s">
        <v>2370</v>
      </c>
      <c r="P56" s="2393" t="s">
        <v>2371</v>
      </c>
      <c r="Q56" s="2394" t="s">
        <v>2372</v>
      </c>
      <c r="R56" s="2393" t="s">
        <v>2373</v>
      </c>
    </row>
    <row r="57" spans="1:18" s="2056" customFormat="1" ht="28.5" customHeight="1" thickBot="1">
      <c r="A57" s="793" t="s">
        <v>1741</v>
      </c>
      <c r="B57" s="794" t="s">
        <v>645</v>
      </c>
      <c r="C57" s="795">
        <f ca="1">ROUND(C58+C63+C64+C65,0)</f>
        <v>93</v>
      </c>
      <c r="D57" s="26" t="s">
        <v>1743</v>
      </c>
      <c r="E57" s="3302"/>
      <c r="F57" s="56"/>
      <c r="I57" s="3163" t="s">
        <v>2353</v>
      </c>
      <c r="J57" s="3164">
        <f ca="1">IF(OR(M47="住宅",J51&lt;L48,J56="是"),"——",J51-L48)</f>
        <v>20</v>
      </c>
      <c r="K57" s="3121" t="s">
        <v>2358</v>
      </c>
      <c r="L57" s="1905" t="str">
        <f ca="1">IF(L48&lt;J51,"——",IF(L55="比较法",L49,IF(L55="基准地价",L50,L51)))</f>
        <v>——</v>
      </c>
      <c r="O57" s="2395" t="s">
        <v>2374</v>
      </c>
      <c r="P57" s="2396" t="s">
        <v>2400</v>
      </c>
      <c r="Q57" s="2397">
        <f ca="1">C40+J29</f>
        <v>15789</v>
      </c>
      <c r="R57" s="2396" t="s">
        <v>2375</v>
      </c>
    </row>
    <row r="58" spans="1:18" s="2056" customFormat="1" ht="28.5" customHeight="1" thickBot="1">
      <c r="A58" s="1645" t="s">
        <v>1817</v>
      </c>
      <c r="B58" s="780" t="s">
        <v>650</v>
      </c>
      <c r="C58" s="53">
        <f ca="1">ROUND(IF(项目基本情况!B11="自然人",C47*F58,C59+C60+C61),1)</f>
        <v>45.7</v>
      </c>
      <c r="D58" s="3299" t="s">
        <v>651</v>
      </c>
      <c r="E58" s="3300" t="s">
        <v>684</v>
      </c>
      <c r="F58" s="806">
        <f ca="1">IF(项目基本情况!B11="企业","",IF(INDIRECT("'数据-取费表'!c"&amp;$G$1)="住宅",5%,IF(F48*F49*F50/12/(1+'数据-取费表'!C42)&gt;20000,12%,7%)))</f>
        <v>7.0000000000000007E-2</v>
      </c>
      <c r="I58" s="3163" t="s">
        <v>2354</v>
      </c>
      <c r="J58" s="3097">
        <f ca="1">IF(J55&lt;0.4,0.4,J55)</f>
        <v>0.4</v>
      </c>
      <c r="K58" s="3121" t="s">
        <v>2359</v>
      </c>
      <c r="L58" s="1905" t="e">
        <f ca="1">ROUND(POWER(1+L52,L47-L48)*(POWER(1+L52,L48)-1)/(POWER(1+L52,L47)-1),4)</f>
        <v>#DIV/0!</v>
      </c>
      <c r="O58" s="2395" t="s">
        <v>2376</v>
      </c>
      <c r="P58" s="2396" t="s">
        <v>2407</v>
      </c>
      <c r="Q58" s="2397">
        <f ca="1">L60</f>
        <v>0</v>
      </c>
      <c r="R58" s="2400" t="s">
        <v>2409</v>
      </c>
    </row>
    <row r="59" spans="1:18" s="2056" customFormat="1" ht="28.5" customHeight="1" thickBot="1">
      <c r="A59" s="1644" t="s">
        <v>1824</v>
      </c>
      <c r="B59" s="780" t="s">
        <v>654</v>
      </c>
      <c r="C59" s="53">
        <f ca="1">ROUND(C47*F59/1.05,1)</f>
        <v>0</v>
      </c>
      <c r="D59" s="3300" t="s">
        <v>655</v>
      </c>
      <c r="E59" s="780" t="s">
        <v>643</v>
      </c>
      <c r="F59" s="805">
        <f t="shared" ref="F59:F65" si="0">F32</f>
        <v>5.6000000000000001E-2</v>
      </c>
      <c r="I59" s="3163" t="s">
        <v>2355</v>
      </c>
      <c r="J59" s="3164">
        <f ca="1">IF(OR(M47="住宅",J51&lt;L48,J56="是"),"——",ROUND(C29*J58,0))</f>
        <v>2158</v>
      </c>
      <c r="K59" s="3121"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2378</v>
      </c>
      <c r="P59" s="2396" t="s">
        <v>2408</v>
      </c>
      <c r="Q59" s="2397">
        <f>IF(L55="比较法",L49,IF(L55="基准地价",L50,0))</f>
        <v>0</v>
      </c>
      <c r="R59" s="2396" t="s">
        <v>2375</v>
      </c>
    </row>
    <row r="60" spans="1:18" s="2056" customFormat="1" ht="18" customHeight="1" thickBot="1">
      <c r="A60" s="1644" t="s">
        <v>1825</v>
      </c>
      <c r="B60" s="780" t="s">
        <v>658</v>
      </c>
      <c r="C60" s="53">
        <f ca="1">IF(D60="按租金收入计税",ROUND(C47*F60,1),IF(D60="按房产原值计税",ROUND(C56*F60*0.7,1),INDIRECT("'数据-取费表'!Aj"&amp;$G$1)))</f>
        <v>45.3</v>
      </c>
      <c r="D60" s="3300" t="str">
        <f>D33</f>
        <v>按房产原值计税</v>
      </c>
      <c r="E60" s="780" t="s">
        <v>643</v>
      </c>
      <c r="F60" s="805">
        <f t="shared" si="0"/>
        <v>1.2E-2</v>
      </c>
      <c r="I60" s="3165" t="s">
        <v>2356</v>
      </c>
      <c r="J60" s="3166">
        <f ca="1">IF(OR(M47="住宅",J51&lt;L48,J56="是"),"0",ROUND(J59/(1+J52)^J53,0))</f>
        <v>2158</v>
      </c>
      <c r="K60" s="3167" t="s">
        <v>2361</v>
      </c>
      <c r="L60" s="3166">
        <f ca="1">IF(OR(M47="住宅",L48&lt;J51),0,ROUND(L57*(L58/L59-1),0))</f>
        <v>0</v>
      </c>
      <c r="O60" s="2398" t="s">
        <v>2379</v>
      </c>
      <c r="P60" s="2396" t="s">
        <v>2388</v>
      </c>
      <c r="Q60" s="2399">
        <f>L52</f>
        <v>0</v>
      </c>
      <c r="R60" s="2400"/>
    </row>
    <row r="61" spans="1:18" s="2056" customFormat="1" ht="18" customHeight="1" thickBot="1">
      <c r="A61" s="1647" t="s">
        <v>1826</v>
      </c>
      <c r="B61" s="337" t="s">
        <v>662</v>
      </c>
      <c r="C61" s="54">
        <f ca="1">ROUND(F61*F62/10000,1)</f>
        <v>0.4</v>
      </c>
      <c r="D61" s="810" t="s">
        <v>663</v>
      </c>
      <c r="E61" s="780" t="s">
        <v>664</v>
      </c>
      <c r="F61" s="636">
        <f t="shared" si="0"/>
        <v>1.5</v>
      </c>
      <c r="K61" s="2083"/>
      <c r="O61" s="2398" t="s">
        <v>2381</v>
      </c>
      <c r="P61" s="2396" t="s">
        <v>2389</v>
      </c>
      <c r="Q61" s="2397" t="e">
        <f ca="1">L58</f>
        <v>#DIV/0!</v>
      </c>
      <c r="R61" s="2400" t="s">
        <v>2390</v>
      </c>
    </row>
    <row r="62" spans="1:18" s="2056" customFormat="1" ht="15.75" thickBot="1">
      <c r="A62" s="811"/>
      <c r="B62" s="789"/>
      <c r="C62" s="69"/>
      <c r="D62" s="812"/>
      <c r="E62" s="780" t="s">
        <v>668</v>
      </c>
      <c r="F62" s="781">
        <f t="shared" ca="1" si="0"/>
        <v>2499.98</v>
      </c>
      <c r="I62" s="3168" t="s">
        <v>2362</v>
      </c>
      <c r="J62" s="3169" t="s">
        <v>2363</v>
      </c>
      <c r="K62" s="3169" t="s">
        <v>2364</v>
      </c>
      <c r="L62" s="3169" t="s">
        <v>2345</v>
      </c>
      <c r="M62" s="3170" t="s">
        <v>2940</v>
      </c>
      <c r="O62" s="2398" t="s">
        <v>2383</v>
      </c>
      <c r="P62" s="2396" t="str">
        <f>K59</f>
        <v>建设期及建筑物耐用年限下的土地年期修正系数Kn</v>
      </c>
      <c r="Q62" s="2397" t="e">
        <f ca="1">L59</f>
        <v>#DIV/0!</v>
      </c>
      <c r="R62" s="2400" t="s">
        <v>2392</v>
      </c>
    </row>
    <row r="63" spans="1:18" s="2056" customFormat="1" ht="15.75" thickBot="1">
      <c r="A63" s="1645" t="s">
        <v>1882</v>
      </c>
      <c r="B63" s="780" t="s">
        <v>670</v>
      </c>
      <c r="C63" s="53">
        <f ca="1">ROUND(C56*F63,1)</f>
        <v>43.2</v>
      </c>
      <c r="D63" s="3300" t="s">
        <v>685</v>
      </c>
      <c r="E63" s="780" t="s">
        <v>643</v>
      </c>
      <c r="F63" s="813">
        <f t="shared" ca="1" si="0"/>
        <v>8.0000000000000002E-3</v>
      </c>
      <c r="I63" s="3168" t="s">
        <v>2365</v>
      </c>
      <c r="J63" s="3169">
        <v>70</v>
      </c>
      <c r="K63" s="3169">
        <v>50</v>
      </c>
      <c r="L63" s="3169">
        <v>80</v>
      </c>
      <c r="M63" s="3171">
        <v>0.02</v>
      </c>
      <c r="O63" s="2395" t="s">
        <v>2386</v>
      </c>
      <c r="P63" s="2396" t="s">
        <v>2403</v>
      </c>
      <c r="Q63" s="2397">
        <f ca="1">Q57+Q58</f>
        <v>15789</v>
      </c>
      <c r="R63" s="2400" t="s">
        <v>2387</v>
      </c>
    </row>
    <row r="64" spans="1:18" s="2056" customFormat="1" ht="16.5" thickBot="1">
      <c r="A64" s="1645" t="s">
        <v>1883</v>
      </c>
      <c r="B64" s="780" t="s">
        <v>673</v>
      </c>
      <c r="C64" s="53">
        <f ca="1">ROUND(C55*F64,1)</f>
        <v>4.3</v>
      </c>
      <c r="D64" s="3300" t="s">
        <v>674</v>
      </c>
      <c r="E64" s="780" t="s">
        <v>643</v>
      </c>
      <c r="F64" s="814">
        <f t="shared" ca="1" si="0"/>
        <v>8.0000000000000004E-4</v>
      </c>
      <c r="I64" s="3168" t="s">
        <v>2366</v>
      </c>
      <c r="J64" s="3169">
        <v>50</v>
      </c>
      <c r="K64" s="3169">
        <v>35</v>
      </c>
      <c r="L64" s="3169">
        <v>60</v>
      </c>
      <c r="M64" s="842">
        <v>0</v>
      </c>
      <c r="O64" s="2401" t="s">
        <v>2410</v>
      </c>
      <c r="P64" s="1588"/>
      <c r="Q64" s="1600"/>
      <c r="R64" s="1588"/>
    </row>
    <row r="65" spans="1:18" s="2056" customFormat="1" ht="15.75" thickBot="1">
      <c r="A65" s="1645" t="s">
        <v>1884</v>
      </c>
      <c r="B65" s="780" t="s">
        <v>660</v>
      </c>
      <c r="C65" s="53">
        <f ca="1">ROUND(C47*F65,1)</f>
        <v>0</v>
      </c>
      <c r="D65" s="3300" t="s">
        <v>677</v>
      </c>
      <c r="E65" s="780" t="s">
        <v>643</v>
      </c>
      <c r="F65" s="790">
        <f t="shared" ca="1" si="0"/>
        <v>8.0000000000000002E-3</v>
      </c>
      <c r="I65" s="3168" t="s">
        <v>2367</v>
      </c>
      <c r="J65" s="3169">
        <v>40</v>
      </c>
      <c r="K65" s="3169">
        <v>30</v>
      </c>
      <c r="L65" s="3169">
        <v>50</v>
      </c>
      <c r="M65" s="3171">
        <v>0.02</v>
      </c>
      <c r="O65" s="2392" t="s">
        <v>2370</v>
      </c>
      <c r="P65" s="2393" t="s">
        <v>2371</v>
      </c>
      <c r="Q65" s="2394" t="s">
        <v>2372</v>
      </c>
      <c r="R65" s="2393" t="s">
        <v>2373</v>
      </c>
    </row>
    <row r="66" spans="1:18" s="2056" customFormat="1" ht="24.75" thickBot="1">
      <c r="A66" s="793" t="s">
        <v>1769</v>
      </c>
      <c r="B66" s="3008" t="s">
        <v>2817</v>
      </c>
      <c r="C66" s="795">
        <f ca="1">C47-C57</f>
        <v>-93</v>
      </c>
      <c r="D66" s="3299" t="s">
        <v>694</v>
      </c>
      <c r="E66" s="3297"/>
      <c r="F66" s="816"/>
      <c r="K66" s="2083"/>
      <c r="O66" s="2395" t="s">
        <v>2374</v>
      </c>
      <c r="P66" s="2396" t="s">
        <v>2400</v>
      </c>
      <c r="Q66" s="2397">
        <f ca="1">C40+J29</f>
        <v>15789</v>
      </c>
      <c r="R66" s="2396" t="s">
        <v>2375</v>
      </c>
    </row>
    <row r="67" spans="1:18" s="2056" customFormat="1" ht="20.25" thickBot="1">
      <c r="A67" s="777" t="s">
        <v>1773</v>
      </c>
      <c r="B67" s="2229" t="s">
        <v>2296</v>
      </c>
      <c r="C67" s="779">
        <f ca="1">ROUND(C66*(1-((1+F69)/(1+F67))^F68)/(F67-F69),0)</f>
        <v>-1711</v>
      </c>
      <c r="D67" s="810" t="s">
        <v>698</v>
      </c>
      <c r="E67" s="780" t="s">
        <v>699</v>
      </c>
      <c r="F67" s="790">
        <f ca="1">F40</f>
        <v>4.4999999999999998E-2</v>
      </c>
      <c r="K67" s="2083"/>
      <c r="O67" s="2395" t="s">
        <v>2376</v>
      </c>
      <c r="P67" s="2396" t="s">
        <v>2407</v>
      </c>
      <c r="Q67" s="2397">
        <f ca="1">L60</f>
        <v>0</v>
      </c>
      <c r="R67" s="2400" t="s">
        <v>2409</v>
      </c>
    </row>
    <row r="68" spans="1:18" ht="21.75" thickBot="1">
      <c r="A68" s="782"/>
      <c r="B68" s="783"/>
      <c r="C68" s="784"/>
      <c r="D68" s="817" t="s">
        <v>1801</v>
      </c>
      <c r="E68" s="780" t="s">
        <v>702</v>
      </c>
      <c r="F68" s="818">
        <f ca="1">F41</f>
        <v>40</v>
      </c>
      <c r="O68" s="2398" t="s">
        <v>2378</v>
      </c>
      <c r="P68" s="2396" t="s">
        <v>2408</v>
      </c>
      <c r="Q68" s="2402">
        <f ca="1">L51</f>
        <v>6493</v>
      </c>
      <c r="R68" s="2403" t="s">
        <v>2411</v>
      </c>
    </row>
    <row r="69" spans="1:18" ht="20.25" thickBot="1">
      <c r="A69" s="786"/>
      <c r="B69" s="787"/>
      <c r="C69" s="788"/>
      <c r="D69" s="812"/>
      <c r="E69" s="780" t="s">
        <v>704</v>
      </c>
      <c r="F69" s="2368"/>
      <c r="O69" s="2398" t="s">
        <v>2379</v>
      </c>
      <c r="P69" s="2404" t="s">
        <v>2393</v>
      </c>
      <c r="Q69" s="2397">
        <f ca="1">ROUND(Q70-Q71*Q72,0)</f>
        <v>399</v>
      </c>
      <c r="R69" s="2400"/>
    </row>
    <row r="70" spans="1:18" ht="15.75" thickBot="1">
      <c r="A70" s="819" t="s">
        <v>1780</v>
      </c>
      <c r="B70" s="820" t="s">
        <v>1803</v>
      </c>
      <c r="C70" s="821">
        <f ca="1">ROUND(C67*10000/F70,0)</f>
        <v>-1765</v>
      </c>
      <c r="D70" s="822" t="s">
        <v>1804</v>
      </c>
      <c r="E70" s="823" t="s">
        <v>1805</v>
      </c>
      <c r="F70" s="824">
        <f ca="1">F43</f>
        <v>9696</v>
      </c>
      <c r="O70" s="2398" t="s">
        <v>2394</v>
      </c>
      <c r="P70" s="2404" t="s">
        <v>2395</v>
      </c>
      <c r="Q70" s="2397">
        <f ca="1">C39</f>
        <v>858</v>
      </c>
      <c r="R70" s="2396" t="s">
        <v>2375</v>
      </c>
    </row>
    <row r="71" spans="1:18" ht="15.75" thickBot="1">
      <c r="O71" s="2398" t="s">
        <v>2396</v>
      </c>
      <c r="P71" s="2404" t="s">
        <v>2397</v>
      </c>
      <c r="Q71" s="2397">
        <f ca="1">C13</f>
        <v>5396</v>
      </c>
      <c r="R71" s="2396" t="s">
        <v>2375</v>
      </c>
    </row>
    <row r="72" spans="1:18" ht="15.75" thickBot="1">
      <c r="O72" s="2398" t="s">
        <v>2398</v>
      </c>
      <c r="P72" s="2404" t="s">
        <v>2399</v>
      </c>
      <c r="Q72" s="2399">
        <f ca="1">J36</f>
        <v>8.5000000000000006E-2</v>
      </c>
      <c r="R72" s="2400"/>
    </row>
    <row r="73" spans="1:18" ht="15.75" thickBot="1">
      <c r="O73" s="2398" t="s">
        <v>2381</v>
      </c>
      <c r="P73" s="2396" t="s">
        <v>2388</v>
      </c>
      <c r="Q73" s="2399">
        <f>L52</f>
        <v>0</v>
      </c>
      <c r="R73" s="2400"/>
    </row>
    <row r="74" spans="1:18" ht="20.25" thickBot="1">
      <c r="O74" s="2398" t="s">
        <v>2383</v>
      </c>
      <c r="P74" s="2396" t="s">
        <v>2389</v>
      </c>
      <c r="Q74" s="2397" t="e">
        <f ca="1">L58</f>
        <v>#DIV/0!</v>
      </c>
      <c r="R74" s="2400" t="s">
        <v>2390</v>
      </c>
    </row>
    <row r="75" spans="1:18" ht="15.75" thickBot="1">
      <c r="O75" s="2398" t="s">
        <v>2412</v>
      </c>
      <c r="P75" s="2396" t="str">
        <f>K59</f>
        <v>建设期及建筑物耐用年限下的土地年期修正系数Kn</v>
      </c>
      <c r="Q75" s="2397" t="e">
        <f ca="1">L59</f>
        <v>#DIV/0!</v>
      </c>
      <c r="R75" s="2400" t="s">
        <v>2392</v>
      </c>
    </row>
    <row r="76" spans="1:18" ht="15.75" thickBot="1">
      <c r="O76" s="2395" t="s">
        <v>2386</v>
      </c>
      <c r="P76" s="2396" t="s">
        <v>2403</v>
      </c>
      <c r="Q76" s="2397">
        <f ca="1">Q66+Q67</f>
        <v>15789</v>
      </c>
      <c r="R76" s="2400"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61" priority="6">
      <formula>$L$48&gt;$J$51</formula>
    </cfRule>
  </conditionalFormatting>
  <conditionalFormatting sqref="I55">
    <cfRule type="expression" dxfId="160" priority="7">
      <formula>$J$51&gt;$L$48</formula>
    </cfRule>
  </conditionalFormatting>
  <conditionalFormatting sqref="I60">
    <cfRule type="expression" dxfId="159" priority="5">
      <formula>$J$51&gt;$L$48</formula>
    </cfRule>
  </conditionalFormatting>
  <conditionalFormatting sqref="K60">
    <cfRule type="expression" dxfId="158" priority="4">
      <formula>$L$48&gt;$J$51</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1" zoomScale="80" zoomScaleNormal="80" workbookViewId="0">
      <selection activeCell="G60" sqref="G60"/>
    </sheetView>
  </sheetViews>
  <sheetFormatPr defaultRowHeight="14.25"/>
  <cols>
    <col min="1" max="1" width="10.5" style="1333" customWidth="1"/>
    <col min="2" max="2" width="15.75" style="1333" customWidth="1"/>
    <col min="3" max="3" width="17" style="1333" customWidth="1"/>
    <col min="4" max="4" width="12.25" style="1333" customWidth="1"/>
    <col min="5" max="5" width="18.875" style="1333" customWidth="1"/>
    <col min="6" max="6" width="12.25" style="1333" customWidth="1"/>
    <col min="7" max="7" width="19.375" style="1333" customWidth="1"/>
    <col min="8" max="8" width="12.25" style="1333" customWidth="1"/>
    <col min="9" max="9" width="19.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499" t="s">
        <v>751</v>
      </c>
      <c r="C1" s="500" t="s">
        <v>714</v>
      </c>
      <c r="D1" s="2367" t="s">
        <v>2995</v>
      </c>
      <c r="E1" s="502"/>
      <c r="F1" s="2804" t="s">
        <v>3097</v>
      </c>
      <c r="G1" s="1597" t="s">
        <v>715</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461</v>
      </c>
      <c r="B2" s="846">
        <f>ROUND(B3*D3/10000,0)</f>
        <v>3</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5" t="s">
        <v>513</v>
      </c>
      <c r="B3" s="506">
        <f>C49</f>
        <v>3</v>
      </c>
      <c r="C3" s="848" t="s">
        <v>716</v>
      </c>
      <c r="D3" s="847">
        <f>SUMIF('数据-汇总表'!$C19:$C33,D1,'数据-汇总表'!$E19:$E33)</f>
        <v>9696</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4"/>
    </row>
    <row r="4" spans="1:29" ht="15">
      <c r="A4" s="508" t="s">
        <v>515</v>
      </c>
      <c r="B4" s="509"/>
      <c r="C4" s="3552" t="s">
        <v>516</v>
      </c>
      <c r="D4" s="3553"/>
      <c r="E4" s="3554" t="s">
        <v>517</v>
      </c>
      <c r="F4" s="3555"/>
      <c r="G4" s="3552" t="s">
        <v>518</v>
      </c>
      <c r="H4" s="3553"/>
      <c r="I4" s="3552" t="s">
        <v>519</v>
      </c>
      <c r="J4" s="3553"/>
      <c r="K4" s="510" t="s">
        <v>520</v>
      </c>
      <c r="L4" s="2130"/>
      <c r="M4" s="2131"/>
      <c r="N4" s="2131"/>
      <c r="O4" s="2131"/>
      <c r="P4" s="3556" t="s">
        <v>521</v>
      </c>
      <c r="Q4" s="3557"/>
      <c r="R4" s="3539" t="s">
        <v>517</v>
      </c>
      <c r="S4" s="3540"/>
      <c r="T4" s="3539" t="s">
        <v>518</v>
      </c>
      <c r="U4" s="3540"/>
      <c r="V4" s="3564" t="s">
        <v>519</v>
      </c>
      <c r="W4" s="3564"/>
      <c r="X4" s="1563"/>
      <c r="Y4" s="3539" t="s">
        <v>521</v>
      </c>
      <c r="Z4" s="3540"/>
      <c r="AA4" s="3534" t="s">
        <v>517</v>
      </c>
      <c r="AB4" s="3564" t="s">
        <v>518</v>
      </c>
      <c r="AC4" s="3534" t="s">
        <v>519</v>
      </c>
    </row>
    <row r="5" spans="1:29" ht="15.75" thickBot="1">
      <c r="A5" s="511"/>
      <c r="B5" s="512"/>
      <c r="C5" s="3545" t="s">
        <v>3235</v>
      </c>
      <c r="D5" s="3546"/>
      <c r="E5" s="3543" t="s">
        <v>3243</v>
      </c>
      <c r="F5" s="3544"/>
      <c r="G5" s="3543" t="s">
        <v>3244</v>
      </c>
      <c r="H5" s="3544"/>
      <c r="I5" s="3545" t="s">
        <v>3245</v>
      </c>
      <c r="J5" s="3546"/>
      <c r="K5" s="510"/>
      <c r="L5" s="2130"/>
      <c r="M5" s="2131"/>
      <c r="N5" s="2131"/>
      <c r="O5" s="2131"/>
      <c r="P5" s="3558"/>
      <c r="Q5" s="3559"/>
      <c r="R5" s="3541"/>
      <c r="S5" s="3542"/>
      <c r="T5" s="3541"/>
      <c r="U5" s="3542"/>
      <c r="V5" s="3564"/>
      <c r="W5" s="3564"/>
      <c r="X5" s="1563"/>
      <c r="Y5" s="3541"/>
      <c r="Z5" s="3542"/>
      <c r="AA5" s="3535"/>
      <c r="AB5" s="3564"/>
      <c r="AC5" s="3535"/>
    </row>
    <row r="6" spans="1:29" ht="15.75" hidden="1" thickBot="1">
      <c r="A6" s="513"/>
      <c r="B6" s="514"/>
      <c r="C6" s="3547" t="s">
        <v>2929</v>
      </c>
      <c r="D6" s="3548"/>
      <c r="E6" s="3549" t="s">
        <v>2929</v>
      </c>
      <c r="F6" s="3550"/>
      <c r="G6" s="3547" t="s">
        <v>2929</v>
      </c>
      <c r="H6" s="3548"/>
      <c r="I6" s="3547" t="s">
        <v>2929</v>
      </c>
      <c r="J6" s="3548"/>
      <c r="K6" s="510" t="s">
        <v>522</v>
      </c>
      <c r="L6" s="2130"/>
      <c r="M6" s="2131"/>
      <c r="N6" s="2131"/>
      <c r="O6" s="2131"/>
      <c r="P6" s="3560"/>
      <c r="Q6" s="3561"/>
      <c r="R6" s="3541"/>
      <c r="S6" s="3542"/>
      <c r="T6" s="3562"/>
      <c r="U6" s="3563"/>
      <c r="V6" s="3564"/>
      <c r="W6" s="3564"/>
      <c r="X6" s="1563"/>
      <c r="Y6" s="3562"/>
      <c r="Z6" s="3563"/>
      <c r="AA6" s="3536"/>
      <c r="AB6" s="3564"/>
      <c r="AC6" s="3536"/>
    </row>
    <row r="7" spans="1:29" s="1216" customFormat="1" ht="15.75" thickBot="1">
      <c r="A7" s="2909"/>
      <c r="B7" s="2916" t="s">
        <v>523</v>
      </c>
      <c r="C7" s="515">
        <f>'数据-取费表'!B2</f>
        <v>43388</v>
      </c>
      <c r="D7" s="516">
        <v>100</v>
      </c>
      <c r="E7" s="517">
        <f>C7</f>
        <v>43388</v>
      </c>
      <c r="F7" s="518">
        <f>SUMIF(58:58,YEAR(E7)&amp;"-"&amp;MONTH(E7),59:59)</f>
        <v>100</v>
      </c>
      <c r="G7" s="517">
        <f>C7</f>
        <v>43388</v>
      </c>
      <c r="H7" s="516">
        <f>SUMIF(58:58,YEAR(G7)&amp;"-"&amp;MONTH(G7),59:59)</f>
        <v>100</v>
      </c>
      <c r="I7" s="517">
        <f>C7</f>
        <v>43388</v>
      </c>
      <c r="J7" s="516">
        <f>SUMIF(58:58,YEAR(I7)&amp;"-"&amp;MONTH(I7),59:59)</f>
        <v>100</v>
      </c>
      <c r="K7" s="520"/>
      <c r="L7" s="2132"/>
      <c r="M7" s="2133"/>
      <c r="N7" s="2133"/>
      <c r="O7" s="2133"/>
      <c r="P7" s="3537" t="s">
        <v>524</v>
      </c>
      <c r="Q7" s="3565"/>
      <c r="R7" s="1564" t="s">
        <v>8</v>
      </c>
      <c r="S7" s="1565">
        <f t="shared" ref="S7:S15" si="0">F7</f>
        <v>100</v>
      </c>
      <c r="T7" s="1564" t="s">
        <v>8</v>
      </c>
      <c r="U7" s="1565">
        <f t="shared" ref="U7:U15" si="1">H7</f>
        <v>100</v>
      </c>
      <c r="V7" s="1564" t="s">
        <v>8</v>
      </c>
      <c r="W7" s="1565">
        <f t="shared" ref="W7:W15" si="2">J7</f>
        <v>100</v>
      </c>
      <c r="X7" s="1566"/>
      <c r="Y7" s="3537" t="s">
        <v>524</v>
      </c>
      <c r="Z7" s="3538"/>
      <c r="AA7" s="1567">
        <f>D7/F7</f>
        <v>1</v>
      </c>
      <c r="AB7" s="1567">
        <f>D7/H7</f>
        <v>1</v>
      </c>
      <c r="AC7" s="1567">
        <f>D7/J7</f>
        <v>1</v>
      </c>
    </row>
    <row r="8" spans="1:29" s="1216" customFormat="1" ht="15.75" thickBot="1">
      <c r="A8" s="2910"/>
      <c r="B8" s="2917" t="s">
        <v>525</v>
      </c>
      <c r="C8" s="521" t="s">
        <v>570</v>
      </c>
      <c r="D8" s="516">
        <v>100</v>
      </c>
      <c r="E8" s="521" t="s">
        <v>3236</v>
      </c>
      <c r="F8" s="518">
        <f>SUMIF(61:61,E8,62:62)-SUMIF(61:61,C8,62:62)+100</f>
        <v>100</v>
      </c>
      <c r="G8" s="521" t="s">
        <v>3236</v>
      </c>
      <c r="H8" s="516">
        <f>SUMIF(61:61,G8,62:62)-SUMIF(61:61,C8,62:62)+100</f>
        <v>100</v>
      </c>
      <c r="I8" s="521" t="s">
        <v>3236</v>
      </c>
      <c r="J8" s="516">
        <f>SUMIF(61:61,I8,62:62)-SUMIF(61:61,C8,62:62)+100</f>
        <v>100</v>
      </c>
      <c r="K8" s="520"/>
      <c r="L8" s="2132"/>
      <c r="M8" s="2133"/>
      <c r="N8" s="2133"/>
      <c r="O8" s="2133"/>
      <c r="P8" s="3537" t="s">
        <v>527</v>
      </c>
      <c r="Q8" s="3538"/>
      <c r="R8" s="1564" t="s">
        <v>8</v>
      </c>
      <c r="S8" s="1565">
        <f t="shared" si="0"/>
        <v>100</v>
      </c>
      <c r="T8" s="1564" t="s">
        <v>8</v>
      </c>
      <c r="U8" s="1565">
        <f t="shared" si="1"/>
        <v>100</v>
      </c>
      <c r="V8" s="1564" t="s">
        <v>8</v>
      </c>
      <c r="W8" s="1565">
        <f t="shared" si="2"/>
        <v>100</v>
      </c>
      <c r="X8" s="1566"/>
      <c r="Y8" s="3537" t="s">
        <v>527</v>
      </c>
      <c r="Z8" s="3538"/>
      <c r="AA8" s="1567">
        <f t="shared" ref="AA8:AA46" si="3">D8/F8</f>
        <v>1</v>
      </c>
      <c r="AB8" s="1567">
        <f t="shared" ref="AB8:AB46" si="4">D8/H8</f>
        <v>1</v>
      </c>
      <c r="AC8" s="1567">
        <f t="shared" ref="AC8:AC46" si="5">D8/J8</f>
        <v>1</v>
      </c>
    </row>
    <row r="9" spans="1:29" s="1216" customFormat="1" ht="15.75" thickBot="1">
      <c r="A9" s="2911"/>
      <c r="B9" s="2918" t="s">
        <v>2751</v>
      </c>
      <c r="C9" s="3258" t="s">
        <v>3155</v>
      </c>
      <c r="D9" s="253">
        <v>100</v>
      </c>
      <c r="E9" s="856" t="s">
        <v>2995</v>
      </c>
      <c r="F9" s="253">
        <f>SUMIF(63:63,E9,64:64)-SUMIF(63:63,C9,64:64)+100</f>
        <v>100</v>
      </c>
      <c r="G9" s="854" t="s">
        <v>2995</v>
      </c>
      <c r="H9" s="253">
        <f>SUMIF(63:63,G9,64:64)-SUMIF(63:63,C9,64:64)+100</f>
        <v>100</v>
      </c>
      <c r="I9" s="854" t="s">
        <v>2995</v>
      </c>
      <c r="J9" s="253">
        <f>SUMIF(63:63,I9,64:64)-SUMIF(63:63,C9,64:64)+100</f>
        <v>100</v>
      </c>
      <c r="K9" s="520"/>
      <c r="L9" s="2132"/>
      <c r="M9" s="2133"/>
      <c r="N9" s="2133"/>
      <c r="O9" s="2134"/>
      <c r="P9" s="3551" t="s">
        <v>529</v>
      </c>
      <c r="Q9" s="1147" t="str">
        <f t="shared" ref="Q9:Q15" si="6">B9</f>
        <v>用途</v>
      </c>
      <c r="R9" s="1564" t="s">
        <v>8</v>
      </c>
      <c r="S9" s="1565">
        <f t="shared" si="0"/>
        <v>100</v>
      </c>
      <c r="T9" s="1564" t="s">
        <v>8</v>
      </c>
      <c r="U9" s="1565">
        <f t="shared" si="1"/>
        <v>100</v>
      </c>
      <c r="V9" s="1564" t="s">
        <v>8</v>
      </c>
      <c r="W9" s="1565">
        <f t="shared" si="2"/>
        <v>100</v>
      </c>
      <c r="X9" s="1566"/>
      <c r="Y9" s="3489" t="s">
        <v>530</v>
      </c>
      <c r="Z9" s="1146" t="str">
        <f t="shared" ref="Z9:Z15" si="7">Q9</f>
        <v>用途</v>
      </c>
      <c r="AA9" s="1567">
        <f t="shared" si="3"/>
        <v>1</v>
      </c>
      <c r="AB9" s="1567">
        <f t="shared" si="4"/>
        <v>1</v>
      </c>
      <c r="AC9" s="1567">
        <f t="shared" si="5"/>
        <v>1</v>
      </c>
    </row>
    <row r="10" spans="1:29" s="1334" customFormat="1" ht="27.75" hidden="1" thickBot="1">
      <c r="A10" s="2912"/>
      <c r="B10" s="2917" t="s">
        <v>2752</v>
      </c>
      <c r="C10" s="857" t="s">
        <v>3157</v>
      </c>
      <c r="D10" s="254">
        <v>100</v>
      </c>
      <c r="E10" s="857" t="s">
        <v>3157</v>
      </c>
      <c r="F10" s="254">
        <f>SUMIF(65:65,E10,66:66)-SUMIF(65:65,C10,66:66)+100</f>
        <v>100</v>
      </c>
      <c r="G10" s="858" t="s">
        <v>3157</v>
      </c>
      <c r="H10" s="254">
        <f>SUMIF(65:65,G10,66:66)-SUMIF(65:65,C10,66:66)+100</f>
        <v>100</v>
      </c>
      <c r="I10" s="857" t="s">
        <v>3157</v>
      </c>
      <c r="J10" s="254">
        <f>SUMIF(65:65,I10,66:66)-SUMIF(65:65,C10,66:66)+100</f>
        <v>100</v>
      </c>
      <c r="K10" s="580">
        <v>1</v>
      </c>
      <c r="L10" s="2135"/>
      <c r="M10" s="2175"/>
      <c r="N10" s="2175"/>
      <c r="O10" s="2136"/>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hidden="1">
      <c r="A11" s="2913"/>
      <c r="B11" s="2917" t="s">
        <v>2753</v>
      </c>
      <c r="C11" s="529">
        <v>1</v>
      </c>
      <c r="D11" s="254">
        <v>100</v>
      </c>
      <c r="E11" s="529">
        <v>1</v>
      </c>
      <c r="F11" s="254">
        <f>LOOKUP(E11,68:68,69:69)-LOOKUP(C11,68:68,69:69)+100</f>
        <v>100</v>
      </c>
      <c r="G11" s="530">
        <v>1</v>
      </c>
      <c r="H11" s="254">
        <f>LOOKUP(G11,68:68,69:69)-LOOKUP(C11,68:68,69:69)+100</f>
        <v>100</v>
      </c>
      <c r="I11" s="529">
        <v>1</v>
      </c>
      <c r="J11" s="254">
        <f>LOOKUP(I11,68:68,69:69)-LOOKUP(C11,68:68,69:69)+100</f>
        <v>100</v>
      </c>
      <c r="K11" s="580"/>
      <c r="L11" s="2137"/>
      <c r="M11" s="2131"/>
      <c r="N11" s="2131"/>
      <c r="O11" s="2138"/>
      <c r="P11" s="3551"/>
      <c r="Q11" s="1147" t="str">
        <f t="shared" si="6"/>
        <v>容积率</v>
      </c>
      <c r="R11" s="1564" t="s">
        <v>8</v>
      </c>
      <c r="S11" s="1565">
        <f t="shared" si="0"/>
        <v>100</v>
      </c>
      <c r="T11" s="1564" t="s">
        <v>8</v>
      </c>
      <c r="U11" s="1565">
        <f t="shared" si="1"/>
        <v>100</v>
      </c>
      <c r="V11" s="1564" t="s">
        <v>8</v>
      </c>
      <c r="W11" s="1565">
        <f t="shared" si="2"/>
        <v>100</v>
      </c>
      <c r="X11" s="1566"/>
      <c r="Y11" s="3489"/>
      <c r="Z11" s="1146" t="str">
        <f t="shared" si="7"/>
        <v>容积率</v>
      </c>
      <c r="AA11" s="1567">
        <f t="shared" si="3"/>
        <v>1</v>
      </c>
      <c r="AB11" s="1567">
        <f t="shared" si="4"/>
        <v>1</v>
      </c>
      <c r="AC11" s="1567">
        <f t="shared" si="5"/>
        <v>1</v>
      </c>
    </row>
    <row r="12" spans="1:29" s="1216" customFormat="1" ht="15" hidden="1">
      <c r="A12" s="2914"/>
      <c r="B12" s="2920">
        <v>111</v>
      </c>
      <c r="C12" s="524"/>
      <c r="D12" s="534">
        <v>100</v>
      </c>
      <c r="E12" s="535"/>
      <c r="F12" s="254">
        <f>SUMIF(70:70,E12,71:71)-SUMIF(70:70,C12,71:71)+100</f>
        <v>100</v>
      </c>
      <c r="G12" s="908"/>
      <c r="H12" s="254">
        <f>SUMIF(70:70,G12,71:71)-SUMIF(70:70,C12,71:71)+100</f>
        <v>100</v>
      </c>
      <c r="I12" s="535"/>
      <c r="J12" s="254">
        <f>SUMIF(70:70,I12,71:71)-SUMIF(70:70,C12,71:71)+100</f>
        <v>100</v>
      </c>
      <c r="K12" s="577"/>
      <c r="L12" s="2132"/>
      <c r="M12" s="2133"/>
      <c r="N12" s="2133"/>
      <c r="O12" s="2134"/>
      <c r="P12" s="3551"/>
      <c r="Q12" s="1147">
        <f t="shared" si="6"/>
        <v>111</v>
      </c>
      <c r="R12" s="1564" t="s">
        <v>8</v>
      </c>
      <c r="S12" s="1565">
        <f t="shared" si="0"/>
        <v>100</v>
      </c>
      <c r="T12" s="1564" t="s">
        <v>8</v>
      </c>
      <c r="U12" s="1565">
        <f t="shared" si="1"/>
        <v>100</v>
      </c>
      <c r="V12" s="1564" t="s">
        <v>8</v>
      </c>
      <c r="W12" s="1565">
        <f t="shared" si="2"/>
        <v>100</v>
      </c>
      <c r="X12" s="1566"/>
      <c r="Y12" s="3489"/>
      <c r="Z12" s="1146">
        <f t="shared" si="7"/>
        <v>111</v>
      </c>
      <c r="AA12" s="1567">
        <f>D12/F12</f>
        <v>1</v>
      </c>
      <c r="AB12" s="1567">
        <f>D12/H12</f>
        <v>1</v>
      </c>
      <c r="AC12" s="1567">
        <f>D12/J12</f>
        <v>1</v>
      </c>
    </row>
    <row r="13" spans="1:29" ht="15" hidden="1">
      <c r="A13" s="2914"/>
      <c r="B13" s="2920">
        <v>111</v>
      </c>
      <c r="C13" s="535"/>
      <c r="D13" s="536">
        <v>100</v>
      </c>
      <c r="E13" s="535"/>
      <c r="F13" s="254">
        <f>SUMIF(72:72,E13,73:73)-SUMIF(72:72,C13,73:73)+100</f>
        <v>100</v>
      </c>
      <c r="G13" s="908"/>
      <c r="H13" s="536">
        <f>SUMIF(72:72,G13,73:73)-SUMIF(72:72,C13,73:73)+100</f>
        <v>100</v>
      </c>
      <c r="I13" s="535"/>
      <c r="J13" s="536">
        <f>SUMIF(72:72,I13,73:73)-SUMIF(72:72,C13,73:73)+100</f>
        <v>100</v>
      </c>
      <c r="K13" s="577"/>
      <c r="L13" s="2139"/>
      <c r="M13" s="2131"/>
      <c r="N13" s="2131"/>
      <c r="O13" s="2138"/>
      <c r="P13" s="3551"/>
      <c r="Q13" s="1147">
        <f t="shared" si="6"/>
        <v>111</v>
      </c>
      <c r="R13" s="1564" t="s">
        <v>8</v>
      </c>
      <c r="S13" s="1565">
        <f t="shared" si="0"/>
        <v>100</v>
      </c>
      <c r="T13" s="1564" t="s">
        <v>8</v>
      </c>
      <c r="U13" s="1565">
        <f t="shared" si="1"/>
        <v>100</v>
      </c>
      <c r="V13" s="1564" t="s">
        <v>8</v>
      </c>
      <c r="W13" s="1565">
        <f t="shared" si="2"/>
        <v>100</v>
      </c>
      <c r="X13" s="1566"/>
      <c r="Y13" s="3489"/>
      <c r="Z13" s="1146">
        <f t="shared" si="7"/>
        <v>111</v>
      </c>
      <c r="AA13" s="1567">
        <f t="shared" si="3"/>
        <v>1</v>
      </c>
      <c r="AB13" s="1567">
        <f t="shared" si="4"/>
        <v>1</v>
      </c>
      <c r="AC13" s="1567">
        <f t="shared" si="5"/>
        <v>1</v>
      </c>
    </row>
    <row r="14" spans="1:29" ht="15.75" hidden="1" thickBot="1">
      <c r="A14" s="2915"/>
      <c r="B14" s="2921">
        <v>111</v>
      </c>
      <c r="C14" s="541"/>
      <c r="D14" s="542">
        <v>100</v>
      </c>
      <c r="E14" s="541"/>
      <c r="F14" s="542">
        <f>SUMIF(74:74,E14,75:75)-SUMIF(74:74,C14,75:75)+100</f>
        <v>100</v>
      </c>
      <c r="G14" s="908"/>
      <c r="H14" s="542">
        <f>SUMIF(74:74,G14,75:75)-SUMIF(74:74,C14,75:75)+100</f>
        <v>100</v>
      </c>
      <c r="I14" s="535"/>
      <c r="J14" s="542">
        <f>SUMIF(74:74,I14,75:75)-SUMIF(74:74,C14,75:75)+100</f>
        <v>100</v>
      </c>
      <c r="K14" s="577"/>
      <c r="L14" s="2139"/>
      <c r="M14" s="2131"/>
      <c r="N14" s="2131"/>
      <c r="O14" s="2138"/>
      <c r="P14" s="3551"/>
      <c r="Q14" s="1147">
        <f t="shared" si="6"/>
        <v>111</v>
      </c>
      <c r="R14" s="1564" t="s">
        <v>8</v>
      </c>
      <c r="S14" s="1565">
        <f t="shared" si="0"/>
        <v>100</v>
      </c>
      <c r="T14" s="1564" t="s">
        <v>8</v>
      </c>
      <c r="U14" s="1565">
        <f t="shared" si="1"/>
        <v>100</v>
      </c>
      <c r="V14" s="1564" t="s">
        <v>8</v>
      </c>
      <c r="W14" s="1565">
        <f t="shared" si="2"/>
        <v>100</v>
      </c>
      <c r="X14" s="1566"/>
      <c r="Y14" s="3489"/>
      <c r="Z14" s="1146">
        <f t="shared" si="7"/>
        <v>111</v>
      </c>
      <c r="AA14" s="1567">
        <f t="shared" si="3"/>
        <v>1</v>
      </c>
      <c r="AB14" s="1567">
        <f t="shared" si="4"/>
        <v>1</v>
      </c>
      <c r="AC14" s="1567">
        <f t="shared" si="5"/>
        <v>1</v>
      </c>
    </row>
    <row r="15" spans="1:29" ht="57">
      <c r="A15" s="2907" t="s">
        <v>2749</v>
      </c>
      <c r="B15" s="165" t="s">
        <v>535</v>
      </c>
      <c r="C15" s="863" t="str">
        <f>估价对象房地状况!C4</f>
        <v>估价对象位于XX商圈，周边商业氛围成熟，人流量大，商业繁华度好</v>
      </c>
      <c r="D15" s="545">
        <v>100</v>
      </c>
      <c r="E15" s="546"/>
      <c r="F15" s="547">
        <f>SUMIF(76:76,E16,77:77)-SUMIF(76:76,C16,77:77)+100</f>
        <v>103</v>
      </c>
      <c r="G15" s="548"/>
      <c r="H15" s="545">
        <f>SUMIF(76:76,G16,77:77)-SUMIF(76:76,C16,77:77)+100</f>
        <v>103</v>
      </c>
      <c r="I15" s="546"/>
      <c r="J15" s="545">
        <f>SUMIF(76:76,I16,77:77)-SUMIF(76:76,C16,77:77)+100</f>
        <v>103</v>
      </c>
      <c r="K15" s="3303">
        <v>3</v>
      </c>
      <c r="L15" s="2139"/>
      <c r="M15" s="2131"/>
      <c r="N15" s="2131"/>
      <c r="O15" s="2138"/>
      <c r="P15" s="3570" t="s">
        <v>534</v>
      </c>
      <c r="Q15" s="1568" t="str">
        <f t="shared" si="6"/>
        <v>商业繁华度</v>
      </c>
      <c r="R15" s="1569" t="s">
        <v>8</v>
      </c>
      <c r="S15" s="1570">
        <f t="shared" si="0"/>
        <v>103</v>
      </c>
      <c r="T15" s="1569" t="s">
        <v>8</v>
      </c>
      <c r="U15" s="1570">
        <f t="shared" si="1"/>
        <v>103</v>
      </c>
      <c r="V15" s="1569" t="s">
        <v>8</v>
      </c>
      <c r="W15" s="1570">
        <f t="shared" si="2"/>
        <v>103</v>
      </c>
      <c r="X15" s="1563"/>
      <c r="Y15" s="3570" t="s">
        <v>534</v>
      </c>
      <c r="Z15" s="1571" t="str">
        <f t="shared" si="7"/>
        <v>商业繁华度</v>
      </c>
      <c r="AA15" s="1572">
        <f t="shared" si="3"/>
        <v>0.970873786407767</v>
      </c>
      <c r="AB15" s="1572">
        <f t="shared" si="4"/>
        <v>0.970873786407767</v>
      </c>
      <c r="AC15" s="1572">
        <f t="shared" si="5"/>
        <v>0.970873786407767</v>
      </c>
    </row>
    <row r="16" spans="1:29" ht="15">
      <c r="A16" s="528"/>
      <c r="B16" s="865"/>
      <c r="C16" s="572" t="s">
        <v>3001</v>
      </c>
      <c r="D16" s="551"/>
      <c r="E16" s="572" t="s">
        <v>3014</v>
      </c>
      <c r="F16" s="553"/>
      <c r="G16" s="572" t="s">
        <v>3014</v>
      </c>
      <c r="H16" s="555"/>
      <c r="I16" s="572" t="s">
        <v>3014</v>
      </c>
      <c r="J16" s="551"/>
      <c r="K16" s="895"/>
      <c r="L16" s="2139"/>
      <c r="M16" s="2131"/>
      <c r="N16" s="2131"/>
      <c r="O16" s="2138"/>
      <c r="P16" s="3571"/>
      <c r="Q16" s="1568"/>
      <c r="R16" s="1569"/>
      <c r="S16" s="1570"/>
      <c r="T16" s="1569"/>
      <c r="U16" s="1570"/>
      <c r="V16" s="1569"/>
      <c r="W16" s="1570"/>
      <c r="X16" s="1563"/>
      <c r="Y16" s="3571"/>
      <c r="Z16" s="1571"/>
      <c r="AA16" s="1572">
        <v>1</v>
      </c>
      <c r="AB16" s="1572">
        <v>1</v>
      </c>
      <c r="AC16" s="1572">
        <v>1</v>
      </c>
    </row>
    <row r="17" spans="1:29" ht="71.25">
      <c r="A17" s="528"/>
      <c r="B17" s="867" t="s">
        <v>290</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v>1</v>
      </c>
      <c r="L17" s="2139"/>
      <c r="M17" s="2131"/>
      <c r="N17" s="2131"/>
      <c r="O17" s="2138"/>
      <c r="P17" s="3571"/>
      <c r="Q17" s="1568" t="str">
        <f>B17</f>
        <v>交通便捷度</v>
      </c>
      <c r="R17" s="1569" t="s">
        <v>8</v>
      </c>
      <c r="S17" s="1570">
        <f>F17</f>
        <v>100</v>
      </c>
      <c r="T17" s="1569" t="s">
        <v>8</v>
      </c>
      <c r="U17" s="1570">
        <f>H17</f>
        <v>100</v>
      </c>
      <c r="V17" s="1569" t="s">
        <v>8</v>
      </c>
      <c r="W17" s="1570">
        <f>J17</f>
        <v>100</v>
      </c>
      <c r="X17" s="1563"/>
      <c r="Y17" s="3571"/>
      <c r="Z17" s="1571" t="str">
        <f>Q17</f>
        <v>交通便捷度</v>
      </c>
      <c r="AA17" s="1572">
        <f t="shared" si="3"/>
        <v>1</v>
      </c>
      <c r="AB17" s="1572">
        <f t="shared" si="4"/>
        <v>1</v>
      </c>
      <c r="AC17" s="1572">
        <f t="shared" si="5"/>
        <v>1</v>
      </c>
    </row>
    <row r="18" spans="1:29" ht="15">
      <c r="A18" s="528"/>
      <c r="B18" s="591"/>
      <c r="C18" s="869" t="s">
        <v>3014</v>
      </c>
      <c r="D18" s="555"/>
      <c r="E18" s="564" t="s">
        <v>3014</v>
      </c>
      <c r="F18" s="559"/>
      <c r="G18" s="565" t="s">
        <v>3014</v>
      </c>
      <c r="H18" s="551"/>
      <c r="I18" s="564" t="s">
        <v>3014</v>
      </c>
      <c r="J18" s="551"/>
      <c r="K18" s="895"/>
      <c r="L18" s="2139"/>
      <c r="M18" s="2131"/>
      <c r="N18" s="2131"/>
      <c r="O18" s="2138"/>
      <c r="P18" s="3571"/>
      <c r="Q18" s="1568"/>
      <c r="R18" s="1569"/>
      <c r="S18" s="1570"/>
      <c r="T18" s="1569"/>
      <c r="U18" s="1570"/>
      <c r="V18" s="1569"/>
      <c r="W18" s="1570"/>
      <c r="X18" s="1563"/>
      <c r="Y18" s="3571"/>
      <c r="Z18" s="1571"/>
      <c r="AA18" s="1572">
        <v>1</v>
      </c>
      <c r="AB18" s="1572">
        <v>1</v>
      </c>
      <c r="AC18" s="1572">
        <v>1</v>
      </c>
    </row>
    <row r="19" spans="1:29" ht="42.75">
      <c r="A19" s="528"/>
      <c r="B19" s="2597" t="s">
        <v>2541</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v>1</v>
      </c>
      <c r="L19" s="2139"/>
      <c r="M19" s="2131"/>
      <c r="N19" s="2131"/>
      <c r="O19" s="2138"/>
      <c r="P19" s="3571"/>
      <c r="Q19" s="1568" t="str">
        <f>B19</f>
        <v>公共配套设施</v>
      </c>
      <c r="R19" s="1569" t="s">
        <v>8</v>
      </c>
      <c r="S19" s="1570">
        <f>F19</f>
        <v>100</v>
      </c>
      <c r="T19" s="1569" t="s">
        <v>8</v>
      </c>
      <c r="U19" s="1570">
        <f>H19</f>
        <v>100</v>
      </c>
      <c r="V19" s="1569" t="s">
        <v>8</v>
      </c>
      <c r="W19" s="1570">
        <f>J19</f>
        <v>100</v>
      </c>
      <c r="X19" s="1563"/>
      <c r="Y19" s="3571"/>
      <c r="Z19" s="1571" t="str">
        <f>Q19</f>
        <v>公共配套设施</v>
      </c>
      <c r="AA19" s="1572">
        <f t="shared" si="3"/>
        <v>1</v>
      </c>
      <c r="AB19" s="1572">
        <f t="shared" si="4"/>
        <v>1</v>
      </c>
      <c r="AC19" s="1572">
        <f t="shared" si="5"/>
        <v>1</v>
      </c>
    </row>
    <row r="20" spans="1:29" ht="15">
      <c r="A20" s="528"/>
      <c r="B20" s="591"/>
      <c r="C20" s="572" t="s">
        <v>3001</v>
      </c>
      <c r="D20" s="551"/>
      <c r="E20" s="552" t="s">
        <v>3001</v>
      </c>
      <c r="F20" s="553"/>
      <c r="G20" s="554" t="s">
        <v>3001</v>
      </c>
      <c r="H20" s="551"/>
      <c r="I20" s="552" t="s">
        <v>3001</v>
      </c>
      <c r="J20" s="551"/>
      <c r="K20" s="895"/>
      <c r="L20" s="2139"/>
      <c r="M20" s="2131"/>
      <c r="N20" s="2131"/>
      <c r="O20" s="2138"/>
      <c r="P20" s="3571"/>
      <c r="Q20" s="1568"/>
      <c r="R20" s="1569"/>
      <c r="S20" s="1570"/>
      <c r="T20" s="1569"/>
      <c r="U20" s="1570"/>
      <c r="V20" s="1569"/>
      <c r="W20" s="1570"/>
      <c r="X20" s="1563"/>
      <c r="Y20" s="3571"/>
      <c r="Z20" s="1571"/>
      <c r="AA20" s="1572">
        <v>1</v>
      </c>
      <c r="AB20" s="1572">
        <v>1</v>
      </c>
      <c r="AC20" s="1572">
        <v>1</v>
      </c>
    </row>
    <row r="21" spans="1:29" ht="28.5">
      <c r="A21" s="528"/>
      <c r="B21" s="2590" t="s">
        <v>2553</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v>1</v>
      </c>
      <c r="L21" s="2139"/>
      <c r="M21" s="2131"/>
      <c r="N21" s="2131"/>
      <c r="O21" s="2138"/>
      <c r="P21" s="3571"/>
      <c r="Q21" s="2576" t="str">
        <f>B21</f>
        <v>基础设施水平</v>
      </c>
      <c r="R21" s="1569" t="s">
        <v>8</v>
      </c>
      <c r="S21" s="1570">
        <f>F21</f>
        <v>100</v>
      </c>
      <c r="T21" s="1569" t="s">
        <v>8</v>
      </c>
      <c r="U21" s="1570">
        <f>H21</f>
        <v>100</v>
      </c>
      <c r="V21" s="1569" t="s">
        <v>8</v>
      </c>
      <c r="W21" s="1570">
        <f>J21</f>
        <v>100</v>
      </c>
      <c r="X21" s="2578"/>
      <c r="Y21" s="3571"/>
      <c r="Z21" s="2577" t="str">
        <f>Q21</f>
        <v>基础设施水平</v>
      </c>
      <c r="AA21" s="1572">
        <f t="shared" ref="AA21" si="8">D21/F21</f>
        <v>1</v>
      </c>
      <c r="AB21" s="1572">
        <f t="shared" ref="AB21" si="9">D21/H21</f>
        <v>1</v>
      </c>
      <c r="AC21" s="1572">
        <f t="shared" ref="AC21" si="10">D21/J21</f>
        <v>1</v>
      </c>
    </row>
    <row r="22" spans="1:29" ht="15">
      <c r="A22" s="528"/>
      <c r="B22" s="918"/>
      <c r="C22" s="869" t="s">
        <v>3104</v>
      </c>
      <c r="D22" s="551"/>
      <c r="E22" s="572" t="s">
        <v>3104</v>
      </c>
      <c r="F22" s="553"/>
      <c r="G22" s="572" t="s">
        <v>3104</v>
      </c>
      <c r="H22" s="551"/>
      <c r="I22" s="572" t="s">
        <v>3104</v>
      </c>
      <c r="J22" s="551"/>
      <c r="K22" s="2599"/>
      <c r="L22" s="2139"/>
      <c r="M22" s="2131"/>
      <c r="N22" s="2131"/>
      <c r="O22" s="2138"/>
      <c r="P22" s="3571"/>
      <c r="Q22" s="2576"/>
      <c r="R22" s="1569"/>
      <c r="S22" s="1570"/>
      <c r="T22" s="1569"/>
      <c r="U22" s="1570"/>
      <c r="V22" s="1569"/>
      <c r="W22" s="1570"/>
      <c r="X22" s="2578"/>
      <c r="Y22" s="3571"/>
      <c r="Z22" s="2577"/>
      <c r="AA22" s="1572">
        <v>1</v>
      </c>
      <c r="AB22" s="1572">
        <v>1</v>
      </c>
      <c r="AC22" s="1572">
        <v>1</v>
      </c>
    </row>
    <row r="23" spans="1:29" ht="42.75">
      <c r="A23" s="528"/>
      <c r="B23" s="867" t="s">
        <v>291</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v>1</v>
      </c>
      <c r="L23" s="2139"/>
      <c r="M23" s="2131"/>
      <c r="N23" s="2131"/>
      <c r="O23" s="2138"/>
      <c r="P23" s="3571"/>
      <c r="Q23" s="1568" t="str">
        <f>B23</f>
        <v>自然及人文环境</v>
      </c>
      <c r="R23" s="1569" t="s">
        <v>8</v>
      </c>
      <c r="S23" s="1570">
        <f>F23</f>
        <v>100</v>
      </c>
      <c r="T23" s="1569" t="s">
        <v>8</v>
      </c>
      <c r="U23" s="1570">
        <f>H23</f>
        <v>100</v>
      </c>
      <c r="V23" s="1569" t="s">
        <v>8</v>
      </c>
      <c r="W23" s="1570">
        <f>J23</f>
        <v>100</v>
      </c>
      <c r="X23" s="1563"/>
      <c r="Y23" s="3571"/>
      <c r="Z23" s="1571" t="str">
        <f>Q23</f>
        <v>自然及人文环境</v>
      </c>
      <c r="AA23" s="1572">
        <f t="shared" si="3"/>
        <v>1</v>
      </c>
      <c r="AB23" s="1572">
        <f t="shared" si="4"/>
        <v>1</v>
      </c>
      <c r="AC23" s="1572">
        <f t="shared" si="5"/>
        <v>1</v>
      </c>
    </row>
    <row r="24" spans="1:29" ht="15">
      <c r="A24" s="528"/>
      <c r="B24" s="591"/>
      <c r="C24" s="3289" t="s">
        <v>3014</v>
      </c>
      <c r="D24" s="551"/>
      <c r="E24" s="552" t="s">
        <v>3014</v>
      </c>
      <c r="F24" s="553"/>
      <c r="G24" s="554" t="s">
        <v>3014</v>
      </c>
      <c r="H24" s="551"/>
      <c r="I24" s="552" t="s">
        <v>3014</v>
      </c>
      <c r="J24" s="551"/>
      <c r="K24" s="895"/>
      <c r="L24" s="2139"/>
      <c r="M24" s="2131"/>
      <c r="N24" s="2131"/>
      <c r="O24" s="2138"/>
      <c r="P24" s="3571"/>
      <c r="Q24" s="1568"/>
      <c r="R24" s="1569"/>
      <c r="S24" s="1570"/>
      <c r="T24" s="1569"/>
      <c r="U24" s="1570"/>
      <c r="V24" s="1569"/>
      <c r="W24" s="1570"/>
      <c r="X24" s="1563"/>
      <c r="Y24" s="3571"/>
      <c r="Z24" s="1571"/>
      <c r="AA24" s="1572">
        <v>1</v>
      </c>
      <c r="AB24" s="1572">
        <v>1</v>
      </c>
      <c r="AC24" s="1572">
        <v>1</v>
      </c>
    </row>
    <row r="25" spans="1:29" ht="15">
      <c r="A25" s="528"/>
      <c r="B25" s="523" t="s">
        <v>541</v>
      </c>
      <c r="C25" s="579" t="s">
        <v>3162</v>
      </c>
      <c r="D25" s="536">
        <v>100</v>
      </c>
      <c r="E25" s="579" t="s">
        <v>3162</v>
      </c>
      <c r="F25" s="571">
        <f>SUMIF(86:86,E25,87:87)-SUMIF(86:86,C25,87:87)+100</f>
        <v>100</v>
      </c>
      <c r="G25" s="579" t="s">
        <v>3162</v>
      </c>
      <c r="H25" s="536">
        <f>SUMIF(86:86,G25,87:87)-SUMIF(86:86,C25,87:87)+100</f>
        <v>100</v>
      </c>
      <c r="I25" s="579" t="s">
        <v>3162</v>
      </c>
      <c r="J25" s="536">
        <f>SUMIF(86:86,I25,87:87)-SUMIF(86:86,C25,87:87)+100</f>
        <v>100</v>
      </c>
      <c r="K25" s="580">
        <v>1</v>
      </c>
      <c r="L25" s="2139"/>
      <c r="M25" s="2131"/>
      <c r="N25" s="2131"/>
      <c r="O25" s="2138"/>
      <c r="P25" s="3571"/>
      <c r="Q25" s="1568" t="str">
        <f t="shared" ref="Q25:Q46" si="11">B25</f>
        <v>临街状况</v>
      </c>
      <c r="R25" s="1569" t="s">
        <v>8</v>
      </c>
      <c r="S25" s="1570">
        <f>F25</f>
        <v>100</v>
      </c>
      <c r="T25" s="1569" t="s">
        <v>8</v>
      </c>
      <c r="U25" s="1570">
        <f>H25</f>
        <v>100</v>
      </c>
      <c r="V25" s="1569" t="s">
        <v>8</v>
      </c>
      <c r="W25" s="1570">
        <f>J25</f>
        <v>100</v>
      </c>
      <c r="X25" s="1563"/>
      <c r="Y25" s="3571"/>
      <c r="Z25" s="1571" t="str">
        <f>Q25</f>
        <v>临街状况</v>
      </c>
      <c r="AA25" s="1572">
        <f t="shared" si="3"/>
        <v>1</v>
      </c>
      <c r="AB25" s="1572">
        <f t="shared" si="4"/>
        <v>1</v>
      </c>
      <c r="AC25" s="1572">
        <f t="shared" si="5"/>
        <v>1</v>
      </c>
    </row>
    <row r="26" spans="1:29" ht="15">
      <c r="A26" s="528"/>
      <c r="B26" s="873" t="s">
        <v>752</v>
      </c>
      <c r="C26" s="3260" t="s">
        <v>3161</v>
      </c>
      <c r="D26" s="536">
        <v>100</v>
      </c>
      <c r="E26" s="3260" t="s">
        <v>3161</v>
      </c>
      <c r="F26" s="571">
        <f>SUMIF(88:88,E26,89:89)-SUMIF(88:88,C26,89:89)+100</f>
        <v>100</v>
      </c>
      <c r="G26" s="3260" t="s">
        <v>3161</v>
      </c>
      <c r="H26" s="536">
        <f>SUMIF(88:88,G26,89:89)-SUMIF(88:88,C26,89:89)+100</f>
        <v>100</v>
      </c>
      <c r="I26" s="3260" t="s">
        <v>3161</v>
      </c>
      <c r="J26" s="536">
        <f>SUMIF(88:88,I26,89:89)-SUMIF(88:88,C26,89:89)+100</f>
        <v>100</v>
      </c>
      <c r="K26" s="577"/>
      <c r="L26" s="2139"/>
      <c r="M26" s="2131"/>
      <c r="N26" s="2131"/>
      <c r="O26" s="2138"/>
      <c r="P26" s="3571"/>
      <c r="Q26" s="1568" t="str">
        <f t="shared" si="11"/>
        <v>平面位置/可视性</v>
      </c>
      <c r="R26" s="1569" t="s">
        <v>8</v>
      </c>
      <c r="S26" s="1570">
        <f>F26</f>
        <v>100</v>
      </c>
      <c r="T26" s="1569" t="s">
        <v>8</v>
      </c>
      <c r="U26" s="1570">
        <f>H26</f>
        <v>100</v>
      </c>
      <c r="V26" s="1569" t="s">
        <v>8</v>
      </c>
      <c r="W26" s="1570">
        <f>J26</f>
        <v>100</v>
      </c>
      <c r="X26" s="1563"/>
      <c r="Y26" s="3571"/>
      <c r="Z26" s="1571" t="str">
        <f>Q26</f>
        <v>平面位置/可视性</v>
      </c>
      <c r="AA26" s="1572">
        <f t="shared" si="3"/>
        <v>1</v>
      </c>
      <c r="AB26" s="1572">
        <f t="shared" si="4"/>
        <v>1</v>
      </c>
      <c r="AC26" s="1572">
        <f t="shared" si="5"/>
        <v>1</v>
      </c>
    </row>
    <row r="27" spans="1:29" s="1216" customFormat="1" ht="15">
      <c r="A27" s="532"/>
      <c r="B27" s="867" t="s">
        <v>753</v>
      </c>
      <c r="C27" s="897" t="s">
        <v>3001</v>
      </c>
      <c r="D27" s="871">
        <v>100</v>
      </c>
      <c r="E27" s="897" t="s">
        <v>3001</v>
      </c>
      <c r="F27" s="872">
        <f>SUMIF(90:90,E27,91:91)-SUMIF(90:90,C27,91:91)+100</f>
        <v>100</v>
      </c>
      <c r="G27" s="897" t="s">
        <v>3001</v>
      </c>
      <c r="H27" s="871">
        <f>SUMIF(90:90,G27,91:91)-SUMIF(90:90,C27,91:91)+100</f>
        <v>100</v>
      </c>
      <c r="I27" s="897" t="s">
        <v>3001</v>
      </c>
      <c r="J27" s="871">
        <f>SUMIF(90:90,I27,91:91)-SUMIF(90:90,C27,91:91)+100</f>
        <v>100</v>
      </c>
      <c r="K27" s="580">
        <v>1</v>
      </c>
      <c r="L27" s="2132"/>
      <c r="M27" s="2133"/>
      <c r="N27" s="2133"/>
      <c r="O27" s="2134"/>
      <c r="P27" s="3571"/>
      <c r="Q27" s="1147" t="str">
        <f t="shared" si="11"/>
        <v>人流量</v>
      </c>
      <c r="R27" s="1564" t="s">
        <v>8</v>
      </c>
      <c r="S27" s="1565">
        <f>F27</f>
        <v>100</v>
      </c>
      <c r="T27" s="1564" t="s">
        <v>8</v>
      </c>
      <c r="U27" s="1565">
        <f>H27</f>
        <v>100</v>
      </c>
      <c r="V27" s="1564" t="s">
        <v>8</v>
      </c>
      <c r="W27" s="1565">
        <f>J27</f>
        <v>100</v>
      </c>
      <c r="X27" s="1566"/>
      <c r="Y27" s="3571"/>
      <c r="Z27" s="1146" t="str">
        <f>Q27</f>
        <v>人流量</v>
      </c>
      <c r="AA27" s="1572">
        <f>D27/F27</f>
        <v>1</v>
      </c>
      <c r="AB27" s="1572">
        <f>D27/H27</f>
        <v>1</v>
      </c>
      <c r="AC27" s="1572">
        <f>D27/J27</f>
        <v>1</v>
      </c>
    </row>
    <row r="28" spans="1:29" ht="15.75" thickBot="1">
      <c r="A28" s="528"/>
      <c r="B28" s="523" t="s">
        <v>755</v>
      </c>
      <c r="C28" s="579">
        <v>1</v>
      </c>
      <c r="D28" s="536">
        <v>100</v>
      </c>
      <c r="E28" s="579">
        <v>1</v>
      </c>
      <c r="F28" s="571">
        <f>SUMIF(92:92,E28,93:93)-SUMIF(92:92,C28,93:93)+100</f>
        <v>100</v>
      </c>
      <c r="G28" s="579">
        <v>1</v>
      </c>
      <c r="H28" s="536">
        <f>SUMIF(92:92,G28,93:93)-SUMIF(92:92,C28,93:93)+100</f>
        <v>100</v>
      </c>
      <c r="I28" s="579">
        <v>1</v>
      </c>
      <c r="J28" s="536">
        <f>SUMIF(92:92,I28,93:93)-SUMIF(92:92,C28,93:93)+100</f>
        <v>100</v>
      </c>
      <c r="K28" s="577"/>
      <c r="L28" s="2139"/>
      <c r="M28" s="2131"/>
      <c r="N28" s="2131"/>
      <c r="O28" s="2138"/>
      <c r="P28" s="357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71"/>
      <c r="Z28" s="1571" t="str">
        <f t="shared" ref="Z28:Z46" si="15">Q28</f>
        <v>楼层</v>
      </c>
      <c r="AA28" s="1572">
        <f t="shared" si="3"/>
        <v>1</v>
      </c>
      <c r="AB28" s="1572">
        <f t="shared" si="4"/>
        <v>1</v>
      </c>
      <c r="AC28" s="1572">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9"/>
      <c r="M29" s="2131"/>
      <c r="N29" s="2131"/>
      <c r="O29" s="2138"/>
      <c r="P29" s="3571"/>
      <c r="Q29" s="1568">
        <f t="shared" si="11"/>
        <v>111</v>
      </c>
      <c r="R29" s="1569" t="s">
        <v>8</v>
      </c>
      <c r="S29" s="1570">
        <f t="shared" si="12"/>
        <v>100</v>
      </c>
      <c r="T29" s="1569" t="s">
        <v>8</v>
      </c>
      <c r="U29" s="1570">
        <f t="shared" si="13"/>
        <v>100</v>
      </c>
      <c r="V29" s="1569" t="s">
        <v>8</v>
      </c>
      <c r="W29" s="1570">
        <f t="shared" si="14"/>
        <v>100</v>
      </c>
      <c r="X29" s="1563"/>
      <c r="Y29" s="3571"/>
      <c r="Z29" s="1571">
        <f t="shared" si="15"/>
        <v>111</v>
      </c>
      <c r="AA29" s="1572">
        <f t="shared" si="3"/>
        <v>1</v>
      </c>
      <c r="AB29" s="1572">
        <f t="shared" si="4"/>
        <v>1</v>
      </c>
      <c r="AC29" s="1572">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9"/>
      <c r="M30" s="2131"/>
      <c r="N30" s="2131"/>
      <c r="O30" s="2138"/>
      <c r="P30" s="3571"/>
      <c r="Q30" s="1568">
        <f t="shared" si="11"/>
        <v>111</v>
      </c>
      <c r="R30" s="1569" t="s">
        <v>8</v>
      </c>
      <c r="S30" s="1570">
        <f t="shared" si="12"/>
        <v>100</v>
      </c>
      <c r="T30" s="1569" t="s">
        <v>8</v>
      </c>
      <c r="U30" s="1570">
        <f t="shared" si="13"/>
        <v>100</v>
      </c>
      <c r="V30" s="1569" t="s">
        <v>8</v>
      </c>
      <c r="W30" s="1570">
        <f t="shared" si="14"/>
        <v>100</v>
      </c>
      <c r="X30" s="1563"/>
      <c r="Y30" s="3571"/>
      <c r="Z30" s="1571">
        <f t="shared" si="15"/>
        <v>111</v>
      </c>
      <c r="AA30" s="1572">
        <f t="shared" si="3"/>
        <v>1</v>
      </c>
      <c r="AB30" s="1572">
        <f t="shared" si="4"/>
        <v>1</v>
      </c>
      <c r="AC30" s="1572">
        <f t="shared" si="5"/>
        <v>1</v>
      </c>
    </row>
    <row r="31" spans="1:29" ht="15.75" hidden="1"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9"/>
      <c r="M31" s="2131"/>
      <c r="N31" s="2131"/>
      <c r="O31" s="2138"/>
      <c r="P31" s="3571"/>
      <c r="Q31" s="1568">
        <f t="shared" si="11"/>
        <v>111</v>
      </c>
      <c r="R31" s="1569" t="s">
        <v>8</v>
      </c>
      <c r="S31" s="1570">
        <f t="shared" si="12"/>
        <v>100</v>
      </c>
      <c r="T31" s="1569" t="s">
        <v>8</v>
      </c>
      <c r="U31" s="1570">
        <f t="shared" si="13"/>
        <v>100</v>
      </c>
      <c r="V31" s="1569" t="s">
        <v>8</v>
      </c>
      <c r="W31" s="1570">
        <f t="shared" si="14"/>
        <v>100</v>
      </c>
      <c r="X31" s="1563"/>
      <c r="Y31" s="3571"/>
      <c r="Z31" s="1571">
        <f t="shared" si="15"/>
        <v>111</v>
      </c>
      <c r="AA31" s="1572">
        <f t="shared" si="3"/>
        <v>1</v>
      </c>
      <c r="AB31" s="1572">
        <f t="shared" si="4"/>
        <v>1</v>
      </c>
      <c r="AC31" s="1572">
        <f t="shared" si="5"/>
        <v>1</v>
      </c>
    </row>
    <row r="32" spans="1:29" ht="15">
      <c r="A32" s="2904" t="s">
        <v>2750</v>
      </c>
      <c r="B32" s="171" t="s">
        <v>756</v>
      </c>
      <c r="C32" s="3293" t="s">
        <v>3170</v>
      </c>
      <c r="D32" s="593">
        <v>100</v>
      </c>
      <c r="E32" s="874" t="s">
        <v>3168</v>
      </c>
      <c r="F32" s="571">
        <f>SUMIF(100:100,E32,101:101)-SUMIF(100:100,C32,101:101)+100</f>
        <v>110</v>
      </c>
      <c r="G32" s="874" t="s">
        <v>3168</v>
      </c>
      <c r="H32" s="536">
        <f>SUMIF(100:100,G32,101:101)-SUMIF(100:100,C32,101:101)+100</f>
        <v>110</v>
      </c>
      <c r="I32" s="874" t="s">
        <v>3168</v>
      </c>
      <c r="J32" s="593">
        <f>SUMIF(100:100,I32,101:101)-SUMIF(100:100,C32,101:101)+100</f>
        <v>110</v>
      </c>
      <c r="K32" s="580">
        <v>10</v>
      </c>
      <c r="L32" s="2139"/>
      <c r="M32" s="2131"/>
      <c r="N32" s="2131"/>
      <c r="O32" s="2138"/>
      <c r="P32" s="3572" t="s">
        <v>544</v>
      </c>
      <c r="Q32" s="1568" t="str">
        <f t="shared" si="11"/>
        <v>商业类型</v>
      </c>
      <c r="R32" s="1569" t="s">
        <v>8</v>
      </c>
      <c r="S32" s="1570">
        <f t="shared" si="12"/>
        <v>110</v>
      </c>
      <c r="T32" s="1569" t="s">
        <v>8</v>
      </c>
      <c r="U32" s="1570">
        <f t="shared" si="13"/>
        <v>110</v>
      </c>
      <c r="V32" s="1569" t="s">
        <v>8</v>
      </c>
      <c r="W32" s="1570">
        <f t="shared" si="14"/>
        <v>110</v>
      </c>
      <c r="X32" s="1563"/>
      <c r="Y32" s="3573" t="s">
        <v>544</v>
      </c>
      <c r="Z32" s="1571" t="str">
        <f t="shared" si="15"/>
        <v>商业类型</v>
      </c>
      <c r="AA32" s="1572">
        <f t="shared" si="3"/>
        <v>0.90909090909090906</v>
      </c>
      <c r="AB32" s="1572">
        <f t="shared" si="4"/>
        <v>0.90909090909090906</v>
      </c>
      <c r="AC32" s="1572">
        <f t="shared" si="5"/>
        <v>0.90909090909090906</v>
      </c>
    </row>
    <row r="33" spans="1:29" s="1335" customFormat="1" ht="15" hidden="1">
      <c r="A33" s="599"/>
      <c r="B33" s="523" t="s">
        <v>720</v>
      </c>
      <c r="C33" s="876">
        <v>1</v>
      </c>
      <c r="D33" s="254">
        <v>100</v>
      </c>
      <c r="E33" s="530">
        <v>1</v>
      </c>
      <c r="F33" s="859">
        <f>LOOKUP(E33,103:103,104:104)-LOOKUP(C33,103:103,104:104)+100</f>
        <v>100</v>
      </c>
      <c r="G33" s="529">
        <v>1</v>
      </c>
      <c r="H33" s="254">
        <f>LOOKUP(G33,103:103,104:104)-LOOKUP(C33,103:103,104:104)+100</f>
        <v>100</v>
      </c>
      <c r="I33" s="529">
        <v>1</v>
      </c>
      <c r="J33" s="254">
        <f>LOOKUP(I33,103:103,104:104)-LOOKUP(C33,103:103,104:104)+100</f>
        <v>100</v>
      </c>
      <c r="K33" s="577"/>
      <c r="L33" s="2137"/>
      <c r="M33" s="2168"/>
      <c r="N33" s="2168"/>
      <c r="O33" s="2140"/>
      <c r="P33" s="3573"/>
      <c r="Q33" s="1601" t="str">
        <f t="shared" si="11"/>
        <v>项目建筑规模</v>
      </c>
      <c r="R33" s="1573" t="s">
        <v>8</v>
      </c>
      <c r="S33" s="1574">
        <f t="shared" si="12"/>
        <v>100</v>
      </c>
      <c r="T33" s="1573" t="s">
        <v>8</v>
      </c>
      <c r="U33" s="1574">
        <f t="shared" si="13"/>
        <v>100</v>
      </c>
      <c r="V33" s="1573" t="s">
        <v>8</v>
      </c>
      <c r="W33" s="1574">
        <f t="shared" si="14"/>
        <v>100</v>
      </c>
      <c r="X33" s="1575"/>
      <c r="Y33" s="3573"/>
      <c r="Z33" s="1576" t="str">
        <f t="shared" si="15"/>
        <v>项目建筑规模</v>
      </c>
      <c r="AA33" s="1572">
        <f t="shared" si="3"/>
        <v>1</v>
      </c>
      <c r="AB33" s="1572">
        <f t="shared" si="4"/>
        <v>1</v>
      </c>
      <c r="AC33" s="1572">
        <f t="shared" si="5"/>
        <v>1</v>
      </c>
    </row>
    <row r="34" spans="1:29" ht="15">
      <c r="A34" s="590"/>
      <c r="B34" s="523" t="s">
        <v>721</v>
      </c>
      <c r="C34" s="3294" t="s">
        <v>3172</v>
      </c>
      <c r="D34" s="536">
        <v>100</v>
      </c>
      <c r="E34" s="878" t="s">
        <v>3172</v>
      </c>
      <c r="F34" s="571">
        <f>SUMIF(105:105,E34,106:106)-SUMIF(105:105,C34,106:106)+100</f>
        <v>100</v>
      </c>
      <c r="G34" s="877" t="s">
        <v>3172</v>
      </c>
      <c r="H34" s="536">
        <f>SUMIF(105:105,G34,106:106)-SUMIF(105:105,C34,106:106)+100</f>
        <v>100</v>
      </c>
      <c r="I34" s="3294" t="s">
        <v>3172</v>
      </c>
      <c r="J34" s="536">
        <f>SUMIF(105:105,I34,106:106)-SUMIF(105:105,C34,106:106)+100</f>
        <v>100</v>
      </c>
      <c r="K34" s="580">
        <v>1</v>
      </c>
      <c r="L34" s="2139"/>
      <c r="M34" s="2131"/>
      <c r="N34" s="2131"/>
      <c r="O34" s="2138"/>
      <c r="P34" s="3573"/>
      <c r="Q34" s="1568" t="str">
        <f t="shared" si="11"/>
        <v>建筑结构</v>
      </c>
      <c r="R34" s="1569" t="s">
        <v>8</v>
      </c>
      <c r="S34" s="1570">
        <f t="shared" si="12"/>
        <v>100</v>
      </c>
      <c r="T34" s="1569" t="s">
        <v>8</v>
      </c>
      <c r="U34" s="1570">
        <f t="shared" si="13"/>
        <v>100</v>
      </c>
      <c r="V34" s="1569" t="s">
        <v>8</v>
      </c>
      <c r="W34" s="1570">
        <f t="shared" si="14"/>
        <v>100</v>
      </c>
      <c r="X34" s="1563"/>
      <c r="Y34" s="3573"/>
      <c r="Z34" s="1571" t="str">
        <f t="shared" si="15"/>
        <v>建筑结构</v>
      </c>
      <c r="AA34" s="1572">
        <f t="shared" si="3"/>
        <v>1</v>
      </c>
      <c r="AB34" s="1572">
        <f t="shared" si="4"/>
        <v>1</v>
      </c>
      <c r="AC34" s="1572">
        <f t="shared" si="5"/>
        <v>1</v>
      </c>
    </row>
    <row r="35" spans="1:29" ht="17.25" hidden="1" customHeight="1">
      <c r="A35" s="590"/>
      <c r="B35" s="523" t="s">
        <v>757</v>
      </c>
      <c r="C35" s="595" t="s">
        <v>3151</v>
      </c>
      <c r="D35" s="536">
        <v>100</v>
      </c>
      <c r="E35" s="595" t="s">
        <v>3151</v>
      </c>
      <c r="F35" s="571">
        <f>SUMIF(107:107,E35,108:108)-SUMIF(107:107,C35,108:108)+100</f>
        <v>100</v>
      </c>
      <c r="G35" s="595" t="s">
        <v>3151</v>
      </c>
      <c r="H35" s="536">
        <f>SUMIF(107:107,G35,108:108)-SUMIF(107:107,C35,108:108)+100</f>
        <v>100</v>
      </c>
      <c r="I35" s="595" t="s">
        <v>3151</v>
      </c>
      <c r="J35" s="536">
        <f>SUMIF(107:107,I35,108:108)-SUMIF(107:107,C35,108:108)+100</f>
        <v>100</v>
      </c>
      <c r="K35" s="580">
        <v>1</v>
      </c>
      <c r="L35" s="2139"/>
      <c r="M35" s="2131"/>
      <c r="N35" s="2131"/>
      <c r="O35" s="2138"/>
      <c r="P35" s="3573"/>
      <c r="Q35" s="1568" t="str">
        <f t="shared" si="11"/>
        <v>公共部分装修</v>
      </c>
      <c r="R35" s="1569" t="s">
        <v>8</v>
      </c>
      <c r="S35" s="1570">
        <f t="shared" si="12"/>
        <v>100</v>
      </c>
      <c r="T35" s="1569" t="s">
        <v>8</v>
      </c>
      <c r="U35" s="1570">
        <f t="shared" si="13"/>
        <v>100</v>
      </c>
      <c r="V35" s="1569" t="s">
        <v>8</v>
      </c>
      <c r="W35" s="1570">
        <f t="shared" si="14"/>
        <v>100</v>
      </c>
      <c r="X35" s="1563"/>
      <c r="Y35" s="3573"/>
      <c r="Z35" s="1571" t="str">
        <f t="shared" si="15"/>
        <v>公共部分装修</v>
      </c>
      <c r="AA35" s="1572">
        <f t="shared" si="3"/>
        <v>1</v>
      </c>
      <c r="AB35" s="1572">
        <f t="shared" si="4"/>
        <v>1</v>
      </c>
      <c r="AC35" s="1572">
        <f t="shared" si="5"/>
        <v>1</v>
      </c>
    </row>
    <row r="36" spans="1:29" ht="15" hidden="1">
      <c r="A36" s="590"/>
      <c r="B36" s="523" t="s">
        <v>758</v>
      </c>
      <c r="C36" s="879">
        <v>1</v>
      </c>
      <c r="D36" s="536">
        <v>100</v>
      </c>
      <c r="E36" s="879">
        <v>1</v>
      </c>
      <c r="F36" s="571">
        <f>LOOKUP(E36,110:110,111:111)-LOOKUP(C36,110:110,111:111)+100</f>
        <v>100</v>
      </c>
      <c r="G36" s="879">
        <v>1</v>
      </c>
      <c r="H36" s="571">
        <f>LOOKUP(G36,110:110,111:111)-LOOKUP(C36,110:110,111:111)+100</f>
        <v>100</v>
      </c>
      <c r="I36" s="879">
        <v>1</v>
      </c>
      <c r="J36" s="536">
        <f>LOOKUP(I36,110:110,111:111)-LOOKUP(C36,110:110,111:111)+100</f>
        <v>100</v>
      </c>
      <c r="K36" s="580"/>
      <c r="L36" s="2139"/>
      <c r="M36" s="2131"/>
      <c r="N36" s="2131"/>
      <c r="O36" s="2138"/>
      <c r="P36" s="3573"/>
      <c r="Q36" s="1568" t="str">
        <f t="shared" si="11"/>
        <v>成新度</v>
      </c>
      <c r="R36" s="1569" t="s">
        <v>8</v>
      </c>
      <c r="S36" s="1570">
        <f t="shared" si="12"/>
        <v>100</v>
      </c>
      <c r="T36" s="1569" t="s">
        <v>8</v>
      </c>
      <c r="U36" s="1570">
        <f t="shared" si="13"/>
        <v>100</v>
      </c>
      <c r="V36" s="1569" t="s">
        <v>8</v>
      </c>
      <c r="W36" s="1570">
        <f t="shared" si="14"/>
        <v>100</v>
      </c>
      <c r="X36" s="1563"/>
      <c r="Y36" s="3573"/>
      <c r="Z36" s="1571" t="str">
        <f t="shared" si="15"/>
        <v>成新度</v>
      </c>
      <c r="AA36" s="1572">
        <f t="shared" si="3"/>
        <v>1</v>
      </c>
      <c r="AB36" s="1572">
        <f t="shared" si="4"/>
        <v>1</v>
      </c>
      <c r="AC36" s="1572">
        <f t="shared" si="5"/>
        <v>1</v>
      </c>
    </row>
    <row r="37" spans="1:29" s="1216" customFormat="1" ht="15" hidden="1">
      <c r="A37" s="596"/>
      <c r="B37" s="1892" t="s">
        <v>2560</v>
      </c>
      <c r="C37" s="595"/>
      <c r="D37" s="254">
        <v>100</v>
      </c>
      <c r="E37" s="595"/>
      <c r="F37" s="571">
        <f>SUMIF(112:112,E37,113:113)-SUMIF(112:112,C37,113:113)+100</f>
        <v>100</v>
      </c>
      <c r="G37" s="595"/>
      <c r="H37" s="536">
        <f>SUMIF(112:112,G37,113:113)-SUMIF(112:112,C37,113:113)+100</f>
        <v>100</v>
      </c>
      <c r="I37" s="595"/>
      <c r="J37" s="536">
        <f>SUMIF(112:112,I37,113:113)-SUMIF(112:112,C37,113:113)+100</f>
        <v>100</v>
      </c>
      <c r="K37" s="580"/>
      <c r="L37" s="2132"/>
      <c r="M37" s="2133"/>
      <c r="N37" s="2133"/>
      <c r="O37" s="2134"/>
      <c r="P37" s="3573"/>
      <c r="Q37" s="1147" t="str">
        <f t="shared" si="11"/>
        <v>市政基础设施</v>
      </c>
      <c r="R37" s="1564" t="s">
        <v>8</v>
      </c>
      <c r="S37" s="1565">
        <f t="shared" si="12"/>
        <v>100</v>
      </c>
      <c r="T37" s="1564" t="s">
        <v>8</v>
      </c>
      <c r="U37" s="1565">
        <f t="shared" si="13"/>
        <v>100</v>
      </c>
      <c r="V37" s="1564" t="s">
        <v>8</v>
      </c>
      <c r="W37" s="1565">
        <f t="shared" si="14"/>
        <v>100</v>
      </c>
      <c r="X37" s="1566"/>
      <c r="Y37" s="3573"/>
      <c r="Z37" s="1146" t="str">
        <f t="shared" si="15"/>
        <v>市政基础设施</v>
      </c>
      <c r="AA37" s="1567">
        <f t="shared" si="3"/>
        <v>1</v>
      </c>
      <c r="AB37" s="1567">
        <f t="shared" si="4"/>
        <v>1</v>
      </c>
      <c r="AC37" s="1567">
        <f t="shared" si="5"/>
        <v>1</v>
      </c>
    </row>
    <row r="38" spans="1:29" ht="15" hidden="1">
      <c r="A38" s="590"/>
      <c r="B38" s="523" t="s">
        <v>759</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9"/>
      <c r="M38" s="2131"/>
      <c r="N38" s="2131"/>
      <c r="O38" s="2138"/>
      <c r="P38" s="3573" t="s">
        <v>760</v>
      </c>
      <c r="Q38" s="1568" t="str">
        <f t="shared" si="11"/>
        <v>业态</v>
      </c>
      <c r="R38" s="1569" t="s">
        <v>8</v>
      </c>
      <c r="S38" s="1570">
        <f t="shared" si="12"/>
        <v>100</v>
      </c>
      <c r="T38" s="1569" t="s">
        <v>8</v>
      </c>
      <c r="U38" s="1570">
        <f t="shared" si="13"/>
        <v>100</v>
      </c>
      <c r="V38" s="1569" t="s">
        <v>8</v>
      </c>
      <c r="W38" s="1570">
        <f t="shared" si="14"/>
        <v>100</v>
      </c>
      <c r="X38" s="1563"/>
      <c r="Y38" s="3573" t="s">
        <v>760</v>
      </c>
      <c r="Z38" s="1571" t="str">
        <f t="shared" si="15"/>
        <v>业态</v>
      </c>
      <c r="AA38" s="1572">
        <f t="shared" si="3"/>
        <v>1</v>
      </c>
      <c r="AB38" s="1572">
        <f t="shared" si="4"/>
        <v>1</v>
      </c>
      <c r="AC38" s="1572">
        <f t="shared" si="5"/>
        <v>1</v>
      </c>
    </row>
    <row r="39" spans="1:29" ht="15" hidden="1">
      <c r="A39" s="590"/>
      <c r="B39" s="523" t="s">
        <v>761</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9"/>
      <c r="M39" s="2131"/>
      <c r="N39" s="2131"/>
      <c r="O39" s="2138"/>
      <c r="P39" s="3573"/>
      <c r="Q39" s="1568" t="str">
        <f t="shared" si="11"/>
        <v>层高</v>
      </c>
      <c r="R39" s="1569" t="s">
        <v>8</v>
      </c>
      <c r="S39" s="1570">
        <f t="shared" si="12"/>
        <v>100</v>
      </c>
      <c r="T39" s="1569" t="s">
        <v>8</v>
      </c>
      <c r="U39" s="1570">
        <f t="shared" si="13"/>
        <v>100</v>
      </c>
      <c r="V39" s="1569" t="s">
        <v>8</v>
      </c>
      <c r="W39" s="1570">
        <f t="shared" si="14"/>
        <v>100</v>
      </c>
      <c r="X39" s="1563"/>
      <c r="Y39" s="3573"/>
      <c r="Z39" s="1571" t="str">
        <f t="shared" si="15"/>
        <v>层高</v>
      </c>
      <c r="AA39" s="1572">
        <f t="shared" si="3"/>
        <v>1</v>
      </c>
      <c r="AB39" s="1572">
        <f t="shared" si="4"/>
        <v>1</v>
      </c>
      <c r="AC39" s="1572">
        <f t="shared" si="5"/>
        <v>1</v>
      </c>
    </row>
    <row r="40" spans="1:29" ht="15" hidden="1">
      <c r="A40" s="590"/>
      <c r="B40" s="523" t="s">
        <v>762</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9"/>
      <c r="M40" s="2131"/>
      <c r="N40" s="2131"/>
      <c r="O40" s="2138"/>
      <c r="P40" s="3573"/>
      <c r="Q40" s="1568" t="str">
        <f t="shared" si="11"/>
        <v>单套建筑面积</v>
      </c>
      <c r="R40" s="1569" t="s">
        <v>8</v>
      </c>
      <c r="S40" s="1570">
        <f t="shared" si="12"/>
        <v>100</v>
      </c>
      <c r="T40" s="1569" t="s">
        <v>8</v>
      </c>
      <c r="U40" s="1570">
        <f t="shared" si="13"/>
        <v>100</v>
      </c>
      <c r="V40" s="1569" t="s">
        <v>8</v>
      </c>
      <c r="W40" s="1570">
        <f t="shared" si="14"/>
        <v>100</v>
      </c>
      <c r="X40" s="1563"/>
      <c r="Y40" s="3573"/>
      <c r="Z40" s="1571" t="str">
        <f t="shared" si="15"/>
        <v>单套建筑面积</v>
      </c>
      <c r="AA40" s="1572">
        <f t="shared" si="3"/>
        <v>1</v>
      </c>
      <c r="AB40" s="1572">
        <f t="shared" si="4"/>
        <v>1</v>
      </c>
      <c r="AC40" s="1572">
        <f t="shared" si="5"/>
        <v>1</v>
      </c>
    </row>
    <row r="41" spans="1:29" s="1335" customFormat="1" ht="15" hidden="1">
      <c r="A41" s="599"/>
      <c r="B41" s="900" t="s">
        <v>763</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7"/>
      <c r="M41" s="2168"/>
      <c r="N41" s="2168"/>
      <c r="O41" s="2140"/>
      <c r="P41" s="3573"/>
      <c r="Q41" s="1601" t="str">
        <f t="shared" si="11"/>
        <v>进深比</v>
      </c>
      <c r="R41" s="1573" t="s">
        <v>8</v>
      </c>
      <c r="S41" s="1574">
        <f t="shared" si="12"/>
        <v>100</v>
      </c>
      <c r="T41" s="1573" t="s">
        <v>8</v>
      </c>
      <c r="U41" s="1574">
        <f t="shared" si="13"/>
        <v>100</v>
      </c>
      <c r="V41" s="1573" t="s">
        <v>8</v>
      </c>
      <c r="W41" s="1574">
        <f t="shared" si="14"/>
        <v>100</v>
      </c>
      <c r="X41" s="1575"/>
      <c r="Y41" s="3573"/>
      <c r="Z41" s="1576" t="str">
        <f t="shared" si="15"/>
        <v>进深比</v>
      </c>
      <c r="AA41" s="1572">
        <f t="shared" si="3"/>
        <v>1</v>
      </c>
      <c r="AB41" s="1572">
        <f t="shared" si="4"/>
        <v>1</v>
      </c>
      <c r="AC41" s="1572">
        <f t="shared" si="5"/>
        <v>1</v>
      </c>
    </row>
    <row r="42" spans="1:29" ht="15.75" thickBot="1">
      <c r="A42" s="590"/>
      <c r="B42" s="523" t="s">
        <v>764</v>
      </c>
      <c r="C42" s="595" t="s">
        <v>3151</v>
      </c>
      <c r="D42" s="536">
        <v>100</v>
      </c>
      <c r="E42" s="595" t="s">
        <v>3151</v>
      </c>
      <c r="F42" s="571">
        <f>SUMIF(122:122,E42,123:123)-SUMIF(122:122,C42,123:123)+100</f>
        <v>100</v>
      </c>
      <c r="G42" s="595" t="s">
        <v>3151</v>
      </c>
      <c r="H42" s="536">
        <f>SUMIF(122:122,G42,123:123)-SUMIF(122:122,C42,123:123)+100</f>
        <v>100</v>
      </c>
      <c r="I42" s="595" t="s">
        <v>3151</v>
      </c>
      <c r="J42" s="536">
        <f>SUMIF(122:122,I42,123:123)-SUMIF(122:122,C42,123:123)+100</f>
        <v>100</v>
      </c>
      <c r="K42" s="580">
        <v>1</v>
      </c>
      <c r="L42" s="2139"/>
      <c r="M42" s="2131"/>
      <c r="N42" s="2131"/>
      <c r="O42" s="2138"/>
      <c r="P42" s="3573"/>
      <c r="Q42" s="1568" t="str">
        <f t="shared" si="11"/>
        <v>内部装修</v>
      </c>
      <c r="R42" s="1569" t="s">
        <v>8</v>
      </c>
      <c r="S42" s="1570">
        <f t="shared" si="12"/>
        <v>100</v>
      </c>
      <c r="T42" s="1569" t="s">
        <v>8</v>
      </c>
      <c r="U42" s="1570">
        <f t="shared" si="13"/>
        <v>100</v>
      </c>
      <c r="V42" s="1569" t="s">
        <v>8</v>
      </c>
      <c r="W42" s="1570">
        <f t="shared" si="14"/>
        <v>100</v>
      </c>
      <c r="X42" s="1563"/>
      <c r="Y42" s="3573"/>
      <c r="Z42" s="1571" t="str">
        <f t="shared" si="15"/>
        <v>内部装修</v>
      </c>
      <c r="AA42" s="1572">
        <f t="shared" si="3"/>
        <v>1</v>
      </c>
      <c r="AB42" s="1572">
        <f t="shared" si="4"/>
        <v>1</v>
      </c>
      <c r="AC42" s="1572">
        <f t="shared" si="5"/>
        <v>1</v>
      </c>
    </row>
    <row r="43" spans="1:29" ht="27" hidden="1">
      <c r="A43" s="590"/>
      <c r="B43" s="523" t="s">
        <v>729</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9"/>
      <c r="M43" s="2131"/>
      <c r="N43" s="2131"/>
      <c r="O43" s="2138"/>
      <c r="P43" s="3573"/>
      <c r="Q43" s="1568" t="str">
        <f t="shared" si="11"/>
        <v>内部装修维护情况</v>
      </c>
      <c r="R43" s="1569" t="s">
        <v>8</v>
      </c>
      <c r="S43" s="1570">
        <f t="shared" si="12"/>
        <v>100</v>
      </c>
      <c r="T43" s="1569" t="s">
        <v>8</v>
      </c>
      <c r="U43" s="1570">
        <f t="shared" si="13"/>
        <v>100</v>
      </c>
      <c r="V43" s="1569" t="s">
        <v>8</v>
      </c>
      <c r="W43" s="1570">
        <f t="shared" si="14"/>
        <v>100</v>
      </c>
      <c r="X43" s="1563"/>
      <c r="Y43" s="3573"/>
      <c r="Z43" s="1571" t="str">
        <f t="shared" si="15"/>
        <v>内部装修维护情况</v>
      </c>
      <c r="AA43" s="1572">
        <f t="shared" si="3"/>
        <v>1</v>
      </c>
      <c r="AB43" s="1572">
        <f t="shared" si="4"/>
        <v>1</v>
      </c>
      <c r="AC43" s="1572">
        <f t="shared" si="5"/>
        <v>1</v>
      </c>
    </row>
    <row r="44" spans="1:29" s="1216" customFormat="1" ht="15" hidden="1">
      <c r="A44" s="596"/>
      <c r="B44" s="3259" t="s">
        <v>3158</v>
      </c>
      <c r="C44" s="3260" t="s">
        <v>3160</v>
      </c>
      <c r="D44" s="254">
        <v>100</v>
      </c>
      <c r="E44" s="3260" t="s">
        <v>3160</v>
      </c>
      <c r="F44" s="859">
        <f>SUMIF(126:126,E44,127:127)-SUMIF(126:126,C44,127:127)+100</f>
        <v>100</v>
      </c>
      <c r="G44" s="3260" t="s">
        <v>3160</v>
      </c>
      <c r="H44" s="254">
        <f>SUMIF(126:126,G44,127:127)-SUMIF(126:126,C44,127:127)+100</f>
        <v>100</v>
      </c>
      <c r="I44" s="3260" t="s">
        <v>3160</v>
      </c>
      <c r="J44" s="254">
        <f>SUMIF(126:126,I44,127:127)-SUMIF(126:126,C44,127:127)+100</f>
        <v>100</v>
      </c>
      <c r="K44" s="577"/>
      <c r="L44" s="2132"/>
      <c r="M44" s="2133"/>
      <c r="N44" s="2133"/>
      <c r="O44" s="2134"/>
      <c r="P44" s="3573"/>
      <c r="Q44" s="1147" t="str">
        <f t="shared" si="11"/>
        <v>交房时间</v>
      </c>
      <c r="R44" s="1564" t="s">
        <v>8</v>
      </c>
      <c r="S44" s="1565">
        <f t="shared" si="12"/>
        <v>100</v>
      </c>
      <c r="T44" s="1564" t="s">
        <v>8</v>
      </c>
      <c r="U44" s="1565">
        <f t="shared" si="13"/>
        <v>100</v>
      </c>
      <c r="V44" s="1564" t="s">
        <v>8</v>
      </c>
      <c r="W44" s="1565">
        <f t="shared" si="14"/>
        <v>100</v>
      </c>
      <c r="X44" s="1566"/>
      <c r="Y44" s="3573"/>
      <c r="Z44" s="1146" t="str">
        <f t="shared" si="15"/>
        <v>交房时间</v>
      </c>
      <c r="AA44" s="1567">
        <f t="shared" si="3"/>
        <v>1</v>
      </c>
      <c r="AB44" s="1567">
        <f t="shared" si="4"/>
        <v>1</v>
      </c>
      <c r="AC44" s="1567">
        <f t="shared" si="5"/>
        <v>1</v>
      </c>
    </row>
    <row r="45" spans="1:29" ht="15" hidden="1">
      <c r="A45" s="590"/>
      <c r="B45" s="3259" t="s">
        <v>3175</v>
      </c>
      <c r="C45" s="535">
        <f>'数据-汇总表'!E20</f>
        <v>9696</v>
      </c>
      <c r="D45" s="536">
        <v>100</v>
      </c>
      <c r="E45" s="535">
        <v>9696</v>
      </c>
      <c r="F45" s="571">
        <f>SUMIF(128:128,E45,129:129)-SUMIF(128:128,C45,129:129)+100</f>
        <v>100</v>
      </c>
      <c r="G45" s="535">
        <v>9696</v>
      </c>
      <c r="H45" s="536">
        <f>SUMIF(128:128,G45,129:129)-SUMIF(128:128,C45,129:129)+100</f>
        <v>100</v>
      </c>
      <c r="I45" s="535">
        <v>9696</v>
      </c>
      <c r="J45" s="536">
        <f>SUMIF(128:128,I45,129:129)-SUMIF(128:128,C45,129:129)+100</f>
        <v>100</v>
      </c>
      <c r="K45" s="577"/>
      <c r="L45" s="2139"/>
      <c r="M45" s="2131"/>
      <c r="N45" s="2131"/>
      <c r="O45" s="2138"/>
      <c r="P45" s="3573"/>
      <c r="Q45" s="1568" t="str">
        <f t="shared" si="11"/>
        <v>建筑面积</v>
      </c>
      <c r="R45" s="1569" t="s">
        <v>8</v>
      </c>
      <c r="S45" s="1570">
        <f t="shared" si="12"/>
        <v>100</v>
      </c>
      <c r="T45" s="1569" t="s">
        <v>8</v>
      </c>
      <c r="U45" s="1570">
        <f t="shared" si="13"/>
        <v>100</v>
      </c>
      <c r="V45" s="1569" t="s">
        <v>8</v>
      </c>
      <c r="W45" s="1570">
        <f t="shared" si="14"/>
        <v>100</v>
      </c>
      <c r="X45" s="1563"/>
      <c r="Y45" s="3573"/>
      <c r="Z45" s="1571" t="str">
        <f t="shared" si="15"/>
        <v>建筑面积</v>
      </c>
      <c r="AA45" s="1572">
        <f t="shared" si="3"/>
        <v>1</v>
      </c>
      <c r="AB45" s="1572">
        <f t="shared" si="4"/>
        <v>1</v>
      </c>
      <c r="AC45" s="1572">
        <f t="shared" si="5"/>
        <v>1</v>
      </c>
    </row>
    <row r="46" spans="1:29" ht="15.75" hidden="1"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9"/>
      <c r="M46" s="2131"/>
      <c r="N46" s="2131"/>
      <c r="O46" s="2138"/>
      <c r="P46" s="3574"/>
      <c r="Q46" s="1568">
        <f t="shared" si="11"/>
        <v>111</v>
      </c>
      <c r="R46" s="1569" t="s">
        <v>8</v>
      </c>
      <c r="S46" s="1570">
        <f t="shared" si="12"/>
        <v>100</v>
      </c>
      <c r="T46" s="1569" t="s">
        <v>8</v>
      </c>
      <c r="U46" s="1570">
        <f t="shared" si="13"/>
        <v>100</v>
      </c>
      <c r="V46" s="1569" t="s">
        <v>8</v>
      </c>
      <c r="W46" s="1570">
        <f t="shared" si="14"/>
        <v>100</v>
      </c>
      <c r="X46" s="1563"/>
      <c r="Y46" s="3574"/>
      <c r="Z46" s="1571">
        <f t="shared" si="15"/>
        <v>111</v>
      </c>
      <c r="AA46" s="1572">
        <f t="shared" si="3"/>
        <v>1</v>
      </c>
      <c r="AB46" s="1572">
        <f t="shared" si="4"/>
        <v>1</v>
      </c>
      <c r="AC46" s="1572">
        <f t="shared" si="5"/>
        <v>1</v>
      </c>
    </row>
    <row r="47" spans="1:29" ht="15">
      <c r="A47" s="603" t="s">
        <v>730</v>
      </c>
      <c r="B47" s="883"/>
      <c r="C47" s="2624" t="s">
        <v>1</v>
      </c>
      <c r="D47" s="2625"/>
      <c r="E47" s="2626">
        <v>3.5</v>
      </c>
      <c r="F47" s="2627"/>
      <c r="G47" s="2628">
        <v>3.8</v>
      </c>
      <c r="H47" s="2629"/>
      <c r="I47" s="2626">
        <v>3.5</v>
      </c>
      <c r="J47" s="2629"/>
      <c r="K47" s="1607"/>
      <c r="L47" s="2141"/>
      <c r="M47" s="2142"/>
      <c r="N47" s="2131"/>
      <c r="O47" s="2142"/>
      <c r="P47" s="3551" t="str">
        <f>A47</f>
        <v>成交单价（元/平方米）</v>
      </c>
      <c r="Q47" s="3551"/>
      <c r="R47" s="3569">
        <f>E47</f>
        <v>3.5</v>
      </c>
      <c r="S47" s="3569"/>
      <c r="T47" s="3569">
        <f>G47</f>
        <v>3.8</v>
      </c>
      <c r="U47" s="3569"/>
      <c r="V47" s="3569">
        <f>I47</f>
        <v>3.5</v>
      </c>
      <c r="W47" s="3569"/>
      <c r="X47" s="1555"/>
      <c r="Y47" s="1577"/>
      <c r="Z47" s="1555"/>
      <c r="AA47" s="1555"/>
      <c r="AB47" s="1555"/>
      <c r="AC47" s="1555"/>
    </row>
    <row r="48" spans="1:29" ht="15.75" thickBot="1">
      <c r="A48" s="611" t="s">
        <v>2755</v>
      </c>
      <c r="B48" s="884"/>
      <c r="C48" s="2630">
        <f>R49</f>
        <v>3</v>
      </c>
      <c r="D48" s="2631"/>
      <c r="E48" s="2632">
        <f>R48</f>
        <v>3</v>
      </c>
      <c r="F48" s="2632"/>
      <c r="G48" s="2630">
        <f>T48</f>
        <v>3</v>
      </c>
      <c r="H48" s="2631"/>
      <c r="I48" s="2632">
        <f>V48</f>
        <v>3</v>
      </c>
      <c r="J48" s="2631"/>
      <c r="K48" s="1608"/>
      <c r="L48" s="2141"/>
      <c r="M48" s="2142"/>
      <c r="N48" s="2131"/>
      <c r="O48" s="2142"/>
      <c r="P48" s="3551" t="str">
        <f>A48</f>
        <v>比较价格（元/平方米）</v>
      </c>
      <c r="Q48" s="3551"/>
      <c r="R48" s="3569">
        <f>IF(F1="售价",ROUND(PRODUCT(R47,AA7:AA46),0),ROUND(PRODUCT(R47,AA7:AA46),1))</f>
        <v>3</v>
      </c>
      <c r="S48" s="3569"/>
      <c r="T48" s="3569">
        <f>IF(F1="售价",ROUND(PRODUCT(T47,AB7:AB46),0),ROUND(PRODUCT(T47,AB7:AB46),1))</f>
        <v>3</v>
      </c>
      <c r="U48" s="3569"/>
      <c r="V48" s="3569">
        <f>IF(F1="售价",ROUND(PRODUCT(V47,AC7:AC46),0),ROUND(PRODUCT(V47,AC7:AC46),1))</f>
        <v>3</v>
      </c>
      <c r="W48" s="3569"/>
      <c r="X48" s="1555"/>
      <c r="Y48" s="1555"/>
      <c r="Z48" s="1555"/>
      <c r="AA48" s="1555"/>
      <c r="AB48" s="1555"/>
      <c r="AC48" s="1555"/>
    </row>
    <row r="49" spans="1:29" ht="15.75" thickBot="1">
      <c r="A49" s="617" t="s">
        <v>2931</v>
      </c>
      <c r="B49" s="618"/>
      <c r="C49" s="2633">
        <f>R49</f>
        <v>3</v>
      </c>
      <c r="D49" s="2633"/>
      <c r="E49" s="2633"/>
      <c r="F49" s="2633"/>
      <c r="G49" s="2633"/>
      <c r="H49" s="2633"/>
      <c r="I49" s="2633"/>
      <c r="J49" s="2633"/>
      <c r="K49" s="1609"/>
      <c r="L49" s="2141"/>
      <c r="M49" s="2142"/>
      <c r="N49" s="2131"/>
      <c r="O49" s="2142"/>
      <c r="P49" s="3566" t="str">
        <f>A49</f>
        <v>估价对象XX用房的比较价格（楼面单价，元/平方米）</v>
      </c>
      <c r="Q49" s="3567"/>
      <c r="R49" s="3568">
        <f>IF(F1="售价",ROUND(AVERAGE(R48:V48),0),ROUND(AVERAGE(R48:V48),1))</f>
        <v>3</v>
      </c>
      <c r="S49" s="3568"/>
      <c r="T49" s="3568"/>
      <c r="U49" s="3568"/>
      <c r="V49" s="3568"/>
      <c r="W49" s="356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0" t="s">
        <v>551</v>
      </c>
      <c r="D52" s="621"/>
      <c r="E52" s="622">
        <f>IF(E47&lt;E48,E48/E47-1,E47/E48-1)</f>
        <v>0.16666666666666674</v>
      </c>
      <c r="F52" s="623" t="str">
        <f>IF(OR(E52&gt;=0.3,E52&lt;=-0.3),"超过30%","")</f>
        <v/>
      </c>
      <c r="G52" s="622">
        <f>IF(G47&lt;G48,G48/G47-1,G47/G48-1)</f>
        <v>0.26666666666666661</v>
      </c>
      <c r="H52" s="623" t="str">
        <f>IF(OR(G52&gt;=0.3,G52&lt;=-0.3),"超过30%","")</f>
        <v/>
      </c>
      <c r="I52" s="622">
        <f>IF(I47&lt;I48,I48/I47-1,I47/I48-1)</f>
        <v>0.16666666666666674</v>
      </c>
      <c r="J52" s="623"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0" t="s">
        <v>552</v>
      </c>
      <c r="D53" s="624"/>
      <c r="E53" s="622">
        <f>IF(E48&lt;G48,G48/E48-1,E48/G48-1)</f>
        <v>0</v>
      </c>
      <c r="F53" s="623" t="str">
        <f>IF(OR(E53&gt;=0.2,E53&lt;=-0.2),"超过20%","")</f>
        <v/>
      </c>
      <c r="G53" s="622">
        <f>IF(G48&lt;I48,I48/G48-1,G48/I48-1)</f>
        <v>0</v>
      </c>
      <c r="H53" s="623" t="str">
        <f>IF(OR(G53&gt;=0.2,G53&lt;=-0.2),"超过20%","")</f>
        <v/>
      </c>
      <c r="I53" s="622">
        <f>IF(I48&lt;E48,E48/I48-1,I48/E48-1)</f>
        <v>0</v>
      </c>
      <c r="J53" s="623"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0" t="s">
        <v>553</v>
      </c>
      <c r="D54" s="624"/>
      <c r="E54" s="622">
        <f>IF(E47&lt;G47,G47/E47-1,E47/G47-1)</f>
        <v>8.5714285714285632E-2</v>
      </c>
      <c r="F54" s="623" t="str">
        <f>IF(OR(E54&gt;=0.3,E54&lt;=-0.3),"超过30%","")</f>
        <v/>
      </c>
      <c r="G54" s="622">
        <f>IF(G47&lt;I47,I47/G47-1,G47/I47-1)</f>
        <v>8.5714285714285632E-2</v>
      </c>
      <c r="H54" s="623" t="str">
        <f>IF(OR(G54&gt;=0.3,G54&lt;=-0.3),"超过30%","")</f>
        <v/>
      </c>
      <c r="I54" s="622">
        <f>IF(I47&lt;E47,E47/I47-1,I47/E47-1)</f>
        <v>0</v>
      </c>
      <c r="J54" s="623"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568</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1" t="s">
        <v>523</v>
      </c>
      <c r="B58" s="642"/>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6" customFormat="1" ht="15">
      <c r="A59" s="643"/>
      <c r="B59" s="644"/>
      <c r="C59" s="645">
        <v>100</v>
      </c>
      <c r="D59" s="646"/>
      <c r="E59" s="646"/>
      <c r="F59" s="646"/>
      <c r="G59" s="646"/>
      <c r="H59" s="646"/>
      <c r="I59" s="646"/>
      <c r="J59" s="646"/>
      <c r="K59" s="646"/>
      <c r="L59" s="646"/>
      <c r="M59" s="647"/>
      <c r="N59" s="646"/>
      <c r="O59" s="648"/>
      <c r="P59" s="2155"/>
      <c r="Q59" s="1990"/>
      <c r="R59" s="1990"/>
      <c r="S59" s="1990"/>
      <c r="T59" s="1990"/>
      <c r="U59" s="1990"/>
      <c r="V59" s="1990"/>
      <c r="W59" s="1990"/>
      <c r="X59" s="1990"/>
      <c r="Y59" s="1990"/>
      <c r="Z59" s="1990"/>
      <c r="AA59" s="1990"/>
      <c r="AB59" s="1990"/>
      <c r="AC59" s="1990"/>
    </row>
    <row r="60" spans="1:29" s="1216" customFormat="1" ht="15.75" thickBot="1">
      <c r="A60" s="649" t="s">
        <v>569</v>
      </c>
      <c r="B60" s="650"/>
      <c r="C60" s="651"/>
      <c r="D60" s="652"/>
      <c r="E60" s="652"/>
      <c r="F60" s="652"/>
      <c r="G60" s="652"/>
      <c r="H60" s="652"/>
      <c r="I60" s="652"/>
      <c r="J60" s="652"/>
      <c r="K60" s="652"/>
      <c r="L60" s="652"/>
      <c r="M60" s="653"/>
      <c r="N60" s="652"/>
      <c r="O60" s="654"/>
      <c r="P60" s="2155"/>
      <c r="Q60" s="2155"/>
      <c r="R60" s="1990"/>
      <c r="S60" s="1990"/>
      <c r="T60" s="1990"/>
      <c r="U60" s="1990"/>
      <c r="V60" s="1990"/>
      <c r="W60" s="1990"/>
      <c r="X60" s="1990"/>
      <c r="Y60" s="1990"/>
      <c r="Z60" s="1990"/>
      <c r="AA60" s="1990"/>
      <c r="AB60" s="1990"/>
      <c r="AC60" s="1990"/>
    </row>
    <row r="61" spans="1:29" s="1216" customFormat="1" ht="15">
      <c r="A61" s="655" t="s">
        <v>525</v>
      </c>
      <c r="B61" s="644"/>
      <c r="C61" s="656" t="s">
        <v>570</v>
      </c>
      <c r="D61" s="3257" t="s">
        <v>3154</v>
      </c>
      <c r="E61" s="657"/>
      <c r="F61" s="657"/>
      <c r="G61" s="657"/>
      <c r="H61" s="657"/>
      <c r="I61" s="657"/>
      <c r="J61" s="657"/>
      <c r="K61" s="657"/>
      <c r="L61" s="658"/>
      <c r="M61" s="659"/>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5"/>
      <c r="B62" s="644"/>
      <c r="C62" s="885">
        <v>100</v>
      </c>
      <c r="D62" s="646">
        <v>102</v>
      </c>
      <c r="E62" s="646"/>
      <c r="F62" s="646"/>
      <c r="G62" s="646"/>
      <c r="H62" s="646"/>
      <c r="I62" s="646"/>
      <c r="J62" s="646"/>
      <c r="K62" s="646"/>
      <c r="L62" s="646"/>
      <c r="M62" s="648"/>
      <c r="N62" s="2159"/>
      <c r="O62" s="2159"/>
      <c r="P62" s="2155"/>
      <c r="Q62" s="2155"/>
      <c r="R62" s="1990"/>
      <c r="S62" s="1990"/>
      <c r="T62" s="1990"/>
      <c r="U62" s="1990"/>
      <c r="V62" s="1990"/>
      <c r="W62" s="1990"/>
      <c r="X62" s="1990"/>
      <c r="Y62" s="1990"/>
      <c r="Z62" s="1990"/>
      <c r="AA62" s="1990"/>
      <c r="AB62" s="1990"/>
      <c r="AC62" s="1201"/>
    </row>
    <row r="63" spans="1:29">
      <c r="A63" s="660" t="s">
        <v>571</v>
      </c>
      <c r="B63" s="661" t="s">
        <v>528</v>
      </c>
      <c r="C63" s="700" t="str">
        <f>C9</f>
        <v>商业</v>
      </c>
      <c r="D63" s="594"/>
      <c r="E63" s="594"/>
      <c r="F63" s="594"/>
      <c r="G63" s="594"/>
      <c r="H63" s="594"/>
      <c r="I63" s="594"/>
      <c r="J63" s="594"/>
      <c r="K63" s="662"/>
      <c r="L63" s="663"/>
      <c r="M63" s="664"/>
      <c r="N63" s="2161"/>
      <c r="O63" s="2161"/>
      <c r="P63" s="2162"/>
      <c r="Q63" s="2155"/>
      <c r="R63" s="2142"/>
      <c r="S63" s="2142"/>
      <c r="T63" s="2142"/>
      <c r="U63" s="2142"/>
      <c r="V63" s="2142"/>
      <c r="W63" s="2142"/>
      <c r="X63" s="2142"/>
      <c r="Y63" s="2142"/>
      <c r="Z63" s="2142"/>
      <c r="AA63" s="2142"/>
      <c r="AB63" s="2142"/>
      <c r="AC63" s="2142"/>
    </row>
    <row r="64" spans="1:29" ht="15.75" thickBot="1">
      <c r="A64" s="665"/>
      <c r="B64" s="666"/>
      <c r="C64" s="667"/>
      <c r="D64" s="667"/>
      <c r="E64" s="667"/>
      <c r="F64" s="667"/>
      <c r="G64" s="667"/>
      <c r="H64" s="667"/>
      <c r="I64" s="667"/>
      <c r="J64" s="667"/>
      <c r="K64" s="667"/>
      <c r="L64" s="667"/>
      <c r="M64" s="668"/>
      <c r="N64" s="2163"/>
      <c r="O64" s="2163"/>
      <c r="P64" s="2162"/>
      <c r="Q64" s="2155"/>
      <c r="R64" s="2142"/>
      <c r="S64" s="2142"/>
      <c r="T64" s="2142"/>
      <c r="U64" s="2142"/>
      <c r="V64" s="2142"/>
      <c r="W64" s="2142"/>
      <c r="X64" s="2142"/>
      <c r="Y64" s="2142"/>
      <c r="Z64" s="2142"/>
      <c r="AA64" s="2142"/>
      <c r="AB64" s="2142"/>
      <c r="AC64" s="2142"/>
    </row>
    <row r="65" spans="1:29" ht="27.75" thickTop="1">
      <c r="A65" s="665"/>
      <c r="B65" s="669" t="s">
        <v>531</v>
      </c>
      <c r="C65" s="670" t="s">
        <v>731</v>
      </c>
      <c r="D65" s="670" t="s">
        <v>732</v>
      </c>
      <c r="E65" s="670" t="s">
        <v>733</v>
      </c>
      <c r="F65" s="670" t="s">
        <v>734</v>
      </c>
      <c r="G65" s="670" t="s">
        <v>735</v>
      </c>
      <c r="H65" s="670" t="s">
        <v>736</v>
      </c>
      <c r="I65" s="670" t="s">
        <v>737</v>
      </c>
      <c r="J65" s="670"/>
      <c r="K65" s="671"/>
      <c r="L65" s="672"/>
      <c r="M65" s="673"/>
      <c r="N65" s="2161"/>
      <c r="O65" s="2161"/>
      <c r="P65" s="2162"/>
      <c r="Q65" s="2155"/>
      <c r="R65" s="2142"/>
      <c r="S65" s="2142"/>
      <c r="T65" s="2142"/>
      <c r="U65" s="2142"/>
      <c r="V65" s="2142"/>
      <c r="W65" s="2142"/>
      <c r="X65" s="2142"/>
      <c r="Y65" s="2142"/>
      <c r="Z65" s="2142"/>
      <c r="AA65" s="2142"/>
      <c r="AB65" s="2142"/>
      <c r="AC65" s="2142"/>
    </row>
    <row r="66" spans="1:29" ht="15.75" thickBot="1">
      <c r="A66" s="665"/>
      <c r="B66" s="674"/>
      <c r="C66" s="675" t="s">
        <v>14</v>
      </c>
      <c r="D66" s="675" t="s">
        <v>15</v>
      </c>
      <c r="E66" s="675" t="s">
        <v>16</v>
      </c>
      <c r="F66" s="675">
        <v>100</v>
      </c>
      <c r="G66" s="675">
        <f>F66-$K10</f>
        <v>99</v>
      </c>
      <c r="H66" s="675">
        <f>G66-$K10</f>
        <v>98</v>
      </c>
      <c r="I66" s="675">
        <f>H66-$K10</f>
        <v>97</v>
      </c>
      <c r="J66" s="675"/>
      <c r="K66" s="675"/>
      <c r="L66" s="675"/>
      <c r="M66" s="676"/>
      <c r="N66" s="2163"/>
      <c r="O66" s="2163"/>
      <c r="P66" s="2162"/>
      <c r="Q66" s="2155"/>
      <c r="R66" s="2142"/>
      <c r="S66" s="2142"/>
      <c r="T66" s="2142"/>
      <c r="U66" s="2142"/>
      <c r="V66" s="2142"/>
      <c r="W66" s="2142"/>
      <c r="X66" s="2142"/>
      <c r="Y66" s="2142"/>
      <c r="Z66" s="2142"/>
      <c r="AA66" s="2142"/>
      <c r="AB66" s="2142"/>
      <c r="AC66" s="2142"/>
    </row>
    <row r="67" spans="1:29" ht="15.75" hidden="1" thickTop="1">
      <c r="A67" s="665"/>
      <c r="B67" s="677" t="s">
        <v>532</v>
      </c>
      <c r="C67" s="678" t="str">
        <f>C68&amp;"（含）"&amp;"-"&amp;D68</f>
        <v>1（含）-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3"/>
      <c r="O67" s="2163"/>
      <c r="P67" s="2162"/>
      <c r="Q67" s="2155"/>
      <c r="R67" s="2142"/>
      <c r="S67" s="2142"/>
      <c r="T67" s="2142"/>
      <c r="U67" s="2142"/>
      <c r="V67" s="2142"/>
      <c r="W67" s="2142"/>
      <c r="X67" s="2142"/>
      <c r="Y67" s="2142"/>
      <c r="Z67" s="2142"/>
      <c r="AA67" s="2142"/>
      <c r="AB67" s="2142"/>
      <c r="AC67" s="2142"/>
    </row>
    <row r="68" spans="1:29" ht="15" hidden="1">
      <c r="A68" s="665"/>
      <c r="B68" s="679"/>
      <c r="C68" s="537">
        <v>1</v>
      </c>
      <c r="D68" s="537"/>
      <c r="E68" s="537"/>
      <c r="F68" s="537"/>
      <c r="G68" s="537"/>
      <c r="H68" s="537"/>
      <c r="I68" s="537"/>
      <c r="J68" s="537"/>
      <c r="K68" s="680"/>
      <c r="L68" s="681"/>
      <c r="M68" s="682"/>
      <c r="N68" s="2161"/>
      <c r="O68" s="2161"/>
      <c r="P68" s="2162"/>
      <c r="Q68" s="2155"/>
      <c r="R68" s="2142"/>
      <c r="S68" s="2142"/>
      <c r="T68" s="2142"/>
      <c r="U68" s="2142"/>
      <c r="V68" s="2142"/>
      <c r="W68" s="2142"/>
      <c r="X68" s="2142"/>
      <c r="Y68" s="2142"/>
      <c r="Z68" s="2142"/>
      <c r="AA68" s="2142"/>
      <c r="AB68" s="2142"/>
      <c r="AC68" s="2142"/>
    </row>
    <row r="69" spans="1:29" ht="15.75" hidden="1"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3"/>
      <c r="O69" s="2163"/>
      <c r="P69" s="2162"/>
      <c r="Q69" s="2155"/>
      <c r="R69" s="2142"/>
      <c r="S69" s="2142"/>
      <c r="T69" s="2142"/>
      <c r="U69" s="2142"/>
      <c r="V69" s="2142"/>
      <c r="W69" s="2142"/>
      <c r="X69" s="2142"/>
      <c r="Y69" s="2142"/>
      <c r="Z69" s="2142"/>
      <c r="AA69" s="2142"/>
      <c r="AB69" s="2142"/>
      <c r="AC69" s="2142"/>
    </row>
    <row r="70" spans="1:29" s="1335" customFormat="1" ht="15.75" hidden="1" thickTop="1">
      <c r="A70" s="683"/>
      <c r="B70" s="669">
        <f>B12</f>
        <v>111</v>
      </c>
      <c r="C70" s="684"/>
      <c r="D70" s="684"/>
      <c r="E70" s="684"/>
      <c r="F70" s="684"/>
      <c r="G70" s="684"/>
      <c r="H70" s="685"/>
      <c r="I70" s="685"/>
      <c r="J70" s="685"/>
      <c r="K70" s="685"/>
      <c r="L70" s="686"/>
      <c r="M70" s="687"/>
      <c r="N70" s="2164"/>
      <c r="O70" s="2164"/>
      <c r="P70" s="2165"/>
      <c r="Q70" s="2166"/>
      <c r="R70" s="2167"/>
      <c r="S70" s="2167"/>
      <c r="T70" s="2167"/>
      <c r="U70" s="2167"/>
      <c r="V70" s="2167"/>
      <c r="W70" s="2167"/>
      <c r="X70" s="2167"/>
      <c r="Y70" s="2167"/>
      <c r="Z70" s="2167"/>
      <c r="AA70" s="2167"/>
      <c r="AB70" s="2167"/>
      <c r="AC70" s="2167"/>
    </row>
    <row r="71" spans="1:29" s="1335" customFormat="1" ht="15.75" hidden="1" thickBot="1">
      <c r="A71" s="683"/>
      <c r="B71" s="674"/>
      <c r="C71" s="688"/>
      <c r="D71" s="667"/>
      <c r="E71" s="667"/>
      <c r="F71" s="667"/>
      <c r="G71" s="667"/>
      <c r="H71" s="667"/>
      <c r="I71" s="667"/>
      <c r="J71" s="667"/>
      <c r="K71" s="667"/>
      <c r="L71" s="667"/>
      <c r="M71" s="668"/>
      <c r="N71" s="2163"/>
      <c r="O71" s="2163"/>
      <c r="P71" s="2165"/>
      <c r="Q71" s="2166"/>
      <c r="R71" s="2167"/>
      <c r="S71" s="2167"/>
      <c r="T71" s="2167"/>
      <c r="U71" s="2167"/>
      <c r="V71" s="2167"/>
      <c r="W71" s="2167"/>
      <c r="X71" s="2167"/>
      <c r="Y71" s="2167"/>
      <c r="Z71" s="2167"/>
      <c r="AA71" s="2167"/>
      <c r="AB71" s="2167"/>
      <c r="AC71" s="2167"/>
    </row>
    <row r="72" spans="1:29" s="1335" customFormat="1" ht="15.75" hidden="1" thickTop="1">
      <c r="A72" s="683"/>
      <c r="B72" s="669">
        <f>B13</f>
        <v>111</v>
      </c>
      <c r="C72" s="684"/>
      <c r="D72" s="684"/>
      <c r="E72" s="684"/>
      <c r="F72" s="684"/>
      <c r="G72" s="684"/>
      <c r="H72" s="685"/>
      <c r="I72" s="685"/>
      <c r="J72" s="685"/>
      <c r="K72" s="685"/>
      <c r="L72" s="686"/>
      <c r="M72" s="687"/>
      <c r="N72" s="2164"/>
      <c r="O72" s="2164"/>
      <c r="P72" s="2168"/>
      <c r="Q72" s="2169"/>
      <c r="R72" s="2167"/>
      <c r="S72" s="2167"/>
      <c r="T72" s="2167"/>
      <c r="U72" s="2167"/>
      <c r="V72" s="2167"/>
      <c r="W72" s="2167"/>
      <c r="X72" s="2167"/>
      <c r="Y72" s="2167"/>
      <c r="Z72" s="2167"/>
      <c r="AA72" s="2167"/>
      <c r="AB72" s="2167"/>
      <c r="AC72" s="2167"/>
    </row>
    <row r="73" spans="1:29" s="1335" customFormat="1" ht="15.75" hidden="1" thickBot="1">
      <c r="A73" s="683"/>
      <c r="B73" s="674"/>
      <c r="C73" s="688"/>
      <c r="D73" s="667"/>
      <c r="E73" s="667"/>
      <c r="F73" s="667"/>
      <c r="G73" s="688"/>
      <c r="H73" s="689"/>
      <c r="I73" s="689"/>
      <c r="J73" s="689"/>
      <c r="K73" s="689"/>
      <c r="L73" s="689"/>
      <c r="M73" s="690"/>
      <c r="N73" s="2164"/>
      <c r="O73" s="2164"/>
      <c r="P73" s="2165"/>
      <c r="Q73" s="2166"/>
      <c r="R73" s="2167"/>
      <c r="S73" s="2167"/>
      <c r="T73" s="2167"/>
      <c r="U73" s="2167"/>
      <c r="V73" s="2167"/>
      <c r="W73" s="2167"/>
      <c r="X73" s="2167"/>
      <c r="Y73" s="2167"/>
      <c r="Z73" s="2167"/>
      <c r="AA73" s="2167"/>
      <c r="AB73" s="2167"/>
      <c r="AC73" s="2167"/>
    </row>
    <row r="74" spans="1:29" s="1335" customFormat="1" ht="15.75" hidden="1" thickTop="1">
      <c r="A74" s="683"/>
      <c r="B74" s="677">
        <f>B14</f>
        <v>111</v>
      </c>
      <c r="C74" s="684"/>
      <c r="D74" s="684"/>
      <c r="E74" s="684"/>
      <c r="F74" s="684"/>
      <c r="G74" s="657"/>
      <c r="H74" s="691"/>
      <c r="I74" s="691"/>
      <c r="J74" s="691"/>
      <c r="K74" s="691"/>
      <c r="L74" s="692"/>
      <c r="M74" s="693"/>
      <c r="N74" s="2164"/>
      <c r="O74" s="2164"/>
      <c r="P74" s="2170"/>
      <c r="Q74" s="2166"/>
      <c r="R74" s="2167"/>
      <c r="S74" s="2167"/>
      <c r="T74" s="2167"/>
      <c r="U74" s="2167"/>
      <c r="V74" s="2167"/>
      <c r="W74" s="2167"/>
      <c r="X74" s="2167"/>
      <c r="Y74" s="2167"/>
      <c r="Z74" s="2167"/>
      <c r="AA74" s="2167"/>
      <c r="AB74" s="2167"/>
      <c r="AC74" s="2167"/>
    </row>
    <row r="75" spans="1:29" s="1335" customFormat="1" ht="15.75" hidden="1" thickBot="1">
      <c r="A75" s="694"/>
      <c r="B75" s="695"/>
      <c r="C75" s="696"/>
      <c r="D75" s="696"/>
      <c r="E75" s="696"/>
      <c r="F75" s="696"/>
      <c r="G75" s="696"/>
      <c r="H75" s="697"/>
      <c r="I75" s="697"/>
      <c r="J75" s="697"/>
      <c r="K75" s="697"/>
      <c r="L75" s="697"/>
      <c r="M75" s="698"/>
      <c r="N75" s="2164"/>
      <c r="O75" s="2164"/>
      <c r="P75" s="2165"/>
      <c r="Q75" s="2166"/>
      <c r="R75" s="2167"/>
      <c r="S75" s="2167"/>
      <c r="T75" s="2167"/>
      <c r="U75" s="2167"/>
      <c r="V75" s="2167"/>
      <c r="W75" s="2167"/>
      <c r="X75" s="2167"/>
      <c r="Y75" s="2167"/>
      <c r="Z75" s="2167"/>
      <c r="AA75" s="2167"/>
      <c r="AB75" s="2167"/>
      <c r="AC75" s="2167"/>
    </row>
    <row r="76" spans="1:29" ht="15" thickTop="1">
      <c r="A76" s="660" t="s">
        <v>533</v>
      </c>
      <c r="B76" s="661" t="s">
        <v>572</v>
      </c>
      <c r="C76" s="699" t="s">
        <v>573</v>
      </c>
      <c r="D76" s="699" t="s">
        <v>574</v>
      </c>
      <c r="E76" s="699" t="s">
        <v>575</v>
      </c>
      <c r="F76" s="699" t="s">
        <v>576</v>
      </c>
      <c r="G76" s="699" t="s">
        <v>577</v>
      </c>
      <c r="H76" s="700"/>
      <c r="I76" s="700"/>
      <c r="J76" s="700"/>
      <c r="K76" s="701"/>
      <c r="L76" s="702"/>
      <c r="M76" s="703"/>
      <c r="N76" s="2161"/>
      <c r="O76" s="2161"/>
      <c r="P76" s="2171"/>
      <c r="Q76" s="2155"/>
      <c r="R76" s="2142"/>
      <c r="S76" s="2142"/>
      <c r="T76" s="2142"/>
      <c r="U76" s="2142"/>
      <c r="V76" s="2142"/>
      <c r="W76" s="2142"/>
      <c r="X76" s="2142"/>
      <c r="Y76" s="2142"/>
      <c r="Z76" s="2142"/>
      <c r="AA76" s="2142"/>
      <c r="AB76" s="2142"/>
      <c r="AC76" s="2142"/>
    </row>
    <row r="77" spans="1:29" ht="15.75" thickBot="1">
      <c r="A77" s="665"/>
      <c r="B77" s="674"/>
      <c r="C77" s="675">
        <v>100</v>
      </c>
      <c r="D77" s="675">
        <f>C77-$K15</f>
        <v>97</v>
      </c>
      <c r="E77" s="675">
        <f>D77-$K15</f>
        <v>94</v>
      </c>
      <c r="F77" s="675">
        <f>E77-$K15</f>
        <v>91</v>
      </c>
      <c r="G77" s="675">
        <f>F77-$K15</f>
        <v>88</v>
      </c>
      <c r="H77" s="675"/>
      <c r="I77" s="675"/>
      <c r="J77" s="675"/>
      <c r="K77" s="675"/>
      <c r="L77" s="675"/>
      <c r="M77" s="676"/>
      <c r="N77" s="2163"/>
      <c r="O77" s="2163"/>
      <c r="P77" s="2162"/>
      <c r="Q77" s="2155"/>
      <c r="R77" s="2142"/>
      <c r="S77" s="2142"/>
      <c r="T77" s="2142"/>
      <c r="U77" s="2142"/>
      <c r="V77" s="2142"/>
      <c r="W77" s="2142"/>
      <c r="X77" s="2142"/>
      <c r="Y77" s="2142"/>
      <c r="Z77" s="2142"/>
      <c r="AA77" s="2142"/>
      <c r="AB77" s="2142"/>
      <c r="AC77" s="2142"/>
    </row>
    <row r="78" spans="1:29" ht="15.75" thickTop="1">
      <c r="A78" s="665"/>
      <c r="B78" s="669" t="s">
        <v>580</v>
      </c>
      <c r="C78" s="704" t="s">
        <v>573</v>
      </c>
      <c r="D78" s="704" t="s">
        <v>574</v>
      </c>
      <c r="E78" s="704" t="s">
        <v>575</v>
      </c>
      <c r="F78" s="704" t="s">
        <v>576</v>
      </c>
      <c r="G78" s="704" t="s">
        <v>577</v>
      </c>
      <c r="H78" s="670"/>
      <c r="I78" s="670"/>
      <c r="J78" s="670"/>
      <c r="K78" s="671"/>
      <c r="L78" s="672"/>
      <c r="M78" s="673"/>
      <c r="N78" s="2161"/>
      <c r="O78" s="2161"/>
      <c r="P78" s="2162"/>
      <c r="Q78" s="2155"/>
      <c r="R78" s="2142"/>
      <c r="S78" s="2142"/>
      <c r="T78" s="2142"/>
      <c r="U78" s="2142"/>
      <c r="V78" s="2142"/>
      <c r="W78" s="2142"/>
      <c r="X78" s="2142"/>
      <c r="Y78" s="2142"/>
      <c r="Z78" s="2142"/>
      <c r="AA78" s="2142"/>
      <c r="AB78" s="2142"/>
      <c r="AC78" s="2142"/>
    </row>
    <row r="79" spans="1:29" ht="15.75" thickBot="1">
      <c r="A79" s="665"/>
      <c r="B79" s="674"/>
      <c r="C79" s="675">
        <v>100</v>
      </c>
      <c r="D79" s="675">
        <f>C79-$K17</f>
        <v>99</v>
      </c>
      <c r="E79" s="675">
        <f>D79-$K17</f>
        <v>98</v>
      </c>
      <c r="F79" s="675">
        <f>E79-$K17</f>
        <v>97</v>
      </c>
      <c r="G79" s="675">
        <f>F79-$K17</f>
        <v>96</v>
      </c>
      <c r="H79" s="675"/>
      <c r="I79" s="675"/>
      <c r="J79" s="675"/>
      <c r="K79" s="675"/>
      <c r="L79" s="675"/>
      <c r="M79" s="676"/>
      <c r="N79" s="2163"/>
      <c r="O79" s="2163"/>
      <c r="P79" s="2162"/>
      <c r="Q79" s="2155"/>
      <c r="R79" s="2142"/>
      <c r="S79" s="2142"/>
      <c r="T79" s="2142"/>
      <c r="U79" s="2142"/>
      <c r="V79" s="2142"/>
      <c r="W79" s="2142"/>
      <c r="X79" s="2142"/>
      <c r="Y79" s="2142"/>
      <c r="Z79" s="2142"/>
      <c r="AA79" s="2142"/>
      <c r="AB79" s="2142"/>
      <c r="AC79" s="2142"/>
    </row>
    <row r="80" spans="1:29" ht="15.75" thickTop="1">
      <c r="A80" s="665"/>
      <c r="B80" s="1893" t="s">
        <v>2552</v>
      </c>
      <c r="C80" s="704" t="s">
        <v>573</v>
      </c>
      <c r="D80" s="704" t="s">
        <v>574</v>
      </c>
      <c r="E80" s="704" t="s">
        <v>575</v>
      </c>
      <c r="F80" s="704" t="s">
        <v>576</v>
      </c>
      <c r="G80" s="704" t="s">
        <v>577</v>
      </c>
      <c r="H80" s="670"/>
      <c r="I80" s="670"/>
      <c r="J80" s="670"/>
      <c r="K80" s="671"/>
      <c r="L80" s="672"/>
      <c r="M80" s="673"/>
      <c r="N80" s="2161"/>
      <c r="O80" s="2161"/>
      <c r="P80" s="2162"/>
      <c r="Q80" s="2155"/>
      <c r="R80" s="2142"/>
      <c r="S80" s="2142"/>
      <c r="T80" s="2142"/>
      <c r="U80" s="2142"/>
      <c r="V80" s="2142"/>
      <c r="W80" s="2142"/>
      <c r="X80" s="2142"/>
      <c r="Y80" s="2142"/>
      <c r="Z80" s="2142"/>
      <c r="AA80" s="2142"/>
      <c r="AB80" s="2142"/>
      <c r="AC80" s="2142"/>
    </row>
    <row r="81" spans="1:29" ht="15.75" thickBot="1">
      <c r="A81" s="665"/>
      <c r="B81" s="674"/>
      <c r="C81" s="675">
        <v>100</v>
      </c>
      <c r="D81" s="675">
        <f>C81-$K19</f>
        <v>99</v>
      </c>
      <c r="E81" s="675">
        <f>D81-$K19</f>
        <v>98</v>
      </c>
      <c r="F81" s="675">
        <f>E81-$K19</f>
        <v>97</v>
      </c>
      <c r="G81" s="675">
        <f>F81-$K19</f>
        <v>96</v>
      </c>
      <c r="H81" s="675"/>
      <c r="I81" s="675"/>
      <c r="J81" s="675"/>
      <c r="K81" s="675"/>
      <c r="L81" s="675"/>
      <c r="M81" s="676"/>
      <c r="N81" s="2163"/>
      <c r="O81" s="2163"/>
      <c r="P81" s="2162"/>
      <c r="Q81" s="2155"/>
      <c r="R81" s="2142"/>
      <c r="S81" s="2142"/>
      <c r="T81" s="2142"/>
      <c r="U81" s="2142"/>
      <c r="V81" s="2142"/>
      <c r="W81" s="2142"/>
      <c r="X81" s="2142"/>
      <c r="Y81" s="2142"/>
      <c r="Z81" s="2142"/>
      <c r="AA81" s="2142"/>
      <c r="AB81" s="2142"/>
      <c r="AC81" s="2142"/>
    </row>
    <row r="82" spans="1:29" ht="15.75" thickTop="1">
      <c r="A82" s="665"/>
      <c r="B82" s="2594" t="s">
        <v>2553</v>
      </c>
      <c r="C82" s="2595" t="s">
        <v>2554</v>
      </c>
      <c r="D82" s="2595" t="s">
        <v>2555</v>
      </c>
      <c r="E82" s="2595" t="s">
        <v>2556</v>
      </c>
      <c r="F82" s="2595" t="s">
        <v>2557</v>
      </c>
      <c r="G82" s="2595" t="s">
        <v>2558</v>
      </c>
      <c r="H82" s="670"/>
      <c r="I82" s="670"/>
      <c r="J82" s="670"/>
      <c r="K82" s="670"/>
      <c r="L82" s="670"/>
      <c r="M82" s="2598"/>
      <c r="N82" s="2163"/>
      <c r="O82" s="2163"/>
      <c r="P82" s="2162"/>
      <c r="Q82" s="2155"/>
      <c r="R82" s="2142"/>
      <c r="S82" s="2142"/>
      <c r="T82" s="2142"/>
      <c r="U82" s="2142"/>
      <c r="V82" s="2142"/>
      <c r="W82" s="2142"/>
      <c r="X82" s="2142"/>
      <c r="Y82" s="2142"/>
      <c r="Z82" s="2142"/>
      <c r="AA82" s="2142"/>
      <c r="AB82" s="2142"/>
      <c r="AC82" s="2142"/>
    </row>
    <row r="83" spans="1:29" ht="15.75" thickBot="1">
      <c r="A83" s="665"/>
      <c r="B83" s="677"/>
      <c r="C83" s="675">
        <v>100</v>
      </c>
      <c r="D83" s="675">
        <f>C83-$K21</f>
        <v>99</v>
      </c>
      <c r="E83" s="675">
        <f>D83-$K21</f>
        <v>98</v>
      </c>
      <c r="F83" s="675">
        <f>E83-$K21</f>
        <v>97</v>
      </c>
      <c r="G83" s="675">
        <f>F83-$K21</f>
        <v>96</v>
      </c>
      <c r="H83" s="931"/>
      <c r="I83" s="931"/>
      <c r="J83" s="931"/>
      <c r="K83" s="931"/>
      <c r="L83" s="931"/>
      <c r="M83" s="555"/>
      <c r="N83" s="2163"/>
      <c r="O83" s="2163"/>
      <c r="P83" s="2162"/>
      <c r="Q83" s="2155"/>
      <c r="R83" s="2142"/>
      <c r="S83" s="2142"/>
      <c r="T83" s="2142"/>
      <c r="U83" s="2142"/>
      <c r="V83" s="2142"/>
      <c r="W83" s="2142"/>
      <c r="X83" s="2142"/>
      <c r="Y83" s="2142"/>
      <c r="Z83" s="2142"/>
      <c r="AA83" s="2142"/>
      <c r="AB83" s="2142"/>
      <c r="AC83" s="2142"/>
    </row>
    <row r="84" spans="1:29" ht="15.75" thickTop="1">
      <c r="A84" s="665"/>
      <c r="B84" s="669" t="s">
        <v>738</v>
      </c>
      <c r="C84" s="704" t="s">
        <v>573</v>
      </c>
      <c r="D84" s="704" t="s">
        <v>574</v>
      </c>
      <c r="E84" s="704" t="s">
        <v>575</v>
      </c>
      <c r="F84" s="704" t="s">
        <v>576</v>
      </c>
      <c r="G84" s="704" t="s">
        <v>577</v>
      </c>
      <c r="H84" s="670"/>
      <c r="I84" s="670"/>
      <c r="J84" s="670"/>
      <c r="K84" s="671"/>
      <c r="L84" s="672"/>
      <c r="M84" s="673"/>
      <c r="N84" s="2161"/>
      <c r="O84" s="2161"/>
      <c r="P84" s="2162"/>
      <c r="Q84" s="2155"/>
      <c r="R84" s="2142"/>
      <c r="S84" s="2142"/>
      <c r="T84" s="2142"/>
      <c r="U84" s="2142"/>
      <c r="V84" s="2142"/>
      <c r="W84" s="2142"/>
      <c r="X84" s="2142"/>
      <c r="Y84" s="2142"/>
      <c r="Z84" s="2142"/>
      <c r="AA84" s="2142"/>
      <c r="AB84" s="2142"/>
      <c r="AC84" s="2142"/>
    </row>
    <row r="85" spans="1:29" ht="15.75" thickBot="1">
      <c r="A85" s="665"/>
      <c r="B85" s="674"/>
      <c r="C85" s="675">
        <v>100</v>
      </c>
      <c r="D85" s="675">
        <f>C85-$K23</f>
        <v>99</v>
      </c>
      <c r="E85" s="675">
        <f>D85-$K23</f>
        <v>98</v>
      </c>
      <c r="F85" s="675">
        <f>E85-$K23</f>
        <v>97</v>
      </c>
      <c r="G85" s="675">
        <f>F85-$K23</f>
        <v>96</v>
      </c>
      <c r="H85" s="675"/>
      <c r="I85" s="675"/>
      <c r="J85" s="675"/>
      <c r="K85" s="675"/>
      <c r="L85" s="675"/>
      <c r="M85" s="676"/>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5"/>
      <c r="B86" s="669" t="s">
        <v>765</v>
      </c>
      <c r="C86" s="3262" t="s">
        <v>3106</v>
      </c>
      <c r="D86" s="3262" t="s">
        <v>3107</v>
      </c>
      <c r="E86" s="3262" t="s">
        <v>3108</v>
      </c>
      <c r="F86" s="3262" t="s">
        <v>3109</v>
      </c>
      <c r="G86" s="3262" t="s">
        <v>3110</v>
      </c>
      <c r="H86" s="684"/>
      <c r="I86" s="684"/>
      <c r="J86" s="684"/>
      <c r="K86" s="684"/>
      <c r="L86" s="886"/>
      <c r="M86" s="887"/>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5"/>
      <c r="B87" s="674"/>
      <c r="C87" s="708">
        <v>100</v>
      </c>
      <c r="D87" s="675">
        <f t="shared" ref="D87:M87" si="19">C87-$K25</f>
        <v>99</v>
      </c>
      <c r="E87" s="675">
        <f t="shared" si="19"/>
        <v>98</v>
      </c>
      <c r="F87" s="675">
        <f t="shared" si="19"/>
        <v>97</v>
      </c>
      <c r="G87" s="675">
        <f t="shared" si="19"/>
        <v>96</v>
      </c>
      <c r="H87" s="675">
        <f t="shared" si="19"/>
        <v>95</v>
      </c>
      <c r="I87" s="675">
        <f t="shared" si="19"/>
        <v>94</v>
      </c>
      <c r="J87" s="675">
        <f t="shared" si="19"/>
        <v>93</v>
      </c>
      <c r="K87" s="675">
        <f t="shared" si="19"/>
        <v>92</v>
      </c>
      <c r="L87" s="675">
        <f t="shared" si="19"/>
        <v>91</v>
      </c>
      <c r="M87" s="675">
        <f t="shared" si="19"/>
        <v>90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5"/>
      <c r="B88" s="669" t="str">
        <f>B26</f>
        <v>平面位置/可视性</v>
      </c>
      <c r="C88" s="3261" t="s">
        <v>3164</v>
      </c>
      <c r="D88" s="3261" t="s">
        <v>3165</v>
      </c>
      <c r="E88" s="684"/>
      <c r="F88" s="888"/>
      <c r="G88" s="684"/>
      <c r="H88" s="684"/>
      <c r="I88" s="684"/>
      <c r="J88" s="684"/>
      <c r="K88" s="684"/>
      <c r="L88" s="684"/>
      <c r="M88" s="887"/>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5"/>
      <c r="B89" s="674"/>
      <c r="C89" s="688">
        <v>100</v>
      </c>
      <c r="D89" s="667">
        <v>98</v>
      </c>
      <c r="E89" s="667"/>
      <c r="F89" s="667"/>
      <c r="G89" s="667"/>
      <c r="H89" s="667"/>
      <c r="I89" s="667"/>
      <c r="J89" s="667"/>
      <c r="K89" s="667"/>
      <c r="L89" s="667"/>
      <c r="M89" s="667"/>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3"/>
      <c r="B90" s="669" t="str">
        <f>B27</f>
        <v>人流量</v>
      </c>
      <c r="C90" s="3261" t="s">
        <v>3164</v>
      </c>
      <c r="D90" s="3261" t="s">
        <v>3165</v>
      </c>
      <c r="E90" s="684"/>
      <c r="F90" s="684"/>
      <c r="G90" s="684"/>
      <c r="H90" s="685"/>
      <c r="I90" s="685"/>
      <c r="J90" s="685"/>
      <c r="K90" s="685"/>
      <c r="L90" s="686"/>
      <c r="M90" s="687"/>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3"/>
      <c r="B91" s="674"/>
      <c r="C91" s="708">
        <v>100</v>
      </c>
      <c r="D91" s="675">
        <f>C91-$K27</f>
        <v>99</v>
      </c>
      <c r="E91" s="675">
        <f t="shared" ref="E91:M91" si="20">D91-$K27</f>
        <v>98</v>
      </c>
      <c r="F91" s="675">
        <f t="shared" si="20"/>
        <v>97</v>
      </c>
      <c r="G91" s="675">
        <f t="shared" si="20"/>
        <v>96</v>
      </c>
      <c r="H91" s="675">
        <f t="shared" si="20"/>
        <v>95</v>
      </c>
      <c r="I91" s="675">
        <f t="shared" si="20"/>
        <v>94</v>
      </c>
      <c r="J91" s="675">
        <f t="shared" si="20"/>
        <v>93</v>
      </c>
      <c r="K91" s="675">
        <f t="shared" si="20"/>
        <v>92</v>
      </c>
      <c r="L91" s="675">
        <f t="shared" si="20"/>
        <v>91</v>
      </c>
      <c r="M91" s="675">
        <f t="shared" si="20"/>
        <v>90</v>
      </c>
      <c r="N91" s="2164"/>
      <c r="O91" s="2164"/>
      <c r="P91" s="2165"/>
      <c r="Q91" s="2166"/>
      <c r="R91" s="2167"/>
      <c r="S91" s="2167"/>
      <c r="T91" s="2167"/>
      <c r="U91" s="2167"/>
      <c r="V91" s="2167"/>
      <c r="W91" s="2167"/>
      <c r="X91" s="2167"/>
      <c r="Y91" s="2167"/>
      <c r="Z91" s="2167"/>
      <c r="AA91" s="2167"/>
      <c r="AB91" s="2167"/>
      <c r="AC91" s="2167"/>
    </row>
    <row r="92" spans="1:29" ht="15.75" thickTop="1">
      <c r="A92" s="665"/>
      <c r="B92" s="669" t="str">
        <f>B28</f>
        <v>楼层</v>
      </c>
      <c r="C92" s="684">
        <v>1</v>
      </c>
      <c r="D92" s="684"/>
      <c r="E92" s="684"/>
      <c r="F92" s="684"/>
      <c r="G92" s="684"/>
      <c r="H92" s="684"/>
      <c r="I92" s="684"/>
      <c r="J92" s="684"/>
      <c r="K92" s="684"/>
      <c r="L92" s="886"/>
      <c r="M92" s="887"/>
      <c r="N92" s="2161"/>
      <c r="O92" s="2161"/>
      <c r="P92" s="2162"/>
      <c r="Q92" s="2155"/>
      <c r="R92" s="2142"/>
      <c r="S92" s="2142"/>
      <c r="T92" s="2142"/>
      <c r="U92" s="2142"/>
      <c r="V92" s="2142"/>
      <c r="W92" s="2142"/>
      <c r="X92" s="2142"/>
      <c r="Y92" s="2142"/>
      <c r="Z92" s="2142"/>
      <c r="AA92" s="2142"/>
      <c r="AB92" s="2142"/>
      <c r="AC92" s="2142"/>
    </row>
    <row r="93" spans="1:29" ht="15.75" thickBot="1">
      <c r="A93" s="665"/>
      <c r="B93" s="674"/>
      <c r="C93" s="667">
        <v>100</v>
      </c>
      <c r="D93" s="667"/>
      <c r="E93" s="667"/>
      <c r="F93" s="667"/>
      <c r="G93" s="667"/>
      <c r="H93" s="667"/>
      <c r="I93" s="667"/>
      <c r="J93" s="667"/>
      <c r="K93" s="667"/>
      <c r="L93" s="667"/>
      <c r="M93" s="668"/>
      <c r="N93" s="2163"/>
      <c r="O93" s="2163"/>
      <c r="P93" s="2162"/>
      <c r="Q93" s="2155"/>
      <c r="R93" s="2142"/>
      <c r="S93" s="2142"/>
      <c r="T93" s="2142"/>
      <c r="U93" s="2142"/>
      <c r="V93" s="2142"/>
      <c r="W93" s="2142"/>
      <c r="X93" s="2142"/>
      <c r="Y93" s="2142"/>
      <c r="Z93" s="2142"/>
      <c r="AA93" s="2142"/>
      <c r="AB93" s="2142"/>
      <c r="AC93" s="2142"/>
    </row>
    <row r="94" spans="1:29" ht="15.75" hidden="1" thickTop="1">
      <c r="A94" s="665"/>
      <c r="B94" s="669">
        <f>B29</f>
        <v>111</v>
      </c>
      <c r="C94" s="684"/>
      <c r="D94" s="684"/>
      <c r="E94" s="684"/>
      <c r="F94" s="684"/>
      <c r="G94" s="714"/>
      <c r="H94" s="714"/>
      <c r="I94" s="714"/>
      <c r="J94" s="714"/>
      <c r="K94" s="715"/>
      <c r="L94" s="716"/>
      <c r="M94" s="717"/>
      <c r="N94" s="2161"/>
      <c r="O94" s="2161"/>
      <c r="P94" s="2162"/>
      <c r="Q94" s="2155"/>
      <c r="R94" s="2142"/>
      <c r="S94" s="2142"/>
      <c r="T94" s="2142"/>
      <c r="U94" s="2142"/>
      <c r="V94" s="2142"/>
      <c r="W94" s="2142"/>
      <c r="X94" s="2142"/>
      <c r="Y94" s="2142"/>
      <c r="Z94" s="2142"/>
      <c r="AA94" s="2142"/>
      <c r="AB94" s="2142"/>
      <c r="AC94" s="2142"/>
    </row>
    <row r="95" spans="1:29" ht="15.75" hidden="1" thickBot="1">
      <c r="A95" s="665"/>
      <c r="B95" s="674"/>
      <c r="C95" s="688"/>
      <c r="D95" s="667"/>
      <c r="E95" s="667"/>
      <c r="F95" s="667"/>
      <c r="G95" s="667"/>
      <c r="H95" s="667"/>
      <c r="I95" s="667"/>
      <c r="J95" s="667"/>
      <c r="K95" s="667"/>
      <c r="L95" s="667"/>
      <c r="M95" s="668"/>
      <c r="N95" s="2163"/>
      <c r="O95" s="2163"/>
      <c r="P95" s="2162"/>
      <c r="Q95" s="2155"/>
      <c r="R95" s="2142"/>
      <c r="S95" s="2142"/>
      <c r="T95" s="2142"/>
      <c r="U95" s="2142"/>
      <c r="V95" s="2142"/>
      <c r="W95" s="2142"/>
      <c r="X95" s="2142"/>
      <c r="Y95" s="2142"/>
      <c r="Z95" s="2142"/>
      <c r="AA95" s="2142"/>
      <c r="AB95" s="2142"/>
      <c r="AC95" s="2142"/>
    </row>
    <row r="96" spans="1:29" ht="15.75" hidden="1" thickTop="1">
      <c r="A96" s="665"/>
      <c r="B96" s="669">
        <f>B30</f>
        <v>111</v>
      </c>
      <c r="C96" s="684"/>
      <c r="D96" s="684"/>
      <c r="E96" s="684"/>
      <c r="F96" s="684"/>
      <c r="G96" s="714"/>
      <c r="H96" s="714"/>
      <c r="I96" s="714"/>
      <c r="J96" s="714"/>
      <c r="K96" s="715"/>
      <c r="L96" s="716"/>
      <c r="M96" s="717"/>
      <c r="N96" s="2161"/>
      <c r="O96" s="2161"/>
      <c r="P96" s="2162"/>
      <c r="Q96" s="2155"/>
      <c r="R96" s="2142"/>
      <c r="S96" s="2142"/>
      <c r="T96" s="2142"/>
      <c r="U96" s="2142"/>
      <c r="V96" s="2142"/>
      <c r="W96" s="2142"/>
      <c r="X96" s="2142"/>
      <c r="Y96" s="2142"/>
      <c r="Z96" s="2142"/>
      <c r="AA96" s="2142"/>
      <c r="AB96" s="2142"/>
      <c r="AC96" s="2142"/>
    </row>
    <row r="97" spans="1:29" ht="15.75" hidden="1" thickBot="1">
      <c r="A97" s="665"/>
      <c r="B97" s="674"/>
      <c r="C97" s="688"/>
      <c r="D97" s="667"/>
      <c r="E97" s="667"/>
      <c r="F97" s="667"/>
      <c r="G97" s="667"/>
      <c r="H97" s="667"/>
      <c r="I97" s="667"/>
      <c r="J97" s="667"/>
      <c r="K97" s="667"/>
      <c r="L97" s="667"/>
      <c r="M97" s="668"/>
      <c r="N97" s="2163"/>
      <c r="O97" s="2163"/>
      <c r="P97" s="2162"/>
      <c r="Q97" s="2155"/>
      <c r="R97" s="2142"/>
      <c r="S97" s="2142"/>
      <c r="T97" s="2142"/>
      <c r="U97" s="2142"/>
      <c r="V97" s="2142"/>
      <c r="W97" s="2142"/>
      <c r="X97" s="2142"/>
      <c r="Y97" s="2142"/>
      <c r="Z97" s="2142"/>
      <c r="AA97" s="2142"/>
      <c r="AB97" s="2142"/>
      <c r="AC97" s="2142"/>
    </row>
    <row r="98" spans="1:29" ht="15.75" hidden="1" thickTop="1">
      <c r="A98" s="665"/>
      <c r="B98" s="677">
        <f>B31</f>
        <v>111</v>
      </c>
      <c r="C98" s="684"/>
      <c r="D98" s="684"/>
      <c r="E98" s="684"/>
      <c r="F98" s="684"/>
      <c r="G98" s="718"/>
      <c r="H98" s="718"/>
      <c r="I98" s="718"/>
      <c r="J98" s="718"/>
      <c r="K98" s="719"/>
      <c r="L98" s="720"/>
      <c r="M98" s="721"/>
      <c r="N98" s="2161"/>
      <c r="O98" s="2161"/>
      <c r="P98" s="2162"/>
      <c r="Q98" s="2155"/>
      <c r="R98" s="2142"/>
      <c r="S98" s="2142"/>
      <c r="T98" s="2142"/>
      <c r="U98" s="2142"/>
      <c r="V98" s="2142"/>
      <c r="W98" s="2142"/>
      <c r="X98" s="2142"/>
      <c r="Y98" s="2142"/>
      <c r="Z98" s="2142"/>
      <c r="AA98" s="2142"/>
      <c r="AB98" s="2142"/>
      <c r="AC98" s="2142"/>
    </row>
    <row r="99" spans="1:29" ht="15.75" hidden="1" thickBot="1">
      <c r="A99" s="889"/>
      <c r="B99" s="695"/>
      <c r="C99" s="696"/>
      <c r="D99" s="696"/>
      <c r="E99" s="696"/>
      <c r="F99" s="696"/>
      <c r="G99" s="722"/>
      <c r="H99" s="722"/>
      <c r="I99" s="722"/>
      <c r="J99" s="722"/>
      <c r="K99" s="722"/>
      <c r="L99" s="722"/>
      <c r="M99" s="723"/>
      <c r="N99" s="2163"/>
      <c r="O99" s="2163"/>
      <c r="P99" s="2162"/>
      <c r="Q99" s="2155"/>
      <c r="R99" s="2142"/>
      <c r="S99" s="2142"/>
      <c r="T99" s="2142"/>
      <c r="U99" s="2142"/>
      <c r="V99" s="2142"/>
      <c r="W99" s="2142"/>
      <c r="X99" s="2142"/>
      <c r="Y99" s="2142"/>
      <c r="Z99" s="2142"/>
      <c r="AA99" s="2142"/>
      <c r="AB99" s="2142"/>
      <c r="AC99" s="2142"/>
    </row>
    <row r="100" spans="1:29" ht="15" thickTop="1">
      <c r="A100" s="660" t="s">
        <v>545</v>
      </c>
      <c r="B100" s="661" t="s">
        <v>766</v>
      </c>
      <c r="C100" s="3264" t="s">
        <v>3166</v>
      </c>
      <c r="D100" s="3264" t="s">
        <v>3167</v>
      </c>
      <c r="E100" s="3264" t="s">
        <v>3169</v>
      </c>
      <c r="F100" s="3264" t="s">
        <v>3171</v>
      </c>
      <c r="G100" s="594"/>
      <c r="H100" s="594"/>
      <c r="I100" s="594"/>
      <c r="J100" s="594"/>
      <c r="K100" s="662"/>
      <c r="L100" s="663"/>
      <c r="M100" s="664"/>
      <c r="N100" s="2161"/>
      <c r="O100" s="2161"/>
      <c r="P100" s="2162"/>
      <c r="Q100" s="2155"/>
      <c r="R100" s="2142"/>
      <c r="S100" s="2142"/>
      <c r="T100" s="2142"/>
      <c r="U100" s="2142"/>
      <c r="V100" s="2142"/>
      <c r="W100" s="2142"/>
      <c r="X100" s="2142"/>
      <c r="Y100" s="2142"/>
      <c r="Z100" s="2142"/>
      <c r="AA100" s="2142"/>
      <c r="AB100" s="2142"/>
      <c r="AC100" s="2142"/>
    </row>
    <row r="101" spans="1:29" ht="15.75" thickBot="1">
      <c r="A101" s="665"/>
      <c r="B101" s="674"/>
      <c r="C101" s="675">
        <v>100</v>
      </c>
      <c r="D101" s="675">
        <f t="shared" ref="D101:M101" si="21">C101-$K32</f>
        <v>90</v>
      </c>
      <c r="E101" s="675">
        <f t="shared" si="21"/>
        <v>80</v>
      </c>
      <c r="F101" s="675">
        <f t="shared" si="21"/>
        <v>70</v>
      </c>
      <c r="G101" s="675">
        <f t="shared" si="21"/>
        <v>60</v>
      </c>
      <c r="H101" s="675">
        <f t="shared" si="21"/>
        <v>50</v>
      </c>
      <c r="I101" s="675">
        <f t="shared" si="21"/>
        <v>40</v>
      </c>
      <c r="J101" s="675">
        <f t="shared" si="21"/>
        <v>30</v>
      </c>
      <c r="K101" s="675">
        <f t="shared" si="21"/>
        <v>20</v>
      </c>
      <c r="L101" s="675">
        <f t="shared" si="21"/>
        <v>10</v>
      </c>
      <c r="M101" s="676">
        <f t="shared" si="21"/>
        <v>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5"/>
      <c r="B102" s="669" t="s">
        <v>742</v>
      </c>
      <c r="C102" s="704" t="str">
        <f>C103&amp;"(含)"&amp;"-"&amp;D103</f>
        <v>1(含)-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4"/>
      <c r="B103" s="725"/>
      <c r="C103" s="726">
        <v>1</v>
      </c>
      <c r="D103" s="726"/>
      <c r="E103" s="726"/>
      <c r="F103" s="726"/>
      <c r="G103" s="726"/>
      <c r="H103" s="726"/>
      <c r="I103" s="726"/>
      <c r="J103" s="727"/>
      <c r="K103" s="727"/>
      <c r="L103" s="728"/>
      <c r="M103" s="729"/>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3"/>
      <c r="B104" s="674"/>
      <c r="C104" s="688">
        <v>100</v>
      </c>
      <c r="D104" s="667"/>
      <c r="E104" s="667"/>
      <c r="F104" s="667"/>
      <c r="G104" s="667"/>
      <c r="H104" s="667"/>
      <c r="I104" s="667"/>
      <c r="J104" s="667"/>
      <c r="K104" s="667"/>
      <c r="L104" s="667"/>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1"/>
      <c r="B105" s="669" t="s">
        <v>743</v>
      </c>
      <c r="C105" s="3261" t="s">
        <v>3173</v>
      </c>
      <c r="D105" s="3261" t="s">
        <v>3174</v>
      </c>
      <c r="E105" s="714"/>
      <c r="F105" s="714"/>
      <c r="G105" s="714"/>
      <c r="H105" s="714"/>
      <c r="I105" s="714"/>
      <c r="J105" s="714"/>
      <c r="K105" s="715"/>
      <c r="L105" s="716"/>
      <c r="M105" s="717"/>
      <c r="N105" s="2161"/>
      <c r="O105" s="2161"/>
      <c r="P105" s="2162"/>
      <c r="Q105" s="2155"/>
      <c r="R105" s="2142"/>
      <c r="S105" s="2142"/>
      <c r="T105" s="2142"/>
      <c r="U105" s="2142"/>
      <c r="V105" s="2142"/>
      <c r="W105" s="2142"/>
      <c r="X105" s="2142"/>
      <c r="Y105" s="2142"/>
      <c r="Z105" s="2142"/>
      <c r="AA105" s="2142"/>
      <c r="AB105" s="2142"/>
      <c r="AC105" s="2142"/>
    </row>
    <row r="106" spans="1:29" ht="15.75" thickBot="1">
      <c r="A106" s="665"/>
      <c r="B106" s="674"/>
      <c r="C106" s="675">
        <v>100</v>
      </c>
      <c r="D106" s="675">
        <f t="shared" ref="D106:M106" si="23">C106-$K34</f>
        <v>99</v>
      </c>
      <c r="E106" s="675">
        <f t="shared" si="23"/>
        <v>98</v>
      </c>
      <c r="F106" s="675">
        <f t="shared" si="23"/>
        <v>97</v>
      </c>
      <c r="G106" s="675">
        <f t="shared" si="23"/>
        <v>96</v>
      </c>
      <c r="H106" s="675">
        <f t="shared" si="23"/>
        <v>95</v>
      </c>
      <c r="I106" s="675">
        <f t="shared" si="23"/>
        <v>94</v>
      </c>
      <c r="J106" s="675">
        <f t="shared" si="23"/>
        <v>93</v>
      </c>
      <c r="K106" s="675">
        <f t="shared" si="23"/>
        <v>92</v>
      </c>
      <c r="L106" s="675">
        <f t="shared" si="23"/>
        <v>91</v>
      </c>
      <c r="M106" s="676">
        <f t="shared" si="23"/>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1"/>
      <c r="B107" s="669" t="s">
        <v>745</v>
      </c>
      <c r="C107" s="3262" t="s">
        <v>3118</v>
      </c>
      <c r="D107" s="3262" t="s">
        <v>3119</v>
      </c>
      <c r="E107" s="3262" t="s">
        <v>3120</v>
      </c>
      <c r="F107" s="3265" t="s">
        <v>3121</v>
      </c>
      <c r="G107" s="714"/>
      <c r="H107" s="714"/>
      <c r="I107" s="714"/>
      <c r="J107" s="714"/>
      <c r="K107" s="715"/>
      <c r="L107" s="716"/>
      <c r="M107" s="717"/>
      <c r="N107" s="2161"/>
      <c r="O107" s="2161"/>
      <c r="P107" s="2162"/>
      <c r="Q107" s="2155"/>
      <c r="R107" s="2142"/>
      <c r="S107" s="2142"/>
      <c r="T107" s="2142"/>
      <c r="U107" s="2142"/>
      <c r="V107" s="2142"/>
      <c r="W107" s="2142"/>
      <c r="X107" s="2142"/>
      <c r="Y107" s="2142"/>
      <c r="Z107" s="2142"/>
      <c r="AA107" s="2142"/>
      <c r="AB107" s="2142"/>
      <c r="AC107" s="2142"/>
    </row>
    <row r="108" spans="1:29" ht="15.75" thickBot="1">
      <c r="A108" s="665"/>
      <c r="B108" s="674"/>
      <c r="C108" s="675">
        <v>100</v>
      </c>
      <c r="D108" s="675">
        <f t="shared" ref="D108:M108" si="24">C108-$K35</f>
        <v>99</v>
      </c>
      <c r="E108" s="675">
        <f t="shared" si="24"/>
        <v>98</v>
      </c>
      <c r="F108" s="675">
        <f t="shared" si="24"/>
        <v>97</v>
      </c>
      <c r="G108" s="675">
        <f t="shared" si="24"/>
        <v>96</v>
      </c>
      <c r="H108" s="675">
        <f t="shared" si="24"/>
        <v>95</v>
      </c>
      <c r="I108" s="675">
        <f t="shared" si="24"/>
        <v>94</v>
      </c>
      <c r="J108" s="675">
        <f t="shared" si="24"/>
        <v>93</v>
      </c>
      <c r="K108" s="675">
        <f t="shared" si="24"/>
        <v>92</v>
      </c>
      <c r="L108" s="675">
        <f t="shared" si="24"/>
        <v>91</v>
      </c>
      <c r="M108" s="676">
        <f t="shared" si="24"/>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1"/>
      <c r="B109" s="669" t="s">
        <v>746</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1"/>
      <c r="O109" s="2161"/>
      <c r="P109" s="2162"/>
      <c r="Q109" s="2155"/>
      <c r="R109" s="2142"/>
      <c r="S109" s="2142"/>
      <c r="T109" s="2142"/>
      <c r="U109" s="2142"/>
      <c r="V109" s="2142"/>
      <c r="W109" s="2142"/>
      <c r="X109" s="2142"/>
      <c r="Y109" s="2142"/>
      <c r="Z109" s="2142"/>
      <c r="AA109" s="2142"/>
      <c r="AB109" s="2142"/>
      <c r="AC109" s="2142"/>
    </row>
    <row r="110" spans="1:29">
      <c r="A110" s="731"/>
      <c r="B110" s="677"/>
      <c r="C110" s="890">
        <v>0.5</v>
      </c>
      <c r="D110" s="890">
        <v>0.6</v>
      </c>
      <c r="E110" s="890">
        <v>0.7</v>
      </c>
      <c r="F110" s="890">
        <v>0.8</v>
      </c>
      <c r="G110" s="890">
        <v>0.9</v>
      </c>
      <c r="H110" s="890">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4"/>
      <c r="B112" s="1893" t="s">
        <v>2551</v>
      </c>
      <c r="C112" s="3262" t="s">
        <v>3126</v>
      </c>
      <c r="D112" s="3262" t="s">
        <v>3127</v>
      </c>
      <c r="E112" s="3262" t="s">
        <v>3128</v>
      </c>
      <c r="F112" s="3262" t="s">
        <v>3129</v>
      </c>
      <c r="G112" s="3262" t="s">
        <v>3130</v>
      </c>
      <c r="H112" s="714"/>
      <c r="I112" s="714"/>
      <c r="J112" s="714"/>
      <c r="K112" s="715"/>
      <c r="L112" s="716"/>
      <c r="M112" s="717"/>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1"/>
      <c r="B114" s="669" t="s">
        <v>767</v>
      </c>
      <c r="C114" s="684"/>
      <c r="D114" s="684"/>
      <c r="E114" s="714"/>
      <c r="F114" s="714"/>
      <c r="G114" s="714"/>
      <c r="H114" s="714"/>
      <c r="I114" s="714"/>
      <c r="J114" s="714"/>
      <c r="K114" s="715"/>
      <c r="L114" s="716"/>
      <c r="M114" s="717"/>
      <c r="N114" s="2161"/>
      <c r="O114" s="2161"/>
      <c r="P114" s="2162"/>
      <c r="Q114" s="2155"/>
      <c r="R114" s="2142"/>
      <c r="S114" s="2142"/>
      <c r="T114" s="2142"/>
      <c r="U114" s="2142"/>
      <c r="V114" s="2142"/>
      <c r="W114" s="2142"/>
      <c r="X114" s="2142"/>
      <c r="Y114" s="2142"/>
      <c r="Z114" s="2142"/>
      <c r="AA114" s="2142"/>
      <c r="AB114" s="2142"/>
      <c r="AC114" s="2142"/>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1"/>
      <c r="B116" s="669" t="s">
        <v>768</v>
      </c>
      <c r="C116" s="684"/>
      <c r="D116" s="684"/>
      <c r="E116" s="684"/>
      <c r="F116" s="684"/>
      <c r="G116" s="684"/>
      <c r="H116" s="714"/>
      <c r="I116" s="714"/>
      <c r="J116" s="714"/>
      <c r="K116" s="715"/>
      <c r="L116" s="716"/>
      <c r="M116" s="717"/>
      <c r="N116" s="2161"/>
      <c r="O116" s="2161"/>
      <c r="P116" s="2162"/>
      <c r="Q116" s="2155"/>
      <c r="R116" s="2142"/>
      <c r="S116" s="2142"/>
      <c r="T116" s="2142"/>
      <c r="U116" s="2142"/>
      <c r="V116" s="2142"/>
      <c r="W116" s="2142"/>
      <c r="X116" s="2142"/>
      <c r="Y116" s="2142"/>
      <c r="Z116" s="2142"/>
      <c r="AA116" s="2142"/>
      <c r="AB116" s="2142"/>
      <c r="AC116" s="2142"/>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3"/>
      <c r="O117" s="2163"/>
      <c r="P117" s="2162"/>
      <c r="Q117" s="2155"/>
      <c r="R117" s="2142"/>
      <c r="S117" s="2142"/>
      <c r="T117" s="2142"/>
      <c r="U117" s="2142"/>
      <c r="V117" s="2142"/>
      <c r="W117" s="2142"/>
      <c r="X117" s="2142"/>
      <c r="Y117" s="2142"/>
      <c r="Z117" s="2142"/>
      <c r="AA117" s="2142"/>
      <c r="AB117" s="2142"/>
      <c r="AC117" s="2142"/>
    </row>
    <row r="118" spans="1:29" ht="15" thickTop="1">
      <c r="A118" s="731"/>
      <c r="B118" s="669" t="s">
        <v>769</v>
      </c>
      <c r="C118" s="905"/>
      <c r="D118" s="905"/>
      <c r="E118" s="905"/>
      <c r="F118" s="905"/>
      <c r="G118" s="905"/>
      <c r="H118" s="685"/>
      <c r="I118" s="685"/>
      <c r="J118" s="685"/>
      <c r="K118" s="685"/>
      <c r="L118" s="686"/>
      <c r="M118" s="687"/>
      <c r="N118" s="2161"/>
      <c r="O118" s="2161"/>
      <c r="P118" s="2162"/>
      <c r="Q118" s="2155"/>
      <c r="R118" s="2142"/>
      <c r="S118" s="2142"/>
      <c r="T118" s="2142"/>
      <c r="U118" s="2142"/>
      <c r="V118" s="2142"/>
      <c r="W118" s="2142"/>
      <c r="X118" s="2142"/>
      <c r="Y118" s="2142"/>
      <c r="Z118" s="2142"/>
      <c r="AA118" s="2142"/>
      <c r="AB118" s="2142"/>
      <c r="AC118" s="2142"/>
    </row>
    <row r="119" spans="1:29" ht="15.75" thickBot="1">
      <c r="A119" s="665"/>
      <c r="B119" s="674"/>
      <c r="C119" s="688"/>
      <c r="D119" s="667"/>
      <c r="E119" s="667"/>
      <c r="F119" s="667"/>
      <c r="G119" s="667"/>
      <c r="H119" s="667"/>
      <c r="I119" s="667"/>
      <c r="J119" s="667"/>
      <c r="K119" s="667"/>
      <c r="L119" s="667"/>
      <c r="M119" s="668"/>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4"/>
      <c r="B120" s="669" t="s">
        <v>770</v>
      </c>
      <c r="C120" s="714"/>
      <c r="D120" s="714"/>
      <c r="E120" s="714"/>
      <c r="F120" s="714"/>
      <c r="G120" s="685"/>
      <c r="H120" s="685"/>
      <c r="I120" s="685"/>
      <c r="J120" s="685"/>
      <c r="K120" s="685"/>
      <c r="L120" s="686"/>
      <c r="M120" s="687"/>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1"/>
      <c r="B122" s="669" t="s">
        <v>749</v>
      </c>
      <c r="C122" s="3262" t="s">
        <v>3118</v>
      </c>
      <c r="D122" s="3262" t="s">
        <v>3119</v>
      </c>
      <c r="E122" s="3262" t="s">
        <v>3120</v>
      </c>
      <c r="F122" s="3265" t="s">
        <v>3121</v>
      </c>
      <c r="G122" s="714"/>
      <c r="H122" s="714"/>
      <c r="I122" s="714"/>
      <c r="J122" s="714"/>
      <c r="K122" s="715"/>
      <c r="L122" s="716"/>
      <c r="M122" s="717"/>
      <c r="N122" s="2161"/>
      <c r="O122" s="2161"/>
      <c r="P122" s="2162"/>
      <c r="Q122" s="2155"/>
      <c r="R122" s="2142"/>
      <c r="S122" s="2142"/>
      <c r="T122" s="2142"/>
      <c r="U122" s="2142"/>
      <c r="V122" s="2142"/>
      <c r="W122" s="2142"/>
      <c r="X122" s="2142"/>
      <c r="Y122" s="2142"/>
      <c r="Z122" s="2142"/>
      <c r="AA122" s="2142"/>
      <c r="AB122" s="2142"/>
      <c r="AC122" s="2142"/>
    </row>
    <row r="123" spans="1:29" ht="15.75" thickBot="1">
      <c r="A123" s="665"/>
      <c r="B123" s="674"/>
      <c r="C123" s="675">
        <v>100</v>
      </c>
      <c r="D123" s="675">
        <f t="shared" ref="D123:M123" si="29">C123-$K42</f>
        <v>99</v>
      </c>
      <c r="E123" s="675">
        <f t="shared" si="29"/>
        <v>98</v>
      </c>
      <c r="F123" s="675">
        <f t="shared" si="29"/>
        <v>97</v>
      </c>
      <c r="G123" s="675">
        <f t="shared" si="29"/>
        <v>96</v>
      </c>
      <c r="H123" s="675">
        <f t="shared" si="29"/>
        <v>95</v>
      </c>
      <c r="I123" s="675">
        <f t="shared" si="29"/>
        <v>94</v>
      </c>
      <c r="J123" s="675">
        <f t="shared" si="29"/>
        <v>93</v>
      </c>
      <c r="K123" s="675">
        <f t="shared" si="29"/>
        <v>92</v>
      </c>
      <c r="L123" s="675">
        <f t="shared" si="29"/>
        <v>91</v>
      </c>
      <c r="M123" s="676">
        <f t="shared" si="29"/>
        <v>90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1"/>
      <c r="B124" s="669" t="s">
        <v>750</v>
      </c>
      <c r="C124" s="704" t="s">
        <v>573</v>
      </c>
      <c r="D124" s="704" t="s">
        <v>574</v>
      </c>
      <c r="E124" s="704" t="s">
        <v>575</v>
      </c>
      <c r="F124" s="704" t="s">
        <v>576</v>
      </c>
      <c r="G124" s="704" t="s">
        <v>577</v>
      </c>
      <c r="H124" s="670"/>
      <c r="I124" s="670"/>
      <c r="J124" s="670"/>
      <c r="K124" s="671"/>
      <c r="L124" s="672"/>
      <c r="M124" s="673"/>
      <c r="N124" s="2161"/>
      <c r="O124" s="2161"/>
      <c r="P124" s="2165"/>
      <c r="Q124" s="2155"/>
      <c r="R124" s="2142"/>
      <c r="S124" s="2142"/>
      <c r="T124" s="2142"/>
      <c r="U124" s="2142"/>
      <c r="V124" s="2142"/>
      <c r="W124" s="2142"/>
      <c r="X124" s="2142"/>
      <c r="Y124" s="2142"/>
      <c r="Z124" s="2142"/>
      <c r="AA124" s="2142"/>
      <c r="AB124" s="2142"/>
      <c r="AC124" s="2142"/>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4"/>
      <c r="B126" s="669" t="str">
        <f>B44</f>
        <v>交房时间</v>
      </c>
      <c r="C126" s="684" t="s">
        <v>3159</v>
      </c>
      <c r="D126" s="3261" t="s">
        <v>3160</v>
      </c>
      <c r="E126" s="684"/>
      <c r="F126" s="684"/>
      <c r="G126" s="684"/>
      <c r="H126" s="685"/>
      <c r="I126" s="685"/>
      <c r="J126" s="685"/>
      <c r="K126" s="685"/>
      <c r="L126" s="686"/>
      <c r="M126" s="687"/>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3"/>
      <c r="B127" s="674"/>
      <c r="C127" s="688">
        <v>100</v>
      </c>
      <c r="D127" s="667">
        <v>105</v>
      </c>
      <c r="E127" s="667"/>
      <c r="F127" s="667"/>
      <c r="G127" s="688"/>
      <c r="H127" s="689"/>
      <c r="I127" s="689"/>
      <c r="J127" s="689"/>
      <c r="K127" s="689"/>
      <c r="L127" s="689"/>
      <c r="M127" s="690"/>
      <c r="N127" s="2164"/>
      <c r="O127" s="2164"/>
      <c r="P127" s="2165"/>
      <c r="Q127" s="2166"/>
      <c r="R127" s="2167"/>
      <c r="S127" s="2167"/>
      <c r="T127" s="2167"/>
      <c r="U127" s="2167"/>
      <c r="V127" s="2167"/>
      <c r="W127" s="2167"/>
      <c r="X127" s="2167"/>
      <c r="Y127" s="2167"/>
      <c r="Z127" s="2167"/>
      <c r="AA127" s="2167"/>
      <c r="AB127" s="2167"/>
      <c r="AC127" s="2167"/>
    </row>
    <row r="128" spans="1:29" ht="15" thickTop="1">
      <c r="A128" s="731"/>
      <c r="B128" s="669" t="str">
        <f>B45</f>
        <v>建筑面积</v>
      </c>
      <c r="C128" s="684">
        <f>C45</f>
        <v>9696</v>
      </c>
      <c r="D128" s="684">
        <f>E45</f>
        <v>9696</v>
      </c>
      <c r="E128" s="684">
        <f>G45</f>
        <v>9696</v>
      </c>
      <c r="F128" s="684">
        <f>I45</f>
        <v>9696</v>
      </c>
      <c r="G128" s="714"/>
      <c r="H128" s="714"/>
      <c r="I128" s="714"/>
      <c r="J128" s="714"/>
      <c r="K128" s="715"/>
      <c r="L128" s="716"/>
      <c r="M128" s="717"/>
      <c r="N128" s="2161"/>
      <c r="O128" s="2161"/>
      <c r="P128" s="2162"/>
      <c r="Q128" s="2155"/>
      <c r="R128" s="2142"/>
      <c r="S128" s="2142"/>
      <c r="T128" s="2142"/>
      <c r="U128" s="2142"/>
      <c r="V128" s="2142"/>
      <c r="W128" s="2142"/>
      <c r="X128" s="2142"/>
      <c r="Y128" s="2142"/>
      <c r="Z128" s="2142"/>
      <c r="AA128" s="2142"/>
      <c r="AB128" s="2142"/>
      <c r="AC128" s="2142"/>
    </row>
    <row r="129" spans="1:29" ht="15.75" thickBot="1">
      <c r="A129" s="665"/>
      <c r="B129" s="674"/>
      <c r="C129" s="688">
        <v>100</v>
      </c>
      <c r="D129" s="667">
        <v>101</v>
      </c>
      <c r="E129" s="667">
        <v>101</v>
      </c>
      <c r="F129" s="667">
        <v>101</v>
      </c>
      <c r="G129" s="667"/>
      <c r="H129" s="667"/>
      <c r="I129" s="667"/>
      <c r="J129" s="667"/>
      <c r="K129" s="667"/>
      <c r="L129" s="667"/>
      <c r="M129" s="668"/>
      <c r="N129" s="2163"/>
      <c r="O129" s="2163"/>
      <c r="P129" s="2162"/>
      <c r="Q129" s="2155"/>
      <c r="R129" s="2142"/>
      <c r="S129" s="2142"/>
      <c r="T129" s="2142"/>
      <c r="U129" s="2142"/>
      <c r="V129" s="2142"/>
      <c r="W129" s="2142"/>
      <c r="X129" s="2142"/>
      <c r="Y129" s="2142"/>
      <c r="Z129" s="2142"/>
      <c r="AA129" s="2142"/>
      <c r="AB129" s="2142"/>
      <c r="AC129" s="2142"/>
    </row>
    <row r="130" spans="1:29" ht="15" thickTop="1">
      <c r="A130" s="731"/>
      <c r="B130" s="677">
        <f>B46</f>
        <v>111</v>
      </c>
      <c r="C130" s="684"/>
      <c r="D130" s="684"/>
      <c r="E130" s="684"/>
      <c r="F130" s="684"/>
      <c r="G130" s="718"/>
      <c r="H130" s="718"/>
      <c r="I130" s="718"/>
      <c r="J130" s="718"/>
      <c r="K130" s="657"/>
      <c r="L130" s="658"/>
      <c r="M130" s="721"/>
      <c r="N130" s="2161"/>
      <c r="O130" s="2161"/>
      <c r="P130" s="2162"/>
      <c r="Q130" s="2155"/>
      <c r="R130" s="2142"/>
      <c r="S130" s="2142"/>
      <c r="T130" s="2142"/>
      <c r="U130" s="2142"/>
      <c r="V130" s="2142"/>
      <c r="W130" s="2142"/>
      <c r="X130" s="2142"/>
      <c r="Y130" s="2142"/>
      <c r="Z130" s="2142"/>
      <c r="AA130" s="2142"/>
      <c r="AB130" s="2142"/>
      <c r="AC130" s="2142"/>
    </row>
    <row r="131" spans="1:29" ht="15.75" thickBot="1">
      <c r="A131" s="889"/>
      <c r="B131" s="695"/>
      <c r="C131" s="696"/>
      <c r="D131" s="696"/>
      <c r="E131" s="696"/>
      <c r="F131" s="696"/>
      <c r="G131" s="722"/>
      <c r="H131" s="722"/>
      <c r="I131" s="722"/>
      <c r="J131" s="722"/>
      <c r="K131" s="722"/>
      <c r="L131" s="722"/>
      <c r="M131" s="723"/>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54" priority="17" stopIfTrue="1" operator="containsText" text="超过">
      <formula>NOT(ISERROR(SEARCH("超过",F52)))</formula>
    </cfRule>
  </conditionalFormatting>
  <conditionalFormatting sqref="H54">
    <cfRule type="containsText" dxfId="153" priority="15" stopIfTrue="1" operator="containsText" text="超过">
      <formula>NOT(ISERROR(SEARCH("超过",H54)))</formula>
    </cfRule>
  </conditionalFormatting>
  <conditionalFormatting sqref="F54">
    <cfRule type="containsText" dxfId="152" priority="14" stopIfTrue="1" operator="containsText" text="超过">
      <formula>NOT(ISERROR(SEARCH("超过",F54)))</formula>
    </cfRule>
  </conditionalFormatting>
  <conditionalFormatting sqref="F53 H53">
    <cfRule type="containsText" dxfId="151" priority="13" stopIfTrue="1" operator="containsText" text="超过">
      <formula>NOT(ISERROR(SEARCH("超过",F53)))</formula>
    </cfRule>
  </conditionalFormatting>
  <conditionalFormatting sqref="E52">
    <cfRule type="expression" dxfId="150" priority="12"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4">
    <cfRule type="expression" dxfId="147" priority="9" stopIfTrue="1">
      <formula>$H$54="超过30%"</formula>
    </cfRule>
  </conditionalFormatting>
  <conditionalFormatting sqref="G52">
    <cfRule type="expression" dxfId="146" priority="8" stopIfTrue="1">
      <formula>$H$52="超过30%"</formula>
    </cfRule>
  </conditionalFormatting>
  <conditionalFormatting sqref="G53">
    <cfRule type="expression" dxfId="145" priority="7" stopIfTrue="1">
      <formula>$H$53="超过20%"</formula>
    </cfRule>
  </conditionalFormatting>
  <conditionalFormatting sqref="J52">
    <cfRule type="containsText" dxfId="144" priority="6" stopIfTrue="1" operator="containsText" text="超过">
      <formula>NOT(ISERROR(SEARCH("超过",J52)))</formula>
    </cfRule>
  </conditionalFormatting>
  <conditionalFormatting sqref="J54">
    <cfRule type="containsText" dxfId="143" priority="5" stopIfTrue="1" operator="containsText" text="超过">
      <formula>NOT(ISERROR(SEARCH("超过",J54)))</formula>
    </cfRule>
  </conditionalFormatting>
  <conditionalFormatting sqref="J53">
    <cfRule type="containsText" dxfId="142" priority="4" stopIfTrue="1" operator="containsText" text="超过">
      <formula>NOT(ISERROR(SEARCH("超过",J53)))</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0" workbookViewId="0">
      <selection activeCell="B199" sqref="B199"/>
    </sheetView>
  </sheetViews>
  <sheetFormatPr defaultRowHeight="13.5"/>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1897</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受贵公司委托，我公司对北京市出让国有建设用地使用权市场价格进行了预评估。</v>
      </c>
    </row>
    <row r="5" spans="1:4" ht="18.75">
      <c r="A5" s="1791" t="s">
        <v>1898</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183040.85平方米。根据《建设工程规划许可证》[]、《出让合同》[]，估价对象规划建筑面积为709912平方米。</v>
      </c>
    </row>
    <row r="7" spans="1:4" ht="56.25">
      <c r="A7" s="1792" t="s">
        <v>2742</v>
      </c>
    </row>
    <row r="8" spans="1:4" ht="18.75">
      <c r="A8" s="1791" t="s">
        <v>1899</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2021</v>
      </c>
    </row>
    <row r="11" spans="1:4" ht="18.75">
      <c r="A11" s="1777" t="str">
        <f>TEXT(项目基本情况!D3,"yyyy年m月d日;;")&amp;IF(项目基本情况!B3=项目基本情况!D3,"（评估专业人员勘察现场之日）","")</f>
        <v>2018年10月15日</v>
      </c>
    </row>
    <row r="12" spans="1:4" ht="18.75">
      <c r="A12" s="1794" t="s">
        <v>2020</v>
      </c>
    </row>
    <row r="13" spans="1:4" ht="18.75">
      <c r="A13" s="1788" t="s">
        <v>2939</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2067</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2068</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根据《国有土地使用证》[]，估价对象（分摊）出让国有建设用地使用权面积为183040.85平方米。根据《建设工程规划许可证》[]、《出让合同》[]，估价对象规划建筑面积为709912平方米。</v>
      </c>
    </row>
    <row r="21" spans="1:1" ht="18.75">
      <c r="A21" s="1788" t="s">
        <v>2069</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10月15日、商业2058年10月15日、办公2068年10月15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2070</v>
      </c>
    </row>
    <row r="25" spans="1:1" ht="75">
      <c r="A25" s="1788"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2022</v>
      </c>
    </row>
    <row r="30" spans="1:1" ht="75">
      <c r="A30" s="1788" t="str">
        <f>"评估专业人员根据估价的目的，按照估价的程序，采用科学的估价方法（"&amp;'结果表-住宅'!L4&amp;"、"&amp;'结果表-住宅'!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2" t="s">
        <v>2050</v>
      </c>
      <c r="B1" s="1773"/>
      <c r="C1" s="1801" t="s">
        <v>2051</v>
      </c>
      <c r="D1" s="1802" t="s">
        <v>3006</v>
      </c>
      <c r="E1" s="1801" t="s">
        <v>2052</v>
      </c>
      <c r="F1" s="1803" t="s">
        <v>3007</v>
      </c>
      <c r="G1" s="307"/>
      <c r="H1" s="307"/>
      <c r="I1" s="307"/>
      <c r="J1" s="2025"/>
      <c r="K1" s="2025"/>
      <c r="L1" s="2025"/>
      <c r="M1" s="2025"/>
      <c r="N1" s="2025"/>
      <c r="O1" s="2025"/>
      <c r="P1" s="2025"/>
      <c r="Q1" s="2025"/>
      <c r="R1" s="2025"/>
      <c r="S1" s="2025"/>
      <c r="T1" s="2025"/>
      <c r="U1" s="2025"/>
      <c r="V1" s="2025"/>
    </row>
    <row r="2" spans="1:22" ht="21.75" customHeight="1" thickBot="1">
      <c r="A2" s="3484" t="str">
        <f>项目基本情况!K2</f>
        <v>北京市出让国有建设用地使用权</v>
      </c>
      <c r="B2" s="3485"/>
      <c r="C2" s="3486"/>
      <c r="D2" s="3486"/>
      <c r="E2" s="3486"/>
      <c r="F2" s="3486"/>
      <c r="G2" s="3485"/>
      <c r="H2" s="3485"/>
      <c r="I2" s="3487"/>
      <c r="J2" s="2026"/>
      <c r="K2" s="2025"/>
      <c r="L2" s="2025"/>
      <c r="M2" s="2025"/>
      <c r="N2" s="2025"/>
      <c r="O2" s="2025"/>
      <c r="P2" s="2025"/>
      <c r="Q2" s="2025"/>
      <c r="R2" s="2025"/>
      <c r="S2" s="2025"/>
      <c r="T2" s="2025"/>
      <c r="U2" s="2025"/>
      <c r="V2" s="2025"/>
    </row>
    <row r="3" spans="1:22" ht="14.25">
      <c r="A3" s="3495" t="s">
        <v>292</v>
      </c>
      <c r="B3" s="3496"/>
      <c r="C3" s="3496"/>
      <c r="D3" s="3496"/>
      <c r="E3" s="3496"/>
      <c r="F3" s="3496"/>
      <c r="G3" s="3496"/>
      <c r="H3" s="3496"/>
      <c r="I3" s="3496"/>
      <c r="J3" s="2026"/>
      <c r="K3" s="2025"/>
      <c r="L3" s="2025"/>
      <c r="M3" s="2025"/>
      <c r="N3" s="2025"/>
      <c r="O3" s="2025"/>
      <c r="P3" s="2025"/>
      <c r="Q3" s="2025"/>
      <c r="R3" s="2025"/>
      <c r="S3" s="2025"/>
      <c r="T3" s="2025"/>
      <c r="U3" s="2025"/>
      <c r="V3" s="2025"/>
    </row>
    <row r="4" spans="1:22" ht="14.25">
      <c r="A4" s="257" t="s">
        <v>293</v>
      </c>
      <c r="B4" s="258" t="s">
        <v>294</v>
      </c>
      <c r="C4" s="259" t="s">
        <v>3095</v>
      </c>
      <c r="D4" s="259" t="s">
        <v>3096</v>
      </c>
      <c r="E4" s="3459" t="s">
        <v>295</v>
      </c>
      <c r="F4" s="3501"/>
      <c r="G4" s="3501"/>
      <c r="H4" s="3501"/>
      <c r="I4" s="3460"/>
      <c r="J4" s="2026"/>
      <c r="K4" s="2025"/>
      <c r="L4" s="944" t="str">
        <f>IF(ISNUMBER(FIND("比较法",C4)),"比较法",IF(ISNUMBER(FIND("成本法",C4)),"成本法",IF(ISNUMBER(FIND("剩余法",C4)),"剩余法",IF(ISNUMBER(FIND("收益法",C4)),"收益法","基准地价系数修正法"))))</f>
        <v>基准地价系数修正法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488" t="s">
        <v>296</v>
      </c>
      <c r="B5" s="3489">
        <v>25</v>
      </c>
      <c r="C5" s="3497">
        <f>'结果表-商业'!C5:C7</f>
        <v>30</v>
      </c>
      <c r="D5" s="3500">
        <f>100-C5</f>
        <v>70</v>
      </c>
      <c r="E5" s="260" t="s">
        <v>297</v>
      </c>
      <c r="F5" s="261"/>
      <c r="G5" s="261"/>
      <c r="H5" s="261"/>
      <c r="I5" s="262"/>
      <c r="J5" s="2026"/>
      <c r="K5" s="2025"/>
      <c r="L5" s="2025"/>
      <c r="M5" s="2025"/>
      <c r="N5" s="2025"/>
      <c r="O5" s="2025"/>
      <c r="P5" s="2025"/>
      <c r="Q5" s="2025"/>
      <c r="R5" s="2025"/>
      <c r="S5" s="2025"/>
      <c r="T5" s="2025"/>
      <c r="U5" s="2025"/>
      <c r="V5" s="2025"/>
    </row>
    <row r="6" spans="1:22" ht="14.25">
      <c r="A6" s="3488"/>
      <c r="B6" s="3489"/>
      <c r="C6" s="3498"/>
      <c r="D6" s="3500"/>
      <c r="E6" s="260" t="s">
        <v>298</v>
      </c>
      <c r="F6" s="261"/>
      <c r="G6" s="261"/>
      <c r="H6" s="261"/>
      <c r="I6" s="262"/>
      <c r="J6" s="2026"/>
      <c r="K6" s="2025"/>
      <c r="L6" s="2025"/>
      <c r="M6" s="2025"/>
      <c r="N6" s="2025"/>
      <c r="O6" s="2025"/>
      <c r="P6" s="2025"/>
      <c r="Q6" s="2025"/>
      <c r="R6" s="2025"/>
      <c r="S6" s="2025"/>
      <c r="T6" s="2025"/>
      <c r="U6" s="2025"/>
      <c r="V6" s="2025"/>
    </row>
    <row r="7" spans="1:22" ht="14.25">
      <c r="A7" s="3488"/>
      <c r="B7" s="3489"/>
      <c r="C7" s="3499"/>
      <c r="D7" s="3500"/>
      <c r="E7" s="260" t="s">
        <v>299</v>
      </c>
      <c r="F7" s="261"/>
      <c r="G7" s="261"/>
      <c r="H7" s="261"/>
      <c r="I7" s="262"/>
      <c r="J7" s="2026"/>
      <c r="K7" s="2025"/>
      <c r="L7" s="2025"/>
      <c r="M7" s="2025"/>
      <c r="N7" s="2025"/>
      <c r="O7" s="2025"/>
      <c r="P7" s="2025"/>
      <c r="Q7" s="2025"/>
      <c r="R7" s="2025"/>
      <c r="S7" s="2025"/>
      <c r="T7" s="2025"/>
      <c r="U7" s="2025"/>
      <c r="V7" s="2025"/>
    </row>
    <row r="8" spans="1:22" ht="14.25" hidden="1">
      <c r="A8" s="3488" t="s">
        <v>300</v>
      </c>
      <c r="B8" s="3489">
        <v>15</v>
      </c>
      <c r="C8" s="3497"/>
      <c r="D8" s="3500"/>
      <c r="E8" s="260" t="s">
        <v>301</v>
      </c>
      <c r="F8" s="261"/>
      <c r="G8" s="261"/>
      <c r="H8" s="261"/>
      <c r="I8" s="262"/>
      <c r="J8" s="2026"/>
      <c r="K8" s="2025"/>
      <c r="L8" s="2025"/>
      <c r="M8" s="2025"/>
      <c r="N8" s="2025"/>
      <c r="O8" s="2025"/>
      <c r="P8" s="2025"/>
      <c r="Q8" s="2025"/>
      <c r="R8" s="2025"/>
      <c r="S8" s="2025"/>
      <c r="T8" s="2025"/>
      <c r="U8" s="2025"/>
      <c r="V8" s="2025"/>
    </row>
    <row r="9" spans="1:22" ht="14.25" hidden="1">
      <c r="A9" s="3488"/>
      <c r="B9" s="3489"/>
      <c r="C9" s="3499"/>
      <c r="D9" s="3500"/>
      <c r="E9" s="260" t="s">
        <v>302</v>
      </c>
      <c r="F9" s="261"/>
      <c r="G9" s="261"/>
      <c r="H9" s="261"/>
      <c r="I9" s="262"/>
      <c r="J9" s="2026"/>
      <c r="K9" s="2025"/>
      <c r="L9" s="2025"/>
      <c r="M9" s="2025"/>
      <c r="N9" s="2025"/>
      <c r="O9" s="2025"/>
      <c r="P9" s="2025"/>
      <c r="Q9" s="2025"/>
      <c r="R9" s="2025"/>
      <c r="S9" s="2025"/>
      <c r="T9" s="2025"/>
      <c r="U9" s="2025"/>
      <c r="V9" s="2025"/>
    </row>
    <row r="10" spans="1:22" ht="14.25" hidden="1">
      <c r="A10" s="3488" t="s">
        <v>303</v>
      </c>
      <c r="B10" s="3489">
        <v>15</v>
      </c>
      <c r="C10" s="3497"/>
      <c r="D10" s="3500"/>
      <c r="E10" s="260" t="s">
        <v>304</v>
      </c>
      <c r="F10" s="261"/>
      <c r="G10" s="261"/>
      <c r="H10" s="261"/>
      <c r="I10" s="262"/>
      <c r="J10" s="2026"/>
      <c r="K10" s="2025"/>
      <c r="L10" s="2025"/>
      <c r="M10" s="2025"/>
      <c r="N10" s="2025"/>
      <c r="O10" s="2025"/>
      <c r="P10" s="2025"/>
      <c r="Q10" s="2025"/>
      <c r="R10" s="2025"/>
      <c r="S10" s="2025"/>
      <c r="T10" s="2025"/>
      <c r="U10" s="2025"/>
      <c r="V10" s="2025"/>
    </row>
    <row r="11" spans="1:22" ht="14.25" hidden="1">
      <c r="A11" s="3488"/>
      <c r="B11" s="3489"/>
      <c r="C11" s="3499"/>
      <c r="D11" s="3500"/>
      <c r="E11" s="260" t="s">
        <v>305</v>
      </c>
      <c r="F11" s="261"/>
      <c r="G11" s="261"/>
      <c r="H11" s="261"/>
      <c r="I11" s="262"/>
      <c r="J11" s="2026"/>
      <c r="K11" s="2025"/>
      <c r="L11" s="2025"/>
      <c r="M11" s="2025"/>
      <c r="N11" s="2025"/>
      <c r="O11" s="2025"/>
      <c r="P11" s="2025"/>
      <c r="Q11" s="2025"/>
      <c r="R11" s="2025"/>
      <c r="S11" s="2025"/>
      <c r="T11" s="2025"/>
      <c r="U11" s="2025"/>
      <c r="V11" s="2025"/>
    </row>
    <row r="12" spans="1:22" ht="14.25" hidden="1">
      <c r="A12" s="3488" t="s">
        <v>306</v>
      </c>
      <c r="B12" s="3489">
        <v>15</v>
      </c>
      <c r="C12" s="3497"/>
      <c r="D12" s="3500"/>
      <c r="E12" s="260" t="s">
        <v>307</v>
      </c>
      <c r="F12" s="261"/>
      <c r="G12" s="261"/>
      <c r="H12" s="261"/>
      <c r="I12" s="262"/>
      <c r="J12" s="2026"/>
      <c r="K12" s="2025"/>
      <c r="L12" s="2025"/>
      <c r="M12" s="2025"/>
      <c r="N12" s="2025"/>
      <c r="O12" s="2025"/>
      <c r="P12" s="2025"/>
      <c r="Q12" s="2025"/>
      <c r="R12" s="2025"/>
      <c r="S12" s="2025"/>
      <c r="T12" s="2025"/>
      <c r="U12" s="2025"/>
      <c r="V12" s="2025"/>
    </row>
    <row r="13" spans="1:22" ht="14.25" hidden="1">
      <c r="A13" s="3488"/>
      <c r="B13" s="3489"/>
      <c r="C13" s="3499"/>
      <c r="D13" s="3500"/>
      <c r="E13" s="260" t="s">
        <v>308</v>
      </c>
      <c r="F13" s="261"/>
      <c r="G13" s="261"/>
      <c r="H13" s="261"/>
      <c r="I13" s="262"/>
      <c r="J13" s="2026"/>
      <c r="K13" s="2025"/>
      <c r="L13" s="2025"/>
      <c r="M13" s="2025"/>
      <c r="N13" s="2025"/>
      <c r="O13" s="2025"/>
      <c r="P13" s="2025"/>
      <c r="Q13" s="2025"/>
      <c r="R13" s="2025"/>
      <c r="S13" s="2025"/>
      <c r="T13" s="2025"/>
      <c r="U13" s="2025"/>
      <c r="V13" s="2025"/>
    </row>
    <row r="14" spans="1:22" ht="14.25" hidden="1">
      <c r="A14" s="3488" t="s">
        <v>309</v>
      </c>
      <c r="B14" s="3489">
        <v>30</v>
      </c>
      <c r="C14" s="3497"/>
      <c r="D14" s="3500"/>
      <c r="E14" s="260" t="s">
        <v>310</v>
      </c>
      <c r="F14" s="261"/>
      <c r="G14" s="261"/>
      <c r="H14" s="261"/>
      <c r="I14" s="262"/>
      <c r="J14" s="2026"/>
      <c r="K14" s="2025"/>
      <c r="L14" s="2025"/>
      <c r="M14" s="2025"/>
      <c r="N14" s="2025"/>
      <c r="O14" s="2025"/>
      <c r="P14" s="2025"/>
      <c r="Q14" s="2025"/>
      <c r="R14" s="2025"/>
      <c r="S14" s="2025"/>
      <c r="T14" s="2025"/>
      <c r="U14" s="2025"/>
      <c r="V14" s="2025"/>
    </row>
    <row r="15" spans="1:22" ht="14.25" hidden="1">
      <c r="A15" s="3488"/>
      <c r="B15" s="3489"/>
      <c r="C15" s="3498"/>
      <c r="D15" s="3500"/>
      <c r="E15" s="260" t="s">
        <v>311</v>
      </c>
      <c r="F15" s="261"/>
      <c r="G15" s="261"/>
      <c r="H15" s="261"/>
      <c r="I15" s="262"/>
      <c r="J15" s="2026"/>
      <c r="K15" s="2025"/>
      <c r="L15" s="2025"/>
      <c r="M15" s="2025"/>
      <c r="N15" s="2025"/>
      <c r="O15" s="2025"/>
      <c r="P15" s="2025"/>
      <c r="Q15" s="2025"/>
      <c r="R15" s="2025"/>
      <c r="S15" s="2025"/>
      <c r="T15" s="2025"/>
      <c r="U15" s="2025"/>
      <c r="V15" s="2025"/>
    </row>
    <row r="16" spans="1:22" ht="14.25" hidden="1">
      <c r="A16" s="3488"/>
      <c r="B16" s="3489"/>
      <c r="C16" s="3499"/>
      <c r="D16" s="3500"/>
      <c r="E16" s="260" t="s">
        <v>312</v>
      </c>
      <c r="F16" s="261"/>
      <c r="G16" s="261"/>
      <c r="H16" s="261"/>
      <c r="I16" s="262"/>
      <c r="J16" s="2026"/>
      <c r="K16" s="2025"/>
      <c r="L16" s="2025"/>
      <c r="M16" s="2025"/>
      <c r="N16" s="2025"/>
      <c r="O16" s="2025"/>
      <c r="P16" s="2025"/>
      <c r="Q16" s="2025"/>
      <c r="R16" s="2025"/>
      <c r="S16" s="2025"/>
      <c r="T16" s="2025"/>
      <c r="U16" s="2025"/>
      <c r="V16" s="2025"/>
    </row>
    <row r="17" spans="1:26" ht="15" hidden="1">
      <c r="A17" s="263" t="s">
        <v>313</v>
      </c>
      <c r="B17" s="143"/>
      <c r="C17" s="264">
        <f>SUM(C5:C16)</f>
        <v>30</v>
      </c>
      <c r="D17" s="264">
        <f>SUM(D5:D16)</f>
        <v>70</v>
      </c>
      <c r="E17" s="307"/>
      <c r="F17" s="307"/>
      <c r="G17" s="307"/>
      <c r="H17" s="307"/>
      <c r="I17" s="307"/>
      <c r="J17" s="2026"/>
      <c r="K17" s="2025"/>
      <c r="L17" s="2025"/>
      <c r="M17" s="2025"/>
      <c r="N17" s="2025"/>
      <c r="O17" s="2025"/>
      <c r="P17" s="2025"/>
      <c r="Q17" s="2025"/>
      <c r="R17" s="2025"/>
      <c r="S17" s="2025"/>
      <c r="T17" s="2025"/>
      <c r="U17" s="2025"/>
      <c r="V17" s="2025"/>
    </row>
    <row r="18" spans="1:26" ht="15.75" hidden="1" thickBot="1">
      <c r="A18" s="265" t="s">
        <v>314</v>
      </c>
      <c r="B18" s="105"/>
      <c r="C18" s="266">
        <f>ROUND(C17/SUM(C17:D17),2)</f>
        <v>0.3</v>
      </c>
      <c r="D18" s="266">
        <f>1-C18</f>
        <v>0.7</v>
      </c>
      <c r="E18" s="307"/>
      <c r="F18" s="307"/>
      <c r="G18" s="307"/>
      <c r="H18" s="307"/>
      <c r="I18" s="307"/>
      <c r="J18" s="2025"/>
      <c r="K18" s="2025"/>
      <c r="L18" s="2025"/>
      <c r="M18" s="2025"/>
      <c r="N18" s="2025"/>
      <c r="O18" s="2025"/>
      <c r="P18" s="2025"/>
      <c r="Q18" s="2025"/>
      <c r="R18" s="2025"/>
      <c r="S18" s="2025"/>
      <c r="T18" s="2025"/>
      <c r="U18" s="2025"/>
      <c r="V18" s="2025"/>
    </row>
    <row r="19" spans="1:26" ht="15" hidden="1">
      <c r="A19" s="267" t="s">
        <v>315</v>
      </c>
      <c r="B19" s="268" t="s">
        <v>316</v>
      </c>
      <c r="C19" s="269">
        <f ca="1">SUMIF(INDIRECT("'"&amp;C4&amp;"'"&amp;"!A:A"),'结果表-办公'!B19,INDIRECT("'"&amp;C4&amp;"'"&amp;"!B:B"))</f>
        <v>7277</v>
      </c>
      <c r="D19" s="270">
        <f ca="1">SUMIF(INDIRECT("'"&amp;D4&amp;"'"&amp;"!A:A"),'结果表-办公'!B19,INDIRECT("'"&amp;D4&amp;"'"&amp;"!B:B"))</f>
        <v>8994</v>
      </c>
      <c r="E19" s="267" t="s">
        <v>317</v>
      </c>
      <c r="F19" s="268" t="s">
        <v>316</v>
      </c>
      <c r="G19" s="271">
        <f ca="1">ROUND(C19*$C$18+D19*$D$18,0)</f>
        <v>8479</v>
      </c>
      <c r="H19" s="272" t="s">
        <v>318</v>
      </c>
      <c r="I19" s="307"/>
      <c r="J19" s="2025"/>
      <c r="K19" s="2025"/>
      <c r="L19" s="2025"/>
      <c r="M19" s="2025"/>
      <c r="N19" s="2025"/>
      <c r="O19" s="2025"/>
      <c r="P19" s="2025"/>
      <c r="Q19" s="2025"/>
      <c r="R19" s="2025"/>
      <c r="S19" s="2025"/>
      <c r="T19" s="2025"/>
      <c r="U19" s="2025"/>
      <c r="V19" s="2025"/>
    </row>
    <row r="20" spans="1:26" s="3199" customFormat="1" ht="15">
      <c r="A20" s="3193"/>
      <c r="B20" s="3194" t="s">
        <v>319</v>
      </c>
      <c r="C20" s="3195">
        <f ca="1">SUMIF(INDIRECT("'"&amp;C4&amp;"'"&amp;"!A:A"),'结果表-办公'!B20,INDIRECT("'"&amp;C4&amp;"'"&amp;"!B:B"))</f>
        <v>5244</v>
      </c>
      <c r="D20" s="3196">
        <f ca="1">SUMIF(INDIRECT("'"&amp;D4&amp;"'"&amp;"!A:A"),'结果表-办公'!B20,INDIRECT("'"&amp;D4&amp;"'"&amp;"!B:B"))</f>
        <v>6481</v>
      </c>
      <c r="E20" s="3193"/>
      <c r="F20" s="3194" t="s">
        <v>319</v>
      </c>
      <c r="G20" s="3197">
        <f ca="1">ROUND(C20*$C$18+D20*$D$18,0)</f>
        <v>6110</v>
      </c>
      <c r="H20" s="3198" t="s">
        <v>320</v>
      </c>
      <c r="J20" s="2863"/>
      <c r="K20" s="2863"/>
      <c r="L20" s="2863"/>
      <c r="M20" s="2863"/>
      <c r="N20" s="2863"/>
      <c r="O20" s="2863"/>
      <c r="P20" s="2863"/>
      <c r="Q20" s="2863"/>
      <c r="R20" s="2863"/>
      <c r="S20" s="2863"/>
      <c r="T20" s="2863"/>
      <c r="U20" s="2863"/>
      <c r="V20" s="2863"/>
      <c r="W20" s="2863"/>
      <c r="X20" s="2863"/>
      <c r="Y20" s="2863"/>
      <c r="Z20" s="2863"/>
    </row>
    <row r="21" spans="1:26" ht="15" customHeight="1">
      <c r="A21" s="273"/>
      <c r="B21" s="276" t="s">
        <v>321</v>
      </c>
      <c r="C21" s="277">
        <f ca="1">SUMIF(INDIRECT("'"&amp;C4&amp;"'"&amp;"!A:A"),'结果表-办公'!B21,INDIRECT("'"&amp;C4&amp;"'"&amp;"!B:B"))</f>
        <v>20338</v>
      </c>
      <c r="D21" s="150">
        <f ca="1">SUMIF(INDIRECT("'"&amp;D4&amp;"'"&amp;"!A:A"),'结果表-办公'!B21,INDIRECT("'"&amp;D4&amp;"'"&amp;"!B:B"))</f>
        <v>25137</v>
      </c>
      <c r="E21" s="273"/>
      <c r="F21" s="276" t="s">
        <v>321</v>
      </c>
      <c r="G21" s="278">
        <f ca="1">ROUND(C21*$C$18+D21*$D$18,0)</f>
        <v>23697</v>
      </c>
      <c r="H21" s="1247" t="s">
        <v>320</v>
      </c>
      <c r="I21" s="307"/>
      <c r="J21" s="2025"/>
      <c r="K21" s="2025"/>
      <c r="L21" s="2025"/>
      <c r="M21" s="2025"/>
      <c r="N21" s="2025"/>
      <c r="O21" s="2025"/>
      <c r="P21" s="2025"/>
      <c r="Q21" s="2025"/>
      <c r="R21" s="2025"/>
      <c r="S21" s="2025"/>
      <c r="T21" s="2025"/>
      <c r="U21" s="2025"/>
      <c r="V21" s="2025"/>
    </row>
    <row r="22" spans="1:26" ht="15.75" thickBot="1">
      <c r="A22" s="126" t="s">
        <v>322</v>
      </c>
      <c r="B22" s="1248"/>
      <c r="C22" s="1249"/>
      <c r="D22" s="279">
        <f ca="1">IF(C19&lt;D19,D19/C19-1,C19/D19-1)</f>
        <v>0.23594888003298053</v>
      </c>
      <c r="E22" s="280"/>
      <c r="F22" s="281"/>
      <c r="G22" s="282">
        <f ca="1">ROUND(G19/('数据-汇总表'!D3/666.67),0)</f>
        <v>31</v>
      </c>
      <c r="H22" s="283" t="s">
        <v>323</v>
      </c>
      <c r="I22" s="307"/>
      <c r="J22" s="2025"/>
      <c r="K22" s="2025"/>
      <c r="L22" s="2025"/>
      <c r="M22" s="2025"/>
      <c r="N22" s="2025"/>
      <c r="O22" s="2025"/>
      <c r="P22" s="2025"/>
      <c r="Q22" s="2025"/>
      <c r="R22" s="2025"/>
      <c r="S22" s="2025"/>
      <c r="T22" s="2025"/>
      <c r="U22" s="2025"/>
      <c r="V22" s="2025"/>
    </row>
    <row r="23" spans="1:26" ht="13.5" thickBot="1">
      <c r="A23" s="307"/>
      <c r="B23" s="307"/>
      <c r="C23" s="307"/>
      <c r="D23" s="307"/>
      <c r="E23" s="307"/>
      <c r="F23" s="307"/>
      <c r="G23" s="307"/>
      <c r="H23" s="307"/>
      <c r="I23" s="307"/>
      <c r="J23" s="2025"/>
      <c r="K23" s="2025"/>
      <c r="L23" s="2025"/>
      <c r="M23" s="2025"/>
      <c r="N23" s="2025"/>
      <c r="O23" s="2025"/>
      <c r="P23" s="2025"/>
      <c r="Q23" s="2025"/>
      <c r="R23" s="2025"/>
      <c r="S23" s="2025"/>
      <c r="T23" s="2025"/>
      <c r="U23" s="2025"/>
      <c r="V23" s="2025"/>
    </row>
    <row r="24" spans="1:26" ht="15" thickBot="1">
      <c r="A24" s="3461" t="s">
        <v>324</v>
      </c>
      <c r="B24" s="268" t="s">
        <v>316</v>
      </c>
      <c r="C24" s="284">
        <f>IF(B30=0,0,D30)</f>
        <v>0</v>
      </c>
      <c r="D24" s="285"/>
      <c r="E24" s="307"/>
      <c r="F24" s="307"/>
      <c r="G24" s="307"/>
      <c r="H24" s="307"/>
      <c r="I24" s="307"/>
      <c r="J24" s="2025"/>
      <c r="K24" s="2025"/>
      <c r="L24" s="2025"/>
      <c r="M24" s="2025"/>
      <c r="N24" s="2025"/>
      <c r="O24" s="2025"/>
      <c r="P24" s="2025"/>
      <c r="Q24" s="2025"/>
      <c r="R24" s="2025"/>
      <c r="S24" s="2025"/>
      <c r="T24" s="2025"/>
      <c r="U24" s="2025"/>
      <c r="V24" s="2025"/>
    </row>
    <row r="25" spans="1:26" ht="18">
      <c r="A25" s="3503"/>
      <c r="B25" s="1317" t="s">
        <v>325</v>
      </c>
      <c r="C25" s="286">
        <f>IF(B30=0,0,C30)</f>
        <v>0</v>
      </c>
      <c r="D25" s="287"/>
      <c r="E25" s="307"/>
      <c r="F25" s="307"/>
      <c r="G25" s="307"/>
      <c r="H25" s="307"/>
      <c r="I25" s="307"/>
      <c r="J25" s="2025"/>
      <c r="K25" s="1251" t="str">
        <f ca="1">项目基本情况!B16&amp;"国有建设用地使用权价格："&amp;O38&amp;"万元"</f>
        <v>出让国有建设用地使用权价格：8479万元</v>
      </c>
      <c r="L25" s="1252"/>
      <c r="M25" s="1252"/>
      <c r="N25" s="1252"/>
      <c r="O25" s="1253"/>
      <c r="P25" s="2025"/>
      <c r="Q25" s="2025"/>
      <c r="R25" s="2025"/>
      <c r="S25" s="2025"/>
      <c r="T25" s="2025"/>
      <c r="U25" s="2025"/>
      <c r="V25" s="2025"/>
    </row>
    <row r="26" spans="1:26" s="1250" customFormat="1" ht="18">
      <c r="A26" s="289" t="s">
        <v>326</v>
      </c>
      <c r="B26" s="290" t="s">
        <v>327</v>
      </c>
      <c r="C26" s="290" t="s">
        <v>328</v>
      </c>
      <c r="D26" s="291" t="s">
        <v>329</v>
      </c>
      <c r="E26" s="307"/>
      <c r="F26" s="307"/>
      <c r="G26" s="307"/>
      <c r="H26" s="307"/>
      <c r="I26" s="307"/>
      <c r="J26" s="2025"/>
      <c r="K26" s="1254" t="str">
        <f ca="1">"大写金额：人民币"&amp;NUMBERSTRING(INT(O38*10000),2)&amp;"元整"</f>
        <v>大写金额：人民币捌仟肆佰柒拾玖万元整</v>
      </c>
      <c r="L26" s="1248"/>
      <c r="M26" s="1248"/>
      <c r="N26" s="1248"/>
      <c r="O26" s="1247"/>
      <c r="P26" s="2025"/>
      <c r="Q26" s="2025"/>
      <c r="R26" s="2025"/>
      <c r="S26" s="2025"/>
      <c r="T26" s="2025"/>
      <c r="U26" s="2025"/>
      <c r="V26" s="2025"/>
      <c r="W26" s="288"/>
      <c r="X26" s="288"/>
      <c r="Y26" s="288"/>
      <c r="Z26" s="288"/>
    </row>
    <row r="27" spans="1:26" ht="18">
      <c r="A27" s="289"/>
      <c r="B27" s="290"/>
      <c r="C27" s="290"/>
      <c r="D27" s="291"/>
      <c r="E27" s="307"/>
      <c r="F27" s="307"/>
      <c r="G27" s="307"/>
      <c r="H27" s="307"/>
      <c r="I27" s="307"/>
      <c r="J27" s="2025"/>
      <c r="K27" s="1254" t="str">
        <f ca="1">"单位面积地价："&amp;M38&amp;"元/平方米"</f>
        <v>单位面积地价：463元/平方米</v>
      </c>
      <c r="L27" s="1248"/>
      <c r="M27" s="1248"/>
      <c r="N27" s="1248"/>
      <c r="O27" s="1247"/>
      <c r="P27" s="2025"/>
      <c r="Q27" s="2025"/>
      <c r="R27" s="2025"/>
      <c r="S27" s="2025"/>
      <c r="T27" s="2025"/>
      <c r="U27" s="2025"/>
      <c r="V27" s="2025"/>
    </row>
    <row r="28" spans="1:26" ht="18.75" customHeight="1">
      <c r="A28" s="289"/>
      <c r="B28" s="290"/>
      <c r="C28" s="290"/>
      <c r="D28" s="291"/>
      <c r="E28" s="307"/>
      <c r="F28" s="307"/>
      <c r="G28" s="307"/>
      <c r="H28" s="307"/>
      <c r="I28" s="307"/>
      <c r="J28" s="2025"/>
      <c r="K28" s="1254" t="str">
        <f ca="1">"楼面地价："&amp;N38&amp;"元/平方米"</f>
        <v>楼面地价：119元/平方米</v>
      </c>
      <c r="L28" s="1248"/>
      <c r="M28" s="1248"/>
      <c r="N28" s="1248"/>
      <c r="O28" s="1247"/>
      <c r="P28" s="2025"/>
      <c r="V28" s="2025"/>
    </row>
    <row r="29" spans="1:26" ht="18">
      <c r="A29" s="289"/>
      <c r="B29" s="290"/>
      <c r="C29" s="290"/>
      <c r="D29" s="291"/>
      <c r="E29" s="307"/>
      <c r="F29" s="307"/>
      <c r="G29" s="307"/>
      <c r="H29" s="307"/>
      <c r="I29" s="307"/>
      <c r="J29" s="2025"/>
      <c r="K29" s="1254" t="str">
        <f>IF(OR(项目基本情况!E8="抵押价格",项目基本情况!E8="已注销及未注销"),"抵押价格："&amp;O39&amp;"万元","——")</f>
        <v>——</v>
      </c>
      <c r="L29" s="1248"/>
      <c r="M29" s="1248"/>
      <c r="N29" s="1248"/>
      <c r="O29" s="1247"/>
      <c r="P29" s="2025"/>
      <c r="V29" s="2025"/>
    </row>
    <row r="30" spans="1:26" ht="18.75" thickBot="1">
      <c r="A30" s="3124" t="s">
        <v>330</v>
      </c>
      <c r="B30" s="305"/>
      <c r="C30" s="305"/>
      <c r="D30" s="306"/>
      <c r="E30" s="3125" t="s">
        <v>2965</v>
      </c>
      <c r="F30" s="307"/>
      <c r="G30" s="307"/>
      <c r="H30" s="307"/>
      <c r="I30" s="307"/>
      <c r="J30" s="2025"/>
      <c r="K30" s="1254" t="str">
        <f>IF(K29="——","——","大写金额：人民币"&amp;NUMBERSTRING(INT(O39*10000),2)&amp;"元整")</f>
        <v>——</v>
      </c>
      <c r="L30" s="1248"/>
      <c r="M30" s="1248"/>
      <c r="N30" s="1248"/>
      <c r="O30" s="1247"/>
      <c r="P30" s="2025"/>
      <c r="V30" s="2025"/>
    </row>
    <row r="31" spans="1:26" ht="24" customHeight="1" thickBot="1">
      <c r="A31" s="307"/>
      <c r="B31" s="307"/>
      <c r="C31" s="307"/>
      <c r="D31" s="307"/>
      <c r="E31" s="307"/>
      <c r="F31" s="307"/>
      <c r="G31" s="307"/>
      <c r="H31" s="307"/>
      <c r="I31" s="307"/>
      <c r="J31" s="2025"/>
      <c r="K31" s="2465" t="str">
        <f>IF(项目基本情况!E8="抵押价格","——","抵押担保权已注销时的抵押价格："&amp;O40&amp;"万元")</f>
        <v>抵押担保权已注销时的抵押价格：——万元</v>
      </c>
      <c r="L31" s="2461"/>
      <c r="M31" s="2461"/>
      <c r="N31" s="2461"/>
      <c r="O31" s="2462"/>
      <c r="P31" s="2025"/>
      <c r="V31" s="2025"/>
    </row>
    <row r="32" spans="1:26" ht="18.75" thickBot="1">
      <c r="A32" s="267" t="s">
        <v>331</v>
      </c>
      <c r="B32" s="1377" t="s">
        <v>1681</v>
      </c>
      <c r="C32" s="1378">
        <f ca="1">G19-C24</f>
        <v>8479</v>
      </c>
      <c r="D32" s="1379" t="s">
        <v>1682</v>
      </c>
      <c r="E32" s="307"/>
      <c r="F32" s="307"/>
      <c r="G32" s="307"/>
      <c r="H32" s="307"/>
      <c r="I32" s="307"/>
      <c r="J32" s="2025"/>
      <c r="K32" s="2460" t="e">
        <f>IF(K31="——","——","大写金额：人民币"&amp;NUMBERSTRING(INT(O40*10000),2)&amp;"元整")</f>
        <v>#VALUE!</v>
      </c>
      <c r="L32" s="2463"/>
      <c r="M32" s="2463"/>
      <c r="N32" s="2463"/>
      <c r="O32" s="2464"/>
      <c r="P32" s="2025"/>
      <c r="V32" s="2025"/>
    </row>
    <row r="33" spans="1:26" ht="18.75" thickBot="1">
      <c r="A33" s="294" t="s">
        <v>334</v>
      </c>
      <c r="B33" s="1380" t="s">
        <v>1683</v>
      </c>
      <c r="C33" s="263">
        <f ca="1">ROUND(C32*10000/'数据-汇总表'!E3,0)</f>
        <v>119</v>
      </c>
      <c r="D33" s="1381" t="s">
        <v>1684</v>
      </c>
      <c r="E33" s="3461" t="s">
        <v>332</v>
      </c>
      <c r="F33" s="292" t="s">
        <v>333</v>
      </c>
      <c r="G33" s="293"/>
      <c r="H33" s="976"/>
      <c r="I33" s="1255"/>
      <c r="J33" s="2025"/>
      <c r="K33" s="1254" t="str">
        <f>IF(项目基本情况!E9="——","——","抵押净值："&amp;C46&amp;"万元")</f>
        <v>抵押净值：——万元</v>
      </c>
      <c r="L33" s="1248"/>
      <c r="M33" s="1248"/>
      <c r="N33" s="1248"/>
      <c r="O33" s="1247"/>
      <c r="P33" s="2025"/>
      <c r="V33" s="2025"/>
    </row>
    <row r="34" spans="1:26" s="1250" customFormat="1" ht="18.75" thickBot="1">
      <c r="A34" s="296"/>
      <c r="B34" s="1382" t="s">
        <v>1685</v>
      </c>
      <c r="C34" s="263">
        <f ca="1">ROUND(C32*10000/'数据-汇总表'!D3,0)</f>
        <v>463</v>
      </c>
      <c r="D34" s="1383" t="s">
        <v>1684</v>
      </c>
      <c r="E34" s="3462"/>
      <c r="F34" s="127" t="s">
        <v>335</v>
      </c>
      <c r="G34" s="295"/>
      <c r="H34" s="105"/>
      <c r="I34" s="307"/>
      <c r="J34" s="2025"/>
      <c r="K34" s="1257" t="e">
        <f>IF(K33="——","——","大写金额：人民币"&amp;NUMBERSTRING(INT(O41*10000),2)&amp;"元整")</f>
        <v>#VALUE!</v>
      </c>
      <c r="L34" s="1258"/>
      <c r="M34" s="1258"/>
      <c r="N34" s="1258"/>
      <c r="O34" s="1259"/>
      <c r="P34" s="2025"/>
      <c r="Q34" s="288"/>
      <c r="R34" s="288"/>
      <c r="S34" s="288"/>
      <c r="T34" s="288"/>
      <c r="U34" s="288"/>
      <c r="V34" s="2025"/>
      <c r="W34" s="288"/>
      <c r="X34" s="288"/>
      <c r="Y34" s="288"/>
      <c r="Z34" s="288"/>
    </row>
    <row r="35" spans="1:26" ht="15.75" thickBot="1">
      <c r="A35" s="280"/>
      <c r="B35" s="1384"/>
      <c r="C35" s="1385">
        <f ca="1">ROUND(C32/('数据-汇总表'!D3/666.67),0)</f>
        <v>31</v>
      </c>
      <c r="D35" s="1386" t="s">
        <v>1686</v>
      </c>
      <c r="E35" s="3463"/>
      <c r="F35" s="297" t="s">
        <v>336</v>
      </c>
      <c r="G35" s="978"/>
      <c r="H35" s="977" t="s">
        <v>337</v>
      </c>
      <c r="I35" s="307"/>
      <c r="J35" s="2025"/>
      <c r="K35" s="3467" t="s">
        <v>344</v>
      </c>
      <c r="L35" s="3467" t="s">
        <v>345</v>
      </c>
      <c r="M35" s="1260" t="s">
        <v>346</v>
      </c>
      <c r="N35" s="3467" t="s">
        <v>347</v>
      </c>
      <c r="O35" s="3467" t="s">
        <v>348</v>
      </c>
      <c r="P35" s="2025"/>
      <c r="V35" s="2025"/>
    </row>
    <row r="36" spans="1:26" ht="16.5" customHeight="1">
      <c r="A36" s="299" t="s">
        <v>338</v>
      </c>
      <c r="B36" s="300" t="s">
        <v>327</v>
      </c>
      <c r="C36" s="301" t="s">
        <v>328</v>
      </c>
      <c r="D36" s="301" t="s">
        <v>340</v>
      </c>
      <c r="E36" s="302" t="s">
        <v>329</v>
      </c>
      <c r="F36" s="307"/>
      <c r="G36" s="307"/>
      <c r="H36" s="307"/>
      <c r="I36" s="307"/>
      <c r="J36" s="2027"/>
      <c r="K36" s="3468"/>
      <c r="L36" s="3468"/>
      <c r="M36" s="1262" t="s">
        <v>349</v>
      </c>
      <c r="N36" s="3468"/>
      <c r="O36" s="3468"/>
      <c r="P36" s="2025"/>
      <c r="V36" s="2025"/>
    </row>
    <row r="37" spans="1:26" ht="16.5" customHeight="1" thickBot="1">
      <c r="A37" s="1256" t="s">
        <v>342</v>
      </c>
      <c r="B37" s="303"/>
      <c r="C37" s="290"/>
      <c r="D37" s="290"/>
      <c r="E37" s="291"/>
      <c r="F37" s="307"/>
      <c r="G37" s="307"/>
      <c r="H37" s="307"/>
      <c r="I37" s="307"/>
      <c r="J37" s="2027"/>
      <c r="K37" s="3469"/>
      <c r="L37" s="3469"/>
      <c r="M37" s="1263"/>
      <c r="N37" s="3469"/>
      <c r="O37" s="3469"/>
      <c r="P37" s="2025"/>
      <c r="V37" s="2025"/>
    </row>
    <row r="38" spans="1:26" ht="16.5" customHeight="1" thickBot="1">
      <c r="A38" s="1256" t="s">
        <v>343</v>
      </c>
      <c r="B38" s="303"/>
      <c r="C38" s="290"/>
      <c r="D38" s="290"/>
      <c r="E38" s="291"/>
      <c r="F38" s="307"/>
      <c r="G38" s="307"/>
      <c r="H38" s="307"/>
      <c r="I38" s="307"/>
      <c r="J38" s="2027"/>
      <c r="K38" s="1264">
        <f>'数据-汇总表'!D3</f>
        <v>183040.85</v>
      </c>
      <c r="L38" s="1265">
        <f>'数据-汇总表'!E3</f>
        <v>709912</v>
      </c>
      <c r="M38" s="1265">
        <f ca="1">C34</f>
        <v>463</v>
      </c>
      <c r="N38" s="1265">
        <f ca="1">C33</f>
        <v>119</v>
      </c>
      <c r="O38" s="1266">
        <f ca="1">C32</f>
        <v>8479</v>
      </c>
      <c r="P38" s="2025"/>
      <c r="V38" s="2025"/>
    </row>
    <row r="39" spans="1:26" ht="16.5" customHeight="1" thickBot="1">
      <c r="A39" s="1261"/>
      <c r="B39" s="304"/>
      <c r="C39" s="305"/>
      <c r="D39" s="305"/>
      <c r="E39" s="306"/>
      <c r="F39" s="307"/>
      <c r="G39" s="307"/>
      <c r="H39" s="307"/>
      <c r="I39" s="307"/>
      <c r="J39" s="2027"/>
      <c r="K39" s="3444" t="str">
        <f>MID(A44,3,LEN(A44)-2)</f>
        <v/>
      </c>
      <c r="L39" s="3445"/>
      <c r="M39" s="3445"/>
      <c r="N39" s="3446"/>
      <c r="O39" s="1388" t="str">
        <f>C44</f>
        <v>——</v>
      </c>
      <c r="P39" s="2025"/>
      <c r="V39" s="2025"/>
    </row>
    <row r="40" spans="1:26" ht="19.5" thickBot="1">
      <c r="A40" s="104" t="s">
        <v>867</v>
      </c>
      <c r="B40" s="307"/>
      <c r="C40" s="307"/>
      <c r="D40" s="307"/>
      <c r="E40" s="307"/>
      <c r="F40" s="307"/>
      <c r="G40" s="307"/>
      <c r="H40" s="307"/>
      <c r="I40" s="307"/>
      <c r="J40" s="2027"/>
      <c r="K40" s="3444" t="str">
        <f t="shared" ref="K40:K41" si="0">MID(A45,3,LEN(A45)-2)</f>
        <v/>
      </c>
      <c r="L40" s="3445"/>
      <c r="M40" s="3445"/>
      <c r="N40" s="3446"/>
      <c r="O40" s="1388" t="str">
        <f>C45</f>
        <v>——</v>
      </c>
      <c r="P40" s="2025"/>
      <c r="V40" s="2025"/>
    </row>
    <row r="41" spans="1:26" ht="16.5" thickBot="1">
      <c r="A41" s="308" t="s">
        <v>350</v>
      </c>
      <c r="B41" s="309"/>
      <c r="C41" s="310" t="s">
        <v>351</v>
      </c>
      <c r="D41" s="311" t="s">
        <v>352</v>
      </c>
      <c r="E41" s="311" t="s">
        <v>353</v>
      </c>
      <c r="F41" s="312" t="s">
        <v>354</v>
      </c>
      <c r="G41" s="307"/>
      <c r="H41" s="307"/>
      <c r="I41" s="307"/>
      <c r="J41" s="2027"/>
      <c r="K41" s="3444" t="str">
        <f t="shared" si="0"/>
        <v/>
      </c>
      <c r="L41" s="3445"/>
      <c r="M41" s="3445"/>
      <c r="N41" s="3446"/>
      <c r="O41" s="1388" t="str">
        <f>C46</f>
        <v>——</v>
      </c>
      <c r="P41" s="2025"/>
      <c r="V41" s="2025"/>
    </row>
    <row r="42" spans="1:26" ht="29.25">
      <c r="A42" s="3504" t="s">
        <v>2062</v>
      </c>
      <c r="B42" s="3505"/>
      <c r="C42" s="263">
        <f ca="1">C32</f>
        <v>8479</v>
      </c>
      <c r="D42" s="313">
        <f ca="1">C33</f>
        <v>119</v>
      </c>
      <c r="E42" s="313">
        <f ca="1">C34</f>
        <v>463</v>
      </c>
      <c r="F42" s="314">
        <f ca="1">C35</f>
        <v>31</v>
      </c>
      <c r="G42" s="307"/>
      <c r="H42" s="307"/>
      <c r="I42" s="315"/>
      <c r="J42" s="2027"/>
      <c r="K42" s="1267" t="s">
        <v>355</v>
      </c>
      <c r="L42" s="2044" t="s">
        <v>356</v>
      </c>
      <c r="M42" s="1268" t="s">
        <v>357</v>
      </c>
      <c r="N42" s="2045" t="s">
        <v>358</v>
      </c>
      <c r="O42" s="2046" t="s">
        <v>359</v>
      </c>
      <c r="P42" s="2025"/>
      <c r="V42" s="2025"/>
    </row>
    <row r="43" spans="1:26" ht="30">
      <c r="A43" s="3514" t="s">
        <v>2725</v>
      </c>
      <c r="B43" s="3515"/>
      <c r="C43" s="263">
        <f>IF(H33="正常操作",G33+G34+G35,G34+G35)</f>
        <v>0</v>
      </c>
      <c r="D43" s="313" t="s">
        <v>43</v>
      </c>
      <c r="E43" s="313" t="s">
        <v>44</v>
      </c>
      <c r="F43" s="314" t="s">
        <v>44</v>
      </c>
      <c r="G43" s="2863" t="s">
        <v>946</v>
      </c>
      <c r="H43" s="307"/>
      <c r="I43" s="315"/>
      <c r="J43" s="2027"/>
      <c r="K43" s="1269" t="str">
        <f>C4</f>
        <v>基准地价-办公</v>
      </c>
      <c r="L43" s="1270">
        <f ca="1">IF(L42="估价结果/万元",C19,C20)</f>
        <v>7277</v>
      </c>
      <c r="M43" s="1271">
        <f>C18</f>
        <v>0.3</v>
      </c>
      <c r="N43" s="1272">
        <f ca="1">IF(N42="测算结果/万元",G19,G20)</f>
        <v>8479</v>
      </c>
      <c r="O43" s="1273">
        <f ca="1">IF(O42="最终结果/万元",C32,C33)</f>
        <v>8479</v>
      </c>
      <c r="P43" s="2025"/>
      <c r="V43" s="2025"/>
    </row>
    <row r="44" spans="1:26" ht="18.75" thickBot="1">
      <c r="A44" s="3504" t="str">
        <f>IF(OR(项目基本情况!E8="抵押价格",项目基本情况!E8="已注销及未注销"),"3.抵押价格","——")</f>
        <v>——</v>
      </c>
      <c r="B44" s="3505"/>
      <c r="C44" s="263" t="str">
        <f>IF(A44="——","——",C42-C43)</f>
        <v>——</v>
      </c>
      <c r="D44" s="313" t="e">
        <f>ROUND(C44*10000/'数据-汇总表'!E3,0)</f>
        <v>#VALUE!</v>
      </c>
      <c r="E44" s="313" t="e">
        <f>ROUND(C44*10000/'数据-汇总表'!D3,0)</f>
        <v>#VALUE!</v>
      </c>
      <c r="F44" s="314" t="e">
        <f>ROUND(C44/('数据-汇总表'!D3/666.67),0)</f>
        <v>#VALUE!</v>
      </c>
      <c r="G44" s="307"/>
      <c r="H44" s="307"/>
      <c r="I44" s="315"/>
      <c r="J44" s="2027"/>
      <c r="K44" s="1274" t="str">
        <f>D4</f>
        <v>剩余法-办公</v>
      </c>
      <c r="L44" s="1275">
        <f ca="1">IF(L42="估价结果/万元",D19,D20)</f>
        <v>8994</v>
      </c>
      <c r="M44" s="1276">
        <f>D18</f>
        <v>0.7</v>
      </c>
      <c r="N44" s="1277"/>
      <c r="O44" s="1278"/>
      <c r="P44" s="2025"/>
      <c r="V44" s="2025"/>
    </row>
    <row r="45" spans="1:26" ht="15">
      <c r="A45" s="3509" t="str">
        <f>IF(项目基本情况!E8="已注销及未注销","4.抵押担保权已注销时的抵押价格",IF(项目基本情况!E8="已注销","3.抵押担保权已注销时的抵押价格","——"))</f>
        <v>——</v>
      </c>
      <c r="B45" s="3510"/>
      <c r="C45" s="180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7"/>
      <c r="K45" s="2025"/>
      <c r="L45" s="2025"/>
      <c r="M45" s="2025"/>
      <c r="N45" s="2025"/>
      <c r="O45" s="2025"/>
      <c r="P45" s="2025"/>
      <c r="V45" s="2025"/>
    </row>
    <row r="46" spans="1:26" ht="15.75" thickBot="1">
      <c r="A46" s="3506" t="str">
        <f>IF(项目基本情况!E9="抵押净值",IF(A45="——","4.抵押净值","5.抵押净值"),"——")</f>
        <v>——</v>
      </c>
      <c r="B46" s="3507"/>
      <c r="C46" s="316" t="str">
        <f>IF(A46="——","——",O79)</f>
        <v>——</v>
      </c>
      <c r="D46" s="313" t="e">
        <f>ROUND(C46*10000/'数据-汇总表'!E3,0)</f>
        <v>#VALUE!</v>
      </c>
      <c r="E46" s="313" t="e">
        <f>ROUND(C46*10000/'数据-汇总表'!D3,0)</f>
        <v>#VALUE!</v>
      </c>
      <c r="F46" s="314" t="e">
        <f>ROUND(C46/('数据-汇总表'!D3/666.67),0)</f>
        <v>#VALUE!</v>
      </c>
      <c r="G46" s="307"/>
      <c r="H46" s="307"/>
      <c r="I46" s="315"/>
      <c r="J46" s="2027"/>
      <c r="K46" s="2025"/>
      <c r="L46" s="2025"/>
      <c r="M46" s="2025"/>
      <c r="N46" s="2025"/>
      <c r="O46" s="2025"/>
      <c r="P46" s="2025"/>
      <c r="Q46" s="2025"/>
      <c r="R46" s="2025"/>
      <c r="S46" s="2025"/>
      <c r="T46" s="2025"/>
      <c r="U46" s="2025"/>
      <c r="V46" s="2025"/>
    </row>
    <row r="47" spans="1:26" ht="15.75">
      <c r="A47" s="317" t="s">
        <v>360</v>
      </c>
      <c r="B47" s="1279"/>
      <c r="C47" s="318" t="s">
        <v>361</v>
      </c>
      <c r="D47" s="319"/>
      <c r="E47" s="319"/>
      <c r="F47" s="319"/>
      <c r="G47" s="320"/>
      <c r="H47" s="321"/>
      <c r="I47" s="322"/>
      <c r="J47" s="2027"/>
      <c r="K47" s="307"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3">
        <v>1</v>
      </c>
      <c r="B48" s="324"/>
      <c r="C48" s="324"/>
      <c r="D48" s="319"/>
      <c r="E48" s="319"/>
      <c r="F48" s="319"/>
      <c r="G48" s="319"/>
      <c r="H48" s="325"/>
      <c r="I48" s="326"/>
      <c r="J48" s="2027"/>
      <c r="K48" s="2025"/>
      <c r="L48" s="2025"/>
      <c r="M48" s="2025"/>
      <c r="N48" s="2025"/>
      <c r="O48" s="2025"/>
      <c r="P48" s="2025"/>
      <c r="Q48" s="2025"/>
      <c r="R48" s="2025"/>
      <c r="S48" s="2025"/>
      <c r="T48" s="2025"/>
      <c r="U48" s="2025"/>
      <c r="V48" s="2025"/>
    </row>
    <row r="49" spans="1:22" ht="12.75">
      <c r="A49" s="323">
        <v>2</v>
      </c>
      <c r="B49" s="324"/>
      <c r="C49" s="324"/>
      <c r="D49" s="319"/>
      <c r="E49" s="319"/>
      <c r="F49" s="319"/>
      <c r="G49" s="319"/>
      <c r="H49" s="325"/>
      <c r="I49" s="326"/>
      <c r="J49" s="2028"/>
      <c r="K49" s="2025"/>
      <c r="L49" s="2025"/>
      <c r="M49" s="2025"/>
      <c r="N49" s="2025"/>
      <c r="O49" s="2025"/>
      <c r="P49" s="2025"/>
      <c r="Q49" s="2025"/>
      <c r="R49" s="2025"/>
      <c r="S49" s="2025"/>
      <c r="T49" s="2025"/>
      <c r="U49" s="2025"/>
      <c r="V49" s="2025"/>
    </row>
    <row r="50" spans="1:22" ht="12.75">
      <c r="A50" s="323">
        <v>3</v>
      </c>
      <c r="B50" s="324"/>
      <c r="C50" s="324"/>
      <c r="D50" s="319"/>
      <c r="E50" s="319"/>
      <c r="F50" s="319"/>
      <c r="G50" s="319"/>
      <c r="H50" s="325"/>
      <c r="I50" s="326"/>
      <c r="J50" s="2028"/>
      <c r="K50" s="2025"/>
      <c r="L50" s="2025"/>
      <c r="M50" s="2025"/>
      <c r="N50" s="2025"/>
      <c r="O50" s="2025"/>
      <c r="P50" s="2025"/>
      <c r="Q50" s="2025"/>
      <c r="R50" s="2025"/>
      <c r="S50" s="2025"/>
      <c r="T50" s="2025"/>
      <c r="U50" s="2025"/>
      <c r="V50" s="2025"/>
    </row>
    <row r="51" spans="1:22" ht="12.75">
      <c r="A51" s="327"/>
      <c r="B51" s="328"/>
      <c r="C51" s="328"/>
      <c r="D51" s="329"/>
      <c r="E51" s="329"/>
      <c r="F51" s="329"/>
      <c r="G51" s="329"/>
      <c r="H51" s="330"/>
      <c r="I51" s="331"/>
      <c r="J51" s="2028"/>
      <c r="K51" s="2025"/>
      <c r="L51" s="2025"/>
      <c r="M51" s="2025"/>
      <c r="N51" s="2025"/>
      <c r="O51" s="2025"/>
      <c r="P51" s="2025"/>
      <c r="Q51" s="2025"/>
      <c r="R51" s="2025"/>
      <c r="S51" s="2025"/>
      <c r="T51" s="2025"/>
      <c r="U51" s="2025"/>
      <c r="V51" s="2025"/>
    </row>
    <row r="52" spans="1:22" ht="12.75">
      <c r="A52" s="324"/>
      <c r="B52" s="324"/>
      <c r="C52" s="324"/>
      <c r="D52" s="319"/>
      <c r="E52" s="319"/>
      <c r="F52" s="319"/>
      <c r="G52" s="319"/>
      <c r="H52" s="325"/>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2" t="s">
        <v>362</v>
      </c>
      <c r="G53" s="333"/>
      <c r="H53" s="333"/>
      <c r="I53" s="334" t="s">
        <v>363</v>
      </c>
      <c r="J53" s="2028"/>
      <c r="K53" s="2025"/>
      <c r="L53" s="2025"/>
      <c r="M53" s="2025"/>
      <c r="N53" s="2025"/>
      <c r="O53" s="2025"/>
      <c r="P53" s="2025"/>
      <c r="Q53" s="2025"/>
      <c r="R53" s="2025"/>
      <c r="S53" s="2025"/>
      <c r="T53" s="2025"/>
      <c r="U53" s="2025"/>
      <c r="V53" s="2025"/>
    </row>
    <row r="54" spans="1:22" ht="12.75">
      <c r="A54" s="256"/>
      <c r="B54" s="335" t="s">
        <v>364</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3"/>
      <c r="C56" s="333"/>
      <c r="D56" s="333"/>
      <c r="E56" s="333"/>
      <c r="F56" s="333"/>
      <c r="G56" s="333"/>
      <c r="H56" s="333"/>
      <c r="I56" s="334" t="s">
        <v>365</v>
      </c>
      <c r="J56" s="2028"/>
      <c r="K56" s="2025"/>
      <c r="L56" s="2025"/>
      <c r="M56" s="2025"/>
      <c r="N56" s="2025"/>
      <c r="O56" s="2025"/>
      <c r="P56" s="2025"/>
      <c r="Q56" s="2025"/>
      <c r="R56" s="2025"/>
      <c r="S56" s="2025"/>
      <c r="T56" s="2025"/>
      <c r="U56" s="2025"/>
      <c r="V56" s="2025"/>
    </row>
    <row r="57" spans="1:22" ht="12.75">
      <c r="A57" s="256"/>
      <c r="B57" s="335" t="s">
        <v>366</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5"/>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3"/>
      <c r="C59" s="333"/>
      <c r="D59" s="333"/>
      <c r="E59" s="333"/>
      <c r="F59" s="333"/>
      <c r="G59" s="333"/>
      <c r="H59" s="333"/>
      <c r="I59" s="334" t="s">
        <v>365</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5"/>
      <c r="C61" s="336"/>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0" t="s">
        <v>367</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472" t="s">
        <v>368</v>
      </c>
      <c r="B63" s="3473"/>
      <c r="C63" s="3474"/>
      <c r="D63" s="337">
        <f ca="1">ROUND(C42*F63,0)</f>
        <v>5087</v>
      </c>
      <c r="E63" s="298" t="s">
        <v>369</v>
      </c>
      <c r="F63" s="338">
        <v>0.6</v>
      </c>
      <c r="G63" s="339" t="s">
        <v>370</v>
      </c>
      <c r="H63" s="307"/>
      <c r="I63" s="307"/>
      <c r="J63" s="2025"/>
      <c r="K63" s="2025"/>
      <c r="L63" s="2025"/>
      <c r="M63" s="2025"/>
      <c r="N63" s="2025"/>
      <c r="O63" s="2025"/>
      <c r="P63" s="307"/>
      <c r="Q63" s="2025"/>
      <c r="R63" s="2025"/>
      <c r="S63" s="2025"/>
      <c r="T63" s="2025"/>
      <c r="U63" s="2025"/>
      <c r="V63" s="2025"/>
    </row>
    <row r="64" spans="1:22" ht="14.25" customHeight="1">
      <c r="A64" s="3511" t="s">
        <v>372</v>
      </c>
      <c r="B64" s="3512"/>
      <c r="C64" s="3512"/>
      <c r="D64" s="3512"/>
      <c r="E64" s="3512"/>
      <c r="F64" s="3512"/>
      <c r="G64" s="3513"/>
      <c r="H64" s="1284"/>
      <c r="I64" s="944"/>
      <c r="J64" s="1987"/>
      <c r="K64" s="1557" t="s">
        <v>371</v>
      </c>
      <c r="L64" s="11"/>
      <c r="M64" s="11"/>
      <c r="N64" s="11"/>
      <c r="O64" s="11"/>
      <c r="P64" s="307"/>
      <c r="Q64" s="2025"/>
      <c r="R64" s="2025"/>
      <c r="S64" s="2025"/>
      <c r="T64" s="2025"/>
      <c r="U64" s="2025"/>
      <c r="V64" s="2025"/>
    </row>
    <row r="65" spans="1:22" ht="12" customHeight="1">
      <c r="A65" s="340" t="s">
        <v>374</v>
      </c>
      <c r="B65" s="341"/>
      <c r="C65" s="342"/>
      <c r="D65" s="343" t="s">
        <v>375</v>
      </c>
      <c r="E65" s="53" t="s">
        <v>376</v>
      </c>
      <c r="F65" s="344" t="s">
        <v>377</v>
      </c>
      <c r="G65" s="345" t="s">
        <v>378</v>
      </c>
      <c r="H65" s="1284"/>
      <c r="I65" s="944"/>
      <c r="J65" s="1987"/>
      <c r="K65" s="1285"/>
      <c r="L65" s="1286"/>
      <c r="M65" s="1286"/>
      <c r="N65" s="1318" t="s">
        <v>373</v>
      </c>
      <c r="O65" s="1319"/>
      <c r="P65" s="1320"/>
      <c r="Q65" s="2025"/>
      <c r="R65" s="2025"/>
      <c r="S65" s="2025"/>
      <c r="T65" s="2025"/>
      <c r="U65" s="2025"/>
      <c r="V65" s="2025"/>
    </row>
    <row r="66" spans="1:22" ht="25.5">
      <c r="A66" s="3508" t="s">
        <v>380</v>
      </c>
      <c r="B66" s="3479"/>
      <c r="C66" s="3479"/>
      <c r="D66" s="260">
        <f ca="1">IF(H66="情况1",0,IF(H66="情况2",D70,IF(H66="情况3",D71,IF(H66="情况4",D72))))</f>
        <v>271</v>
      </c>
      <c r="E66" s="3236" t="str">
        <f>IF(H66="情况4","(销售额-原购置价)×税（费）率","销售额×税（费）率")</f>
        <v>销售额×税（费）率</v>
      </c>
      <c r="F66" s="346">
        <f>IF(H66="情况1","免征",'数据-取费表'!B41)</f>
        <v>5.6000000000000001E-2</v>
      </c>
      <c r="G66" s="347" t="s">
        <v>381</v>
      </c>
      <c r="H66" s="190" t="s">
        <v>382</v>
      </c>
      <c r="I66" s="1284"/>
      <c r="J66" s="2031"/>
      <c r="K66" s="3247">
        <v>1</v>
      </c>
      <c r="L66" s="3448" t="s">
        <v>379</v>
      </c>
      <c r="M66" s="3449"/>
      <c r="N66" s="2455"/>
      <c r="O66" s="2456"/>
      <c r="P66" s="2457"/>
      <c r="Q66" s="2025"/>
      <c r="R66" s="2025"/>
      <c r="S66" s="2025"/>
      <c r="T66" s="2025"/>
      <c r="U66" s="2025"/>
      <c r="V66" s="2025"/>
    </row>
    <row r="67" spans="1:22" ht="25.5" customHeight="1">
      <c r="A67" s="348" t="s">
        <v>384</v>
      </c>
      <c r="B67" s="3491" t="s">
        <v>385</v>
      </c>
      <c r="C67" s="3491"/>
      <c r="D67" s="349">
        <v>0</v>
      </c>
      <c r="E67" s="41" t="s">
        <v>386</v>
      </c>
      <c r="F67" s="62" t="s">
        <v>21</v>
      </c>
      <c r="G67" s="3475"/>
      <c r="H67" s="307"/>
      <c r="I67" s="1288"/>
      <c r="J67" s="2032"/>
      <c r="K67" s="3244">
        <v>2</v>
      </c>
      <c r="L67" s="3447" t="s">
        <v>383</v>
      </c>
      <c r="M67" s="3447"/>
      <c r="N67" s="1321">
        <f>'数据-取费表'!B2</f>
        <v>43388</v>
      </c>
      <c r="O67" s="1321"/>
      <c r="P67" s="1321"/>
      <c r="Q67" s="2025"/>
      <c r="R67" s="2025"/>
      <c r="S67" s="2025"/>
      <c r="T67" s="2025"/>
      <c r="U67" s="2025"/>
      <c r="V67" s="2025"/>
    </row>
    <row r="68" spans="1:22" ht="25.5" customHeight="1">
      <c r="A68" s="350"/>
      <c r="B68" s="3491" t="s">
        <v>388</v>
      </c>
      <c r="C68" s="3491"/>
      <c r="D68" s="351"/>
      <c r="E68" s="77"/>
      <c r="F68" s="352"/>
      <c r="G68" s="3476"/>
      <c r="H68" s="307"/>
      <c r="I68" s="1288"/>
      <c r="J68" s="2032"/>
      <c r="K68" s="3244">
        <v>3</v>
      </c>
      <c r="L68" s="3447" t="s">
        <v>387</v>
      </c>
      <c r="M68" s="3447"/>
      <c r="N68" s="1289">
        <f ca="1">C42</f>
        <v>8479</v>
      </c>
      <c r="O68" s="1289"/>
      <c r="P68" s="1289"/>
      <c r="Q68" s="2025"/>
      <c r="R68" s="2025"/>
      <c r="S68" s="2025"/>
      <c r="T68" s="2025"/>
      <c r="U68" s="2025"/>
      <c r="V68" s="2025"/>
    </row>
    <row r="69" spans="1:22" ht="12" customHeight="1">
      <c r="A69" s="353"/>
      <c r="B69" s="3491" t="s">
        <v>389</v>
      </c>
      <c r="C69" s="3491"/>
      <c r="D69" s="354"/>
      <c r="E69" s="73"/>
      <c r="F69" s="352"/>
      <c r="G69" s="3477"/>
      <c r="H69" s="307"/>
      <c r="I69" s="1288"/>
      <c r="J69" s="2032"/>
      <c r="K69" s="3246">
        <v>4</v>
      </c>
      <c r="L69" s="3453" t="s">
        <v>2878</v>
      </c>
      <c r="M69" s="3454"/>
      <c r="N69" s="1291" t="str">
        <f>C44</f>
        <v>——</v>
      </c>
      <c r="O69" s="1291"/>
      <c r="P69" s="1291"/>
      <c r="Q69" s="2025"/>
      <c r="R69" s="2025"/>
      <c r="S69" s="2025"/>
      <c r="T69" s="2025"/>
      <c r="U69" s="2025"/>
      <c r="V69" s="2025"/>
    </row>
    <row r="70" spans="1:22" ht="24" customHeight="1">
      <c r="A70" s="355" t="s">
        <v>390</v>
      </c>
      <c r="B70" s="3491" t="s">
        <v>391</v>
      </c>
      <c r="C70" s="3491"/>
      <c r="D70" s="354">
        <f ca="1">ROUND(D63*'数据-取费表'!B41/(1+'数据-取费表'!C42),0)</f>
        <v>271</v>
      </c>
      <c r="E70" s="17" t="s">
        <v>392</v>
      </c>
      <c r="F70" s="356">
        <f>'数据-取费表'!B41</f>
        <v>5.6000000000000001E-2</v>
      </c>
      <c r="G70" s="357"/>
      <c r="H70" s="307"/>
      <c r="I70" s="1288"/>
      <c r="J70" s="2032"/>
      <c r="K70" s="3056"/>
      <c r="L70" s="3057"/>
      <c r="M70" s="3057"/>
      <c r="N70" s="3058" t="s">
        <v>2883</v>
      </c>
      <c r="O70" s="3057"/>
      <c r="P70" s="3059"/>
      <c r="Q70" s="2025"/>
      <c r="R70" s="2025"/>
      <c r="S70" s="2025"/>
      <c r="T70" s="2025"/>
      <c r="U70" s="2025"/>
      <c r="V70" s="2025"/>
    </row>
    <row r="71" spans="1:22" ht="12" customHeight="1">
      <c r="A71" s="355" t="s">
        <v>398</v>
      </c>
      <c r="B71" s="3490" t="s">
        <v>399</v>
      </c>
      <c r="C71" s="3502"/>
      <c r="D71" s="354">
        <f ca="1">ROUND(D63*'数据-取费表'!B41/(1+'数据-取费表'!C42),0)</f>
        <v>271</v>
      </c>
      <c r="E71" s="17" t="s">
        <v>392</v>
      </c>
      <c r="F71" s="356">
        <f>'数据-取费表'!B41</f>
        <v>5.6000000000000001E-2</v>
      </c>
      <c r="G71" s="357"/>
      <c r="H71" s="307"/>
      <c r="I71" s="1288"/>
      <c r="J71" s="2032"/>
      <c r="K71" s="3248" t="s">
        <v>393</v>
      </c>
      <c r="L71" s="3455" t="s">
        <v>394</v>
      </c>
      <c r="M71" s="3455"/>
      <c r="N71" s="3248" t="s">
        <v>395</v>
      </c>
      <c r="O71" s="3248" t="s">
        <v>396</v>
      </c>
      <c r="P71" s="3248" t="s">
        <v>397</v>
      </c>
      <c r="Q71" s="2025"/>
      <c r="R71" s="2025"/>
      <c r="S71" s="2025"/>
      <c r="T71" s="2025"/>
      <c r="U71" s="2025"/>
      <c r="V71" s="2025"/>
    </row>
    <row r="72" spans="1:22" ht="12" customHeight="1">
      <c r="A72" s="355" t="s">
        <v>401</v>
      </c>
      <c r="B72" s="3490" t="s">
        <v>402</v>
      </c>
      <c r="C72" s="3502"/>
      <c r="D72" s="354">
        <f ca="1">C86</f>
        <v>159</v>
      </c>
      <c r="E72" s="73" t="s">
        <v>403</v>
      </c>
      <c r="F72" s="356">
        <f>'数据-取费表'!B41</f>
        <v>5.6000000000000001E-2</v>
      </c>
      <c r="G72" s="357"/>
      <c r="H72" s="1294"/>
      <c r="I72" s="1288"/>
      <c r="J72" s="2032"/>
      <c r="K72" s="3244">
        <v>1</v>
      </c>
      <c r="L72" s="3452" t="s">
        <v>400</v>
      </c>
      <c r="M72" s="3452"/>
      <c r="N72" s="1292">
        <f ca="1">D66</f>
        <v>271</v>
      </c>
      <c r="O72" s="3243" t="str">
        <f>E66</f>
        <v>销售额×税（费）率</v>
      </c>
      <c r="P72" s="1293">
        <f>F66</f>
        <v>5.6000000000000001E-2</v>
      </c>
      <c r="Q72" s="2025"/>
      <c r="R72" s="2025"/>
      <c r="S72" s="2025"/>
      <c r="T72" s="2025"/>
      <c r="U72" s="2025"/>
      <c r="V72" s="2025"/>
    </row>
    <row r="73" spans="1:22" ht="24" customHeight="1">
      <c r="A73" s="3478" t="s">
        <v>405</v>
      </c>
      <c r="B73" s="3479"/>
      <c r="C73" s="3479"/>
      <c r="D73" s="358">
        <f>IF(H73="个人住宅",0,ROUND(D63*I73,0))</f>
        <v>0</v>
      </c>
      <c r="E73" s="17" t="s">
        <v>406</v>
      </c>
      <c r="F73" s="356" t="str">
        <f>IF(H73="正常",I73,"免征")</f>
        <v>免征</v>
      </c>
      <c r="G73" s="357"/>
      <c r="H73" s="190" t="s">
        <v>2450</v>
      </c>
      <c r="I73" s="356">
        <f>'数据-取费表'!B49</f>
        <v>5.0000000000000001E-4</v>
      </c>
      <c r="J73" s="2032"/>
      <c r="K73" s="3244">
        <v>2</v>
      </c>
      <c r="L73" s="3452" t="s">
        <v>404</v>
      </c>
      <c r="M73" s="3452"/>
      <c r="N73" s="1292">
        <f t="shared" ref="N73:P74" si="1">D73</f>
        <v>0</v>
      </c>
      <c r="O73" s="3243" t="str">
        <f t="shared" si="1"/>
        <v>销售额×税（费）率</v>
      </c>
      <c r="P73" s="1293" t="str">
        <f t="shared" si="1"/>
        <v>免征</v>
      </c>
      <c r="Q73" s="2025"/>
      <c r="R73" s="2025"/>
      <c r="S73" s="2025"/>
      <c r="T73" s="2025"/>
      <c r="U73" s="2025"/>
      <c r="V73" s="2025"/>
    </row>
    <row r="74" spans="1:22" ht="24.75">
      <c r="A74" s="3478" t="s">
        <v>409</v>
      </c>
      <c r="B74" s="3479"/>
      <c r="C74" s="3479"/>
      <c r="D74" s="358">
        <f ca="1">IF(H74="个人住宅",D75,D76)</f>
        <v>2224</v>
      </c>
      <c r="E74" s="17" t="s">
        <v>410</v>
      </c>
      <c r="F74" s="356" t="str">
        <f>IF(H74="正常",F76,"免征")</f>
        <v>——</v>
      </c>
      <c r="G74" s="979" t="s">
        <v>411</v>
      </c>
      <c r="H74" s="359" t="s">
        <v>407</v>
      </c>
      <c r="I74" s="42"/>
      <c r="J74" s="2032"/>
      <c r="K74" s="3244">
        <v>3</v>
      </c>
      <c r="L74" s="3452" t="s">
        <v>408</v>
      </c>
      <c r="M74" s="3452"/>
      <c r="N74" s="1292">
        <f t="shared" ca="1" si="1"/>
        <v>2224</v>
      </c>
      <c r="O74" s="3243" t="str">
        <f t="shared" si="1"/>
        <v>增值额×税（费）率</v>
      </c>
      <c r="P74" s="1295" t="str">
        <f t="shared" si="1"/>
        <v>——</v>
      </c>
      <c r="Q74" s="2025"/>
      <c r="R74" s="2025"/>
      <c r="S74" s="2025"/>
      <c r="T74" s="2025"/>
      <c r="U74" s="2025"/>
      <c r="V74" s="2025"/>
    </row>
    <row r="75" spans="1:22" ht="24">
      <c r="A75" s="355" t="s">
        <v>412</v>
      </c>
      <c r="B75" s="3459" t="s">
        <v>413</v>
      </c>
      <c r="C75" s="3460"/>
      <c r="D75" s="360">
        <v>0</v>
      </c>
      <c r="E75" s="41" t="s">
        <v>386</v>
      </c>
      <c r="F75" s="361"/>
      <c r="G75" s="357"/>
      <c r="H75" s="42"/>
      <c r="I75" s="42"/>
      <c r="J75" s="2032"/>
      <c r="K75" s="3244">
        <f>IF(H77="非个人房产","",4)</f>
        <v>4</v>
      </c>
      <c r="L75" s="3452" t="str">
        <f>IF(H77="非个人房产","——","个人所得税")</f>
        <v>个人所得税</v>
      </c>
      <c r="M75" s="3452"/>
      <c r="N75" s="1296">
        <f ca="1">D77</f>
        <v>51</v>
      </c>
      <c r="O75" s="1869" t="str">
        <f>E77</f>
        <v>销售额×税（费）率</v>
      </c>
      <c r="P75" s="1297">
        <f>F77</f>
        <v>0.01</v>
      </c>
      <c r="Q75" s="2025"/>
      <c r="R75" s="2025"/>
      <c r="S75" s="2025"/>
      <c r="T75" s="2025"/>
      <c r="U75" s="2025"/>
      <c r="V75" s="2025"/>
    </row>
    <row r="76" spans="1:22" ht="24.75">
      <c r="A76" s="355" t="s">
        <v>390</v>
      </c>
      <c r="B76" s="3459" t="s">
        <v>416</v>
      </c>
      <c r="C76" s="3501"/>
      <c r="D76" s="358">
        <f ca="1">IF(H76="转让取得",C99,C115)</f>
        <v>2224</v>
      </c>
      <c r="E76" s="17" t="s">
        <v>410</v>
      </c>
      <c r="F76" s="53" t="s">
        <v>21</v>
      </c>
      <c r="G76" s="357"/>
      <c r="H76" s="359" t="s">
        <v>418</v>
      </c>
      <c r="I76" s="42"/>
      <c r="J76" s="2032"/>
      <c r="K76" s="3244" t="str">
        <f>IF(项目基本情况!K6="上海银行",IF(K75="",4,K75+1),"")</f>
        <v/>
      </c>
      <c r="L76" s="3440" t="str">
        <f>IF(项目基本情况!K6="上海银行","其他处置费用","")</f>
        <v/>
      </c>
      <c r="M76" s="3441"/>
      <c r="N76" s="1292" t="str">
        <f>IF(项目基本情况!K6="上海银行",N89,"")</f>
        <v/>
      </c>
      <c r="O76" s="3442" t="str">
        <f>IF(项目基本情况!K6="上海银行","包含处置中涉及的律师、诉讼、拍卖、评估等费用","")</f>
        <v/>
      </c>
      <c r="P76" s="3443"/>
      <c r="Q76" s="2025"/>
      <c r="R76" s="2025"/>
      <c r="S76" s="2025"/>
      <c r="T76" s="2025"/>
      <c r="U76" s="2025"/>
      <c r="V76" s="2025"/>
    </row>
    <row r="77" spans="1:22" ht="26.25" thickBot="1">
      <c r="A77" s="3470" t="s">
        <v>420</v>
      </c>
      <c r="B77" s="3471"/>
      <c r="C77" s="3471"/>
      <c r="D77" s="362">
        <f ca="1">IF(H77="非个人房产","——",IF(H77="个人住宅",0,ROUND(D63*I77,0)))</f>
        <v>51</v>
      </c>
      <c r="E77" s="363" t="str">
        <f>IF(H77="非个人房产","——","销售额×税（费）率")</f>
        <v>销售额×税（费）率</v>
      </c>
      <c r="F77" s="364">
        <f>IF(H77="非个人房产","——",IF(H77="个人住宅","免征",I77))</f>
        <v>0.01</v>
      </c>
      <c r="G77" s="980" t="s">
        <v>411</v>
      </c>
      <c r="H77" s="359" t="s">
        <v>2879</v>
      </c>
      <c r="I77" s="365">
        <v>0.01</v>
      </c>
      <c r="J77" s="2032"/>
      <c r="K77" s="3466">
        <f>IF(AND(K75="",K76=""),4,IF(项目基本情况!K6="上海银行",K76+1,K75+1))</f>
        <v>5</v>
      </c>
      <c r="L77" s="3452" t="s">
        <v>2880</v>
      </c>
      <c r="M77" s="3054" t="s">
        <v>415</v>
      </c>
      <c r="N77" s="1298"/>
      <c r="O77" s="1299">
        <f ca="1">SUMIF(N72:N76,"&lt;9e307")</f>
        <v>2546</v>
      </c>
      <c r="P77" s="1300"/>
      <c r="Q77" s="3052" t="e">
        <f ca="1">O77/N69</f>
        <v>#VALUE!</v>
      </c>
      <c r="R77" s="2025"/>
      <c r="S77" s="2025"/>
      <c r="T77" s="2025"/>
      <c r="U77" s="2025"/>
      <c r="V77" s="2025"/>
    </row>
    <row r="78" spans="1:22" ht="12" customHeight="1">
      <c r="A78" s="1301"/>
      <c r="B78" s="307"/>
      <c r="C78" s="307"/>
      <c r="D78" s="307"/>
      <c r="E78" s="42"/>
      <c r="F78" s="42"/>
      <c r="G78" s="42"/>
      <c r="H78" s="999"/>
      <c r="I78" s="307"/>
      <c r="J78" s="2032"/>
      <c r="K78" s="3466"/>
      <c r="L78" s="3452"/>
      <c r="M78" s="3054" t="s">
        <v>419</v>
      </c>
      <c r="N78" s="1298"/>
      <c r="O78" s="1299" t="str">
        <f ca="1">NUMBERSTRING(INT(O77*10000),2)&amp;"元整"</f>
        <v>贰仟伍佰肆拾陆万元整</v>
      </c>
      <c r="P78" s="1300"/>
      <c r="Q78" s="2025"/>
      <c r="R78" s="2025"/>
      <c r="S78" s="2025"/>
      <c r="T78" s="2025"/>
      <c r="U78" s="2025"/>
      <c r="V78" s="2025"/>
    </row>
    <row r="79" spans="1:22" ht="13.5" thickBot="1">
      <c r="A79" s="3456" t="s">
        <v>421</v>
      </c>
      <c r="B79" s="3456"/>
      <c r="C79" s="3456"/>
      <c r="D79" s="3456"/>
      <c r="E79" s="3456"/>
      <c r="F79" s="42"/>
      <c r="G79" s="42"/>
      <c r="H79" s="999"/>
      <c r="I79" s="307"/>
      <c r="J79" s="2032"/>
      <c r="K79" s="3450">
        <f>K77+1</f>
        <v>6</v>
      </c>
      <c r="L79" s="3452" t="s">
        <v>2881</v>
      </c>
      <c r="M79" s="3054" t="s">
        <v>415</v>
      </c>
      <c r="N79" s="1298"/>
      <c r="O79" s="1299" t="e">
        <f ca="1">N69-O77</f>
        <v>#VALUE!</v>
      </c>
      <c r="P79" s="1300"/>
      <c r="Q79" s="2025"/>
      <c r="R79" s="2025"/>
      <c r="S79" s="2025"/>
      <c r="T79" s="2025"/>
      <c r="U79" s="2025"/>
      <c r="V79" s="2025"/>
    </row>
    <row r="80" spans="1:22" ht="12.75">
      <c r="A80" s="3457" t="s">
        <v>422</v>
      </c>
      <c r="B80" s="3458"/>
      <c r="C80" s="3242"/>
      <c r="D80" s="3242" t="s">
        <v>423</v>
      </c>
      <c r="E80" s="366" t="s">
        <v>424</v>
      </c>
      <c r="F80" s="42"/>
      <c r="G80" s="42"/>
      <c r="H80" s="999"/>
      <c r="I80" s="307"/>
      <c r="J80" s="2025"/>
      <c r="K80" s="3451"/>
      <c r="L80" s="3452"/>
      <c r="M80" s="3054" t="s">
        <v>419</v>
      </c>
      <c r="N80" s="1298"/>
      <c r="O80" s="1299" t="e">
        <f ca="1">NUMBERSTRING(INT(O79*10000),2)&amp;"元整"</f>
        <v>#VALUE!</v>
      </c>
      <c r="P80" s="1300"/>
      <c r="Q80" s="2025"/>
      <c r="R80" s="2025"/>
      <c r="S80" s="2025"/>
      <c r="T80" s="2025"/>
      <c r="U80" s="2025"/>
      <c r="V80" s="2025"/>
    </row>
    <row r="81" spans="1:26" ht="13.5" thickBot="1">
      <c r="A81" s="377" t="s">
        <v>1816</v>
      </c>
      <c r="B81" s="367" t="s">
        <v>425</v>
      </c>
      <c r="C81" s="368">
        <f ca="1">ROUND((C82+C83)/(1+'数据-取费表'!C42),0)</f>
        <v>4845</v>
      </c>
      <c r="D81" s="369"/>
      <c r="E81" s="370"/>
      <c r="F81" s="42"/>
      <c r="G81" s="42"/>
      <c r="H81" s="999"/>
      <c r="I81" s="307"/>
      <c r="J81" s="2025"/>
      <c r="K81" s="3244">
        <f>K79+1</f>
        <v>7</v>
      </c>
      <c r="L81" s="3464" t="s">
        <v>2882</v>
      </c>
      <c r="M81" s="3465"/>
      <c r="N81" s="1302"/>
      <c r="O81" s="1303" t="e">
        <f ca="1">ROUND(O79*10000/'数据-汇总表'!E3,0)</f>
        <v>#VALUE!</v>
      </c>
      <c r="P81" s="1304"/>
      <c r="Q81" s="2025"/>
      <c r="R81" s="2025"/>
      <c r="S81" s="2025"/>
      <c r="T81" s="2025"/>
      <c r="U81" s="2025"/>
      <c r="V81" s="2025"/>
    </row>
    <row r="82" spans="1:26" ht="13.5" thickTop="1">
      <c r="A82" s="371" t="s">
        <v>1817</v>
      </c>
      <c r="B82" s="372" t="s">
        <v>426</v>
      </c>
      <c r="C82" s="373">
        <f ca="1">D63</f>
        <v>5087</v>
      </c>
      <c r="D82" s="374" t="s">
        <v>19</v>
      </c>
      <c r="E82" s="375"/>
      <c r="F82" s="42"/>
      <c r="G82" s="42"/>
      <c r="H82" s="999"/>
      <c r="I82" s="307"/>
      <c r="J82" s="2025"/>
      <c r="K82" s="2025"/>
      <c r="L82" s="2025"/>
      <c r="M82" s="2025"/>
      <c r="N82" s="2025"/>
      <c r="O82" s="2025"/>
      <c r="P82" s="2025"/>
      <c r="Q82" s="2025"/>
      <c r="R82" s="2025"/>
      <c r="S82" s="2025"/>
      <c r="T82" s="2025"/>
      <c r="U82" s="2025"/>
      <c r="V82" s="2025"/>
    </row>
    <row r="83" spans="1:26" ht="12.75">
      <c r="A83" s="371" t="s">
        <v>1818</v>
      </c>
      <c r="B83" s="372" t="s">
        <v>427</v>
      </c>
      <c r="C83" s="376">
        <v>0</v>
      </c>
      <c r="D83" s="374"/>
      <c r="E83" s="375"/>
      <c r="F83" s="42"/>
      <c r="G83" s="42"/>
      <c r="H83" s="999"/>
      <c r="I83" s="307"/>
      <c r="J83" s="2025"/>
      <c r="K83" s="3439" t="s">
        <v>2869</v>
      </c>
      <c r="L83" s="3245" t="s">
        <v>2870</v>
      </c>
      <c r="M83" s="3050" t="e">
        <f>IF(N69&gt;10000,N69*0.5%,IF(AND(N69&gt;1000,N69&lt;=10000),N69*1%,IF(AND(N69&gt;100,N69&lt;=1000),N69*3%,IF(AND(N69&gt;10,N69&lt;=100),N69*5%,N69*8%))))</f>
        <v>#VALUE!</v>
      </c>
      <c r="N83" s="53" t="e">
        <f>ROUND(M83,1)</f>
        <v>#VALUE!</v>
      </c>
      <c r="O83" s="3053"/>
      <c r="P83" s="2025"/>
      <c r="Q83" s="2025"/>
      <c r="R83" s="2025"/>
      <c r="S83" s="2025"/>
      <c r="T83" s="2025"/>
      <c r="U83" s="2025"/>
      <c r="V83" s="2025"/>
    </row>
    <row r="84" spans="1:26" ht="12.75">
      <c r="A84" s="377" t="s">
        <v>1819</v>
      </c>
      <c r="B84" s="378" t="s">
        <v>428</v>
      </c>
      <c r="C84" s="379">
        <v>2000</v>
      </c>
      <c r="D84" s="380" t="s">
        <v>19</v>
      </c>
      <c r="E84" s="3095" t="s">
        <v>2938</v>
      </c>
      <c r="F84" s="42"/>
      <c r="G84" s="42"/>
      <c r="H84" s="999"/>
      <c r="I84" s="307"/>
      <c r="J84" s="2025"/>
      <c r="K84" s="3439"/>
      <c r="L84" s="3245" t="s">
        <v>2871</v>
      </c>
      <c r="M84" s="305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2872</v>
      </c>
      <c r="P84" s="2025"/>
      <c r="Q84" s="2025"/>
      <c r="R84" s="2025"/>
      <c r="S84" s="2025"/>
      <c r="T84" s="2025"/>
      <c r="U84" s="2025"/>
      <c r="V84" s="2025"/>
    </row>
    <row r="85" spans="1:26" ht="12.75">
      <c r="A85" s="377" t="s">
        <v>1820</v>
      </c>
      <c r="B85" s="378" t="s">
        <v>429</v>
      </c>
      <c r="C85" s="381">
        <f ca="1">C81-C84</f>
        <v>2845</v>
      </c>
      <c r="D85" s="374" t="s">
        <v>19</v>
      </c>
      <c r="E85" s="375"/>
      <c r="F85" s="42"/>
      <c r="G85" s="42"/>
      <c r="H85" s="999"/>
      <c r="I85" s="307"/>
      <c r="J85" s="2025"/>
      <c r="K85" s="3439"/>
      <c r="L85" s="3245" t="s">
        <v>2873</v>
      </c>
      <c r="M85" s="3050" t="e">
        <f>IF(N69&gt;1000,N69*0.1%,IF(AND(N69&gt;500,N69&lt;=1000),N69*0.5%,IF(AND(N69&gt;50,N69&lt;=500),N69*1%,IF(AND(N69&gt;1,N69&lt;=50),N69*1.5%))))</f>
        <v>#VALUE!</v>
      </c>
      <c r="N85" s="53" t="e">
        <f t="shared" si="2"/>
        <v>#VALUE!</v>
      </c>
      <c r="O85" s="2025" t="s">
        <v>2872</v>
      </c>
      <c r="P85" s="2025"/>
      <c r="Q85" s="2025"/>
      <c r="R85" s="2025"/>
      <c r="S85" s="2025"/>
      <c r="T85" s="2025"/>
      <c r="U85" s="2025"/>
      <c r="V85" s="2025"/>
    </row>
    <row r="86" spans="1:26" ht="13.5" thickBot="1">
      <c r="A86" s="382" t="s">
        <v>1821</v>
      </c>
      <c r="B86" s="383" t="s">
        <v>430</v>
      </c>
      <c r="C86" s="384">
        <f ca="1">IF(C85&lt;=0,0,ROUND(C85*D86,0))</f>
        <v>159</v>
      </c>
      <c r="D86" s="385">
        <f>'数据-取费表'!B41</f>
        <v>5.6000000000000001E-2</v>
      </c>
      <c r="E86" s="386"/>
      <c r="F86" s="42"/>
      <c r="G86" s="42"/>
      <c r="H86" s="999"/>
      <c r="I86" s="307"/>
      <c r="J86" s="2025"/>
      <c r="K86" s="3439"/>
      <c r="L86" s="3245" t="s">
        <v>2874</v>
      </c>
      <c r="M86" s="3050" t="e">
        <f>N69*0.5%</f>
        <v>#VALUE!</v>
      </c>
      <c r="N86" s="53" t="e">
        <f>IF(M86&gt;0.5,0.5,ROUND(M86,0))</f>
        <v>#VALUE!</v>
      </c>
      <c r="O86" s="2025" t="s">
        <v>2875</v>
      </c>
      <c r="P86" s="2025"/>
      <c r="Q86" s="2025"/>
      <c r="R86" s="2025"/>
      <c r="S86" s="2025"/>
      <c r="T86" s="2025"/>
      <c r="U86" s="2025"/>
      <c r="V86" s="2025"/>
    </row>
    <row r="87" spans="1:26" s="1250" customFormat="1" ht="14.25" customHeight="1">
      <c r="A87" s="1305"/>
      <c r="B87" s="1306"/>
      <c r="C87" s="1307"/>
      <c r="D87" s="1308"/>
      <c r="E87" s="1309"/>
      <c r="F87" s="42"/>
      <c r="G87" s="42"/>
      <c r="H87" s="999"/>
      <c r="I87" s="307"/>
      <c r="J87" s="2025"/>
      <c r="K87" s="3439"/>
      <c r="L87" s="3245" t="s">
        <v>2876</v>
      </c>
      <c r="M87" s="305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3"/>
      <c r="P87" s="307"/>
      <c r="Q87" s="2025"/>
      <c r="R87" s="2025"/>
      <c r="S87" s="2025"/>
      <c r="T87" s="2025"/>
      <c r="U87" s="2025"/>
      <c r="V87" s="2025"/>
      <c r="W87" s="288"/>
      <c r="X87" s="288"/>
      <c r="Y87" s="288"/>
      <c r="Z87" s="288"/>
    </row>
    <row r="88" spans="1:26" s="1310" customFormat="1" ht="15" thickBot="1">
      <c r="A88" s="3493" t="s">
        <v>431</v>
      </c>
      <c r="B88" s="3494"/>
      <c r="C88" s="3494"/>
      <c r="D88" s="3494"/>
      <c r="E88" s="3494"/>
      <c r="F88" s="3494"/>
      <c r="G88" s="3494"/>
      <c r="H88" s="3494"/>
      <c r="I88" s="1311"/>
      <c r="J88" s="2033"/>
      <c r="K88" s="3439"/>
      <c r="L88" s="3245" t="s">
        <v>2877</v>
      </c>
      <c r="M88" s="3050" t="e">
        <f>IF(N69&gt;10000,N69*0.5%,IF(AND(N69&gt;5000,N69&lt;=10000),N69*1%,IF(AND(N69&gt;1000,N69&lt;=5000),N69*2%,IF(AND(N69&gt;200,N69&lt;=1000),N69*3%,N69*5%))))</f>
        <v>#VALUE!</v>
      </c>
      <c r="N88" s="53" t="e">
        <f>ROUND(M88,1)</f>
        <v>#VALUE!</v>
      </c>
      <c r="O88" s="3053"/>
      <c r="P88" s="11"/>
      <c r="Q88" s="2030"/>
      <c r="R88" s="2030"/>
      <c r="S88" s="2030"/>
      <c r="T88" s="2030"/>
      <c r="U88" s="2030"/>
      <c r="V88" s="2030"/>
      <c r="W88" s="2034"/>
      <c r="X88" s="2034"/>
      <c r="Y88" s="2034"/>
      <c r="Z88" s="2034"/>
    </row>
    <row r="89" spans="1:26" s="1310" customFormat="1" ht="14.25">
      <c r="A89" s="3457" t="s">
        <v>422</v>
      </c>
      <c r="B89" s="3458"/>
      <c r="C89" s="3242"/>
      <c r="D89" s="3242" t="s">
        <v>423</v>
      </c>
      <c r="E89" s="387" t="s">
        <v>424</v>
      </c>
      <c r="F89" s="388"/>
      <c r="G89" s="388"/>
      <c r="H89" s="389"/>
      <c r="I89" s="1312"/>
      <c r="J89" s="2035"/>
      <c r="K89" s="3439"/>
      <c r="L89" s="3245" t="s">
        <v>27</v>
      </c>
      <c r="M89" s="3051"/>
      <c r="N89" s="53" t="e">
        <f>ROUND(SUM(N83:N88),0)</f>
        <v>#VALUE!</v>
      </c>
      <c r="O89" s="3061" t="e">
        <f>N89/N69</f>
        <v>#VALUE!</v>
      </c>
      <c r="P89" s="2030"/>
      <c r="Q89" s="2030"/>
      <c r="R89" s="2030"/>
      <c r="S89" s="2030"/>
      <c r="T89" s="2030"/>
      <c r="U89" s="2030"/>
      <c r="V89" s="2030"/>
      <c r="W89" s="2034"/>
      <c r="X89" s="2034"/>
      <c r="Y89" s="2034"/>
      <c r="Z89" s="2034"/>
    </row>
    <row r="90" spans="1:26" s="1310" customFormat="1" ht="14.25">
      <c r="A90" s="377" t="s">
        <v>1816</v>
      </c>
      <c r="B90" s="378" t="s">
        <v>433</v>
      </c>
      <c r="C90" s="381">
        <f ca="1">ROUND(D63/(1+'数据-取费表'!C42),0)</f>
        <v>4845</v>
      </c>
      <c r="D90" s="374" t="s">
        <v>19</v>
      </c>
      <c r="E90" s="3235"/>
      <c r="F90" s="3234"/>
      <c r="G90" s="3234"/>
      <c r="H90" s="390"/>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7" t="s">
        <v>1819</v>
      </c>
      <c r="B91" s="344" t="s">
        <v>434</v>
      </c>
      <c r="C91" s="381">
        <f ca="1">C92+C96</f>
        <v>2590</v>
      </c>
      <c r="D91" s="374" t="s">
        <v>19</v>
      </c>
      <c r="E91" s="3235"/>
      <c r="F91" s="3234"/>
      <c r="G91" s="3234"/>
      <c r="H91" s="390"/>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1" t="s">
        <v>1817</v>
      </c>
      <c r="B92" s="372" t="s">
        <v>435</v>
      </c>
      <c r="C92" s="374">
        <f>ROUND(IF(G95="2016年5月1日后购买",C93/(1+'数据-取费表'!C30)+C94+C95,C93+C94+C95),0)</f>
        <v>2561</v>
      </c>
      <c r="D92" s="374" t="s">
        <v>19</v>
      </c>
      <c r="E92" s="3235"/>
      <c r="F92" s="3234"/>
      <c r="G92" s="3234"/>
      <c r="H92" s="390"/>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1" t="s">
        <v>1824</v>
      </c>
      <c r="B93" s="372" t="s">
        <v>436</v>
      </c>
      <c r="C93" s="392">
        <v>2000</v>
      </c>
      <c r="D93" s="374" t="s">
        <v>19</v>
      </c>
      <c r="E93" s="393" t="s">
        <v>437</v>
      </c>
      <c r="F93" s="394" t="s">
        <v>438</v>
      </c>
      <c r="G93" s="393" t="s">
        <v>439</v>
      </c>
      <c r="H93" s="395">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1" t="s">
        <v>1825</v>
      </c>
      <c r="B94" s="396" t="s">
        <v>440</v>
      </c>
      <c r="C94" s="374">
        <f>IF(F93="购房发票",ROUND(C93*H93*5%,0),0)</f>
        <v>500</v>
      </c>
      <c r="D94" s="397">
        <v>0.05</v>
      </c>
      <c r="E94" s="3490" t="s">
        <v>441</v>
      </c>
      <c r="F94" s="3491"/>
      <c r="G94" s="3491"/>
      <c r="H94" s="3492"/>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1" t="s">
        <v>1826</v>
      </c>
      <c r="B95" s="372" t="s">
        <v>442</v>
      </c>
      <c r="C95" s="374">
        <f>ROUND(IF(G95="个人买卖住房",0,IF(G95="2016年5月1日前购买",C93*D95,C93*D95/(1+'数据-取费表'!C42))),0)</f>
        <v>61</v>
      </c>
      <c r="D95" s="398">
        <f>'数据-取费表'!B48+'数据-取费表'!B49</f>
        <v>3.0499999999999999E-2</v>
      </c>
      <c r="E95" s="26" t="s">
        <v>443</v>
      </c>
      <c r="F95" s="399"/>
      <c r="G95" s="400" t="s">
        <v>2424</v>
      </c>
      <c r="H95" s="3241"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1" t="s">
        <v>1818</v>
      </c>
      <c r="B96" s="372" t="s">
        <v>444</v>
      </c>
      <c r="C96" s="401">
        <f ca="1">ROUND(D63*D96/(1+'数据-取费表'!C42),0)</f>
        <v>29</v>
      </c>
      <c r="D96" s="402">
        <f>'数据-取费表'!B43</f>
        <v>6.000000000000001E-3</v>
      </c>
      <c r="E96" s="3480" t="s">
        <v>2423</v>
      </c>
      <c r="F96" s="3481"/>
      <c r="G96" s="3481"/>
      <c r="H96" s="3482"/>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3" t="s">
        <v>1820</v>
      </c>
      <c r="B97" s="378" t="s">
        <v>445</v>
      </c>
      <c r="C97" s="381">
        <f ca="1">C90-C91</f>
        <v>2255</v>
      </c>
      <c r="D97" s="374" t="s">
        <v>19</v>
      </c>
      <c r="E97" s="3235"/>
      <c r="F97" s="3234"/>
      <c r="G97" s="3234"/>
      <c r="H97" s="390"/>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1821</v>
      </c>
      <c r="B98" s="378" t="s">
        <v>446</v>
      </c>
      <c r="C98" s="403">
        <f ca="1">IF(C97&lt;=0,0,C97/C91)</f>
        <v>0.87065637065637069</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3234"/>
      <c r="G98" s="3234"/>
      <c r="H98" s="390"/>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4" t="s">
        <v>1830</v>
      </c>
      <c r="B99" s="383" t="s">
        <v>447</v>
      </c>
      <c r="C99" s="404">
        <f ca="1">ROUND(IF(C97&lt;=0,0,IF(C98&gt;=200%,C97*60%-C91*35%,IF(C98&gt;=100%,C97*50%-C91*15%,IF(C98&gt;=50%,C97*40%-C91*5%,IF(C98&lt;50%,C97*30%,0))))),0)</f>
        <v>773</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7"/>
      <c r="G99" s="407"/>
      <c r="H99" s="408"/>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493" t="s">
        <v>448</v>
      </c>
      <c r="B101" s="3494"/>
      <c r="C101" s="3494"/>
      <c r="D101" s="3494"/>
      <c r="E101" s="3494"/>
      <c r="F101" s="3494"/>
      <c r="G101" s="3494"/>
      <c r="H101" s="3494"/>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457" t="s">
        <v>422</v>
      </c>
      <c r="B102" s="3458"/>
      <c r="C102" s="3242"/>
      <c r="D102" s="3242" t="s">
        <v>423</v>
      </c>
      <c r="E102" s="387" t="s">
        <v>424</v>
      </c>
      <c r="F102" s="388"/>
      <c r="G102" s="388"/>
      <c r="H102" s="409"/>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7" t="s">
        <v>1816</v>
      </c>
      <c r="B103" s="378" t="s">
        <v>433</v>
      </c>
      <c r="C103" s="381">
        <f ca="1">ROUND(D63/(1+'数据-取费表'!C42),0)</f>
        <v>4845</v>
      </c>
      <c r="D103" s="374" t="s">
        <v>19</v>
      </c>
      <c r="E103" s="3235"/>
      <c r="F103" s="3234"/>
      <c r="G103" s="3234"/>
      <c r="H103" s="410"/>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7" t="s">
        <v>1819</v>
      </c>
      <c r="B104" s="344" t="s">
        <v>434</v>
      </c>
      <c r="C104" s="381">
        <f ca="1">IF(H106="仅含出让金",C105+C108+C109+C110+C111+C112,C105+C109+C110+C111+C112)</f>
        <v>719</v>
      </c>
      <c r="D104" s="411"/>
      <c r="E104" s="3235"/>
      <c r="F104" s="3234"/>
      <c r="G104" s="3234"/>
      <c r="H104" s="410"/>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1" t="s">
        <v>1817</v>
      </c>
      <c r="B105" s="372" t="s">
        <v>449</v>
      </c>
      <c r="C105" s="401">
        <f>C106+C107</f>
        <v>572</v>
      </c>
      <c r="D105" s="402"/>
      <c r="E105" s="3240"/>
      <c r="F105" s="3238"/>
      <c r="G105" s="3238"/>
      <c r="H105" s="3239"/>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1" t="s">
        <v>1824</v>
      </c>
      <c r="B106" s="372" t="s">
        <v>450</v>
      </c>
      <c r="C106" s="412">
        <v>555</v>
      </c>
      <c r="D106" s="402"/>
      <c r="E106" s="413" t="s">
        <v>451</v>
      </c>
      <c r="F106" s="3238"/>
      <c r="G106" s="414" t="s">
        <v>452</v>
      </c>
      <c r="H106" s="415" t="s">
        <v>2434</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1" t="s">
        <v>1825</v>
      </c>
      <c r="B107" s="372" t="s">
        <v>442</v>
      </c>
      <c r="C107" s="401">
        <f>ROUND(C106*D107,0)</f>
        <v>17</v>
      </c>
      <c r="D107" s="402">
        <f>'数据-取费表'!B48+'数据-取费表'!B49</f>
        <v>3.0499999999999999E-2</v>
      </c>
      <c r="E107" s="413" t="s">
        <v>453</v>
      </c>
      <c r="F107" s="3238"/>
      <c r="G107" s="3238"/>
      <c r="H107" s="3239"/>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1" t="s">
        <v>1818</v>
      </c>
      <c r="B108" s="372" t="s">
        <v>454</v>
      </c>
      <c r="C108" s="412"/>
      <c r="D108" s="402"/>
      <c r="E108" s="413" t="str">
        <f>IF(H106="-","土地取得成本中已包含该笔费用"," ")</f>
        <v xml:space="preserve"> </v>
      </c>
      <c r="F108" s="3238"/>
      <c r="G108" s="3238"/>
      <c r="H108" s="3239"/>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1831</v>
      </c>
      <c r="B109" s="372" t="s">
        <v>455</v>
      </c>
      <c r="C109" s="401">
        <f>IF(H109="——",IF(F1="现房",'剩余法-现房'!C18,'剩余法-待开发'!C18),I109)</f>
        <v>55</v>
      </c>
      <c r="D109" s="402"/>
      <c r="E109" s="3483" t="s">
        <v>456</v>
      </c>
      <c r="F109" s="3481"/>
      <c r="G109" s="3481"/>
      <c r="H109" s="1938" t="s">
        <v>2274</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1832</v>
      </c>
      <c r="B110" s="372" t="s">
        <v>457</v>
      </c>
      <c r="C110" s="401">
        <f>ROUND((C105+C108+C109)*D110,0)</f>
        <v>63</v>
      </c>
      <c r="D110" s="402">
        <v>0.1</v>
      </c>
      <c r="E110" s="3483" t="s">
        <v>458</v>
      </c>
      <c r="F110" s="3481"/>
      <c r="G110" s="3481"/>
      <c r="H110" s="3482"/>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1833</v>
      </c>
      <c r="B111" s="372" t="s">
        <v>444</v>
      </c>
      <c r="C111" s="401">
        <f ca="1">ROUND(D63*D111/(1+'数据-取费表'!C42),0)</f>
        <v>29</v>
      </c>
      <c r="D111" s="402">
        <f>'数据-取费表'!B43</f>
        <v>6.000000000000001E-3</v>
      </c>
      <c r="E111" s="3480" t="s">
        <v>2423</v>
      </c>
      <c r="F111" s="3481"/>
      <c r="G111" s="3481"/>
      <c r="H111" s="3482"/>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1834</v>
      </c>
      <c r="B112" s="372" t="s">
        <v>459</v>
      </c>
      <c r="C112" s="401">
        <f>ROUND(C108*D112,0)</f>
        <v>0</v>
      </c>
      <c r="D112" s="402">
        <v>0.2</v>
      </c>
      <c r="E112" s="3483" t="s">
        <v>2448</v>
      </c>
      <c r="F112" s="3481"/>
      <c r="G112" s="3481"/>
      <c r="H112" s="3482"/>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3" t="s">
        <v>1820</v>
      </c>
      <c r="B113" s="378" t="s">
        <v>445</v>
      </c>
      <c r="C113" s="381">
        <f ca="1">ROUND(C103-C104,0)</f>
        <v>4126</v>
      </c>
      <c r="D113" s="374" t="s">
        <v>19</v>
      </c>
      <c r="E113" s="3235"/>
      <c r="F113" s="3234"/>
      <c r="G113" s="3234"/>
      <c r="H113" s="410"/>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1821</v>
      </c>
      <c r="B114" s="378" t="s">
        <v>446</v>
      </c>
      <c r="C114" s="403">
        <f ca="1">IF(C113&lt;=0,0,C113/C104)</f>
        <v>5.7385257301808066</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4"/>
      <c r="G114" s="3234"/>
      <c r="H114" s="410"/>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4" t="s">
        <v>1830</v>
      </c>
      <c r="B115" s="383" t="s">
        <v>447</v>
      </c>
      <c r="C115" s="404">
        <f ca="1">ROUND(IF(C113&lt;=0,0,IF(C114&gt;=200%,C113*60%-C104*35%,IF(C114&gt;=100%,C113*50%-C104*15%,IF(C114&gt;=50%,C113*40%-C104*5%,IF(C114&lt;50%,C113*30%,0))))),0)</f>
        <v>2224</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108">
    <cfRule type="expression" dxfId="131" priority="3" stopIfTrue="1">
      <formula>$H$106&lt;&gt;"仅含出让金"</formula>
    </cfRule>
  </conditionalFormatting>
  <conditionalFormatting sqref="C109">
    <cfRule type="expression" dxfId="130" priority="2" stopIfTrue="1">
      <formula>$H$109="由企业提供"</formula>
    </cfRule>
  </conditionalFormatting>
  <conditionalFormatting sqref="I33">
    <cfRule type="expression" dxfId="12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90" zoomScaleNormal="90" workbookViewId="0">
      <selection activeCell="F33" sqref="F33"/>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1687</v>
      </c>
      <c r="B1" s="1396"/>
      <c r="C1" s="1402" t="s">
        <v>986</v>
      </c>
      <c r="D1" s="1517">
        <f>SUM(D29:D30,D33:D39)</f>
        <v>13877</v>
      </c>
      <c r="E1" s="1402" t="s">
        <v>2422</v>
      </c>
      <c r="F1" s="2449">
        <f>'数据-汇总表'!D21</f>
        <v>3577.99</v>
      </c>
      <c r="G1" s="1397"/>
      <c r="H1" s="1397"/>
      <c r="I1" s="1397"/>
      <c r="J1" s="1397"/>
      <c r="K1" s="1397"/>
      <c r="L1" s="1879" t="s">
        <v>2233</v>
      </c>
      <c r="M1" s="1880">
        <f>SUMPRODUCT((区片价!B5:B9=I2)*(区片价!C3:F3=E2)*(区片价!C5:F9))</f>
        <v>0</v>
      </c>
      <c r="N1" s="1881">
        <f>SUMPRODUCT((因素修正幅度!B5:B9=I2)*(因素修正幅度!C3:F3=E2)*(因素修正幅度!C5:F9))</f>
        <v>0</v>
      </c>
      <c r="O1" s="2186"/>
      <c r="P1" s="2186"/>
      <c r="Q1" s="2186"/>
      <c r="R1" s="2933" t="s">
        <v>2757</v>
      </c>
      <c r="S1" s="2933" t="s">
        <v>1630</v>
      </c>
      <c r="T1" s="2933" t="s">
        <v>2779</v>
      </c>
      <c r="U1" s="2933" t="s">
        <v>2780</v>
      </c>
      <c r="V1" s="2933" t="s">
        <v>987</v>
      </c>
      <c r="W1" s="2186"/>
      <c r="X1" s="2186"/>
      <c r="Y1" s="2186"/>
      <c r="Z1" s="2186"/>
      <c r="AA1" s="2186"/>
      <c r="AB1" s="2186"/>
      <c r="AC1" s="2187"/>
    </row>
    <row r="2" spans="1:39" ht="15.75">
      <c r="A2" s="1402" t="s">
        <v>914</v>
      </c>
      <c r="B2" s="1034">
        <f ca="1">C26</f>
        <v>7277</v>
      </c>
      <c r="C2" s="1403" t="s">
        <v>915</v>
      </c>
      <c r="D2" s="1404" t="s">
        <v>916</v>
      </c>
      <c r="E2" s="1405" t="s">
        <v>1672</v>
      </c>
      <c r="F2" s="1404" t="s">
        <v>918</v>
      </c>
      <c r="G2" s="1648" t="str">
        <f>IF(E2="商业",项目基本情况!B43,IF(E2="办公",项目基本情况!C43,IF(E2="住宅",项目基本情况!D43,项目基本情况!E43)))</f>
        <v>九级</v>
      </c>
      <c r="H2" s="1404" t="s">
        <v>920</v>
      </c>
      <c r="I2" s="1649" t="str">
        <f>IF(E2="商业",项目基本情况!B44,IF(E2="办公",项目基本情况!C44,IF(E2="住宅",项目基本情况!D44,项目基本情况!E44)))</f>
        <v>Ⅸ-01</v>
      </c>
      <c r="J2" s="1406"/>
      <c r="K2" s="1397"/>
      <c r="L2" s="1882" t="s">
        <v>2234</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1.9419999999999999</v>
      </c>
      <c r="T2" s="2934">
        <f ca="1">ROUND($C$5*$C$18*$C$19*$C$20*S2*$C$24,0)</f>
        <v>10982</v>
      </c>
      <c r="U2" s="2923"/>
      <c r="V2" s="2934">
        <f ca="1">ROUND(T2*U2/10000,0)</f>
        <v>0</v>
      </c>
      <c r="W2" s="2186"/>
      <c r="X2" s="2186"/>
      <c r="Y2" s="2186"/>
      <c r="Z2" s="2186"/>
      <c r="AA2" s="2186"/>
      <c r="AB2" s="2186"/>
      <c r="AC2" s="2187"/>
    </row>
    <row r="3" spans="1:39" ht="15.75">
      <c r="A3" s="1407" t="s">
        <v>1680</v>
      </c>
      <c r="B3" s="1034">
        <f ca="1">ROUND(B2*10000/D1,0)</f>
        <v>5244</v>
      </c>
      <c r="C3" s="1403" t="s">
        <v>921</v>
      </c>
      <c r="D3" s="1404" t="s">
        <v>922</v>
      </c>
      <c r="E3" s="1408" t="s">
        <v>3087</v>
      </c>
      <c r="F3" s="1409" t="s">
        <v>2932</v>
      </c>
      <c r="G3" s="1035">
        <f>IF(F3="宗地容积率",'数据-汇总表'!I4,IF(F3="估价对象容积率",'数据-汇总表'!I6,'数据-汇总表'!I7))</f>
        <v>2.5</v>
      </c>
      <c r="H3" s="1410" t="s">
        <v>923</v>
      </c>
      <c r="I3" s="1036">
        <v>8</v>
      </c>
      <c r="J3" s="1406" t="s">
        <v>924</v>
      </c>
      <c r="K3" s="1397"/>
      <c r="L3" s="1882" t="s">
        <v>2235</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1.2799</v>
      </c>
      <c r="T3" s="2934">
        <f t="shared" ref="T3:T16" ca="1" si="0">ROUND($C$5*$C$18*$C$19*$C$20*S3*$C$24,0)</f>
        <v>7238</v>
      </c>
      <c r="U3" s="2923"/>
      <c r="V3" s="2934">
        <f t="shared" ref="V3:V16" ca="1" si="1">ROUND(T3*U3/10000,0)</f>
        <v>0</v>
      </c>
      <c r="W3" s="2186"/>
      <c r="X3" s="2186"/>
      <c r="Y3" s="2186"/>
      <c r="Z3" s="2186"/>
      <c r="AA3" s="2186"/>
      <c r="AB3" s="2186"/>
      <c r="AC3" s="2187"/>
    </row>
    <row r="4" spans="1:39" ht="28.5">
      <c r="A4" s="1888" t="s">
        <v>2275</v>
      </c>
      <c r="B4" s="2450">
        <f ca="1">ROUND(B2*10000/F1,0)</f>
        <v>20338</v>
      </c>
      <c r="C4" s="1891" t="s">
        <v>2249</v>
      </c>
      <c r="D4" s="1891">
        <f ca="1">ROUND(B2/(F1/666.67),0)</f>
        <v>1356</v>
      </c>
      <c r="E4" s="1891" t="s">
        <v>2250</v>
      </c>
      <c r="F4" s="1889"/>
      <c r="G4" s="1889"/>
      <c r="H4" s="1889"/>
      <c r="I4" s="1889"/>
      <c r="J4" s="1890"/>
      <c r="K4" s="1397"/>
      <c r="L4" s="1882" t="s">
        <v>2236</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1.0072000000000001</v>
      </c>
      <c r="T4" s="2934">
        <f t="shared" ca="1" si="0"/>
        <v>5696</v>
      </c>
      <c r="U4" s="2923"/>
      <c r="V4" s="2934">
        <f t="shared" ca="1" si="1"/>
        <v>0</v>
      </c>
      <c r="W4" s="2186"/>
      <c r="X4" s="2186"/>
      <c r="Y4" s="2186"/>
      <c r="Z4" s="2186"/>
      <c r="AA4" s="2186"/>
      <c r="AB4" s="2186"/>
      <c r="AC4" s="2187"/>
    </row>
    <row r="5" spans="1:39" s="1417" customFormat="1" ht="15.75" thickBot="1">
      <c r="A5" s="1634" t="s">
        <v>1816</v>
      </c>
      <c r="B5" s="1411" t="s">
        <v>925</v>
      </c>
      <c r="C5" s="1037">
        <f>ROUND(IF(E2="商业",IF(F16="增加",C6*C7+C16,C6*C7-C16),IF(E2="住宅",IF(F16="增加",C6*C12+C16,C6*C12-C16),IF(F16="增加",C6+C16,C6-C16))),0)</f>
        <v>4035</v>
      </c>
      <c r="D5" s="3115">
        <f>ROUND(IF(E2="商业",IF(F16="增加",C6+C16,C6-C16)),0)</f>
        <v>0</v>
      </c>
      <c r="E5" s="1412"/>
      <c r="F5" s="1412"/>
      <c r="G5" s="1413"/>
      <c r="H5" s="1413"/>
      <c r="I5" s="1413"/>
      <c r="J5" s="1414"/>
      <c r="K5" s="1590"/>
      <c r="L5" s="1882" t="s">
        <v>2237</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0.75249999999999995</v>
      </c>
      <c r="T5" s="2934">
        <f t="shared" ca="1" si="0"/>
        <v>4255</v>
      </c>
      <c r="U5" s="2923"/>
      <c r="V5" s="2934">
        <f t="shared" ca="1" si="1"/>
        <v>0</v>
      </c>
      <c r="W5" s="2186"/>
      <c r="X5" s="2186"/>
      <c r="Y5" s="2186"/>
      <c r="Z5" s="2186"/>
      <c r="AA5" s="2186"/>
      <c r="AB5" s="2186"/>
      <c r="AC5" s="2188"/>
      <c r="AD5" s="1415"/>
      <c r="AE5" s="1415"/>
      <c r="AF5" s="1415"/>
      <c r="AG5" s="1415"/>
      <c r="AH5" s="1415"/>
      <c r="AI5" s="1415"/>
      <c r="AJ5" s="1416"/>
      <c r="AK5" s="1416"/>
      <c r="AL5" s="1416"/>
      <c r="AM5" s="1416"/>
    </row>
    <row r="6" spans="1:39" ht="15.75" thickBot="1">
      <c r="A6" s="1635" t="s">
        <v>1863</v>
      </c>
      <c r="B6" s="1418" t="s">
        <v>925</v>
      </c>
      <c r="C6" s="1038">
        <f>SUMIF(L1:L12,'基准地价-办公'!G2,M1:M12)</f>
        <v>4020</v>
      </c>
      <c r="D6" s="1419" t="s">
        <v>1688</v>
      </c>
      <c r="E6" s="1420"/>
      <c r="F6" s="1420"/>
      <c r="G6" s="1421"/>
      <c r="H6" s="1421"/>
      <c r="I6" s="1421"/>
      <c r="J6" s="1422"/>
      <c r="K6" s="1591"/>
      <c r="L6" s="1882" t="s">
        <v>2238</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0.56589999999999996</v>
      </c>
      <c r="T6" s="2934">
        <f t="shared" ca="1" si="0"/>
        <v>3200</v>
      </c>
      <c r="U6" s="2923"/>
      <c r="V6" s="2934">
        <f t="shared" ca="1" si="1"/>
        <v>0</v>
      </c>
      <c r="W6" s="2186"/>
      <c r="X6" s="2186"/>
      <c r="Y6" s="2186"/>
      <c r="Z6" s="2186"/>
      <c r="AA6" s="2186"/>
      <c r="AB6" s="2186"/>
      <c r="AC6" s="2188"/>
      <c r="AD6" s="1415"/>
      <c r="AE6" s="1415"/>
      <c r="AF6" s="1415"/>
      <c r="AG6" s="1415"/>
      <c r="AH6" s="1415"/>
      <c r="AI6" s="1415"/>
      <c r="AJ6" s="1416"/>
    </row>
    <row r="7" spans="1:39" ht="24">
      <c r="A7" s="3516" t="str">
        <f>IF(E2="商业",IF(C8="不临58条商业街","",2),"")</f>
        <v/>
      </c>
      <c r="B7" s="1423" t="s">
        <v>926</v>
      </c>
      <c r="C7" s="1039">
        <f>IF(C8="不临58条商业街",1,ROUND(1+(1.6*E8+1.2*E9+0.8*E10+0.4*E11)*C9,4))</f>
        <v>1</v>
      </c>
      <c r="D7" s="1424" t="s">
        <v>927</v>
      </c>
      <c r="E7" s="1040">
        <v>6</v>
      </c>
      <c r="F7" s="1425"/>
      <c r="G7" s="1426"/>
      <c r="H7" s="1426"/>
      <c r="I7" s="1426"/>
      <c r="J7" s="1427"/>
      <c r="K7" s="1591"/>
      <c r="L7" s="1882" t="s">
        <v>2239</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0.45250000000000001</v>
      </c>
      <c r="T7" s="2934">
        <f t="shared" ca="1" si="0"/>
        <v>2559</v>
      </c>
      <c r="U7" s="2923"/>
      <c r="V7" s="2934">
        <f t="shared" ca="1" si="1"/>
        <v>0</v>
      </c>
      <c r="W7" s="3179" t="s">
        <v>2760</v>
      </c>
      <c r="X7" s="2924" t="str">
        <f>G2</f>
        <v>九级</v>
      </c>
      <c r="Y7" s="2924" t="s">
        <v>2761</v>
      </c>
      <c r="Z7" s="2925">
        <f>G3</f>
        <v>2.5</v>
      </c>
      <c r="AA7" s="2189"/>
      <c r="AB7" s="2189"/>
      <c r="AC7" s="2190"/>
      <c r="AD7" s="2926"/>
      <c r="AE7" s="2926"/>
      <c r="AF7" s="2926"/>
      <c r="AG7" s="2926"/>
      <c r="AH7" s="2926"/>
      <c r="AI7" s="2926"/>
      <c r="AJ7" s="2927"/>
    </row>
    <row r="8" spans="1:39" ht="25.5">
      <c r="A8" s="3517"/>
      <c r="B8" s="1410" t="s">
        <v>928</v>
      </c>
      <c r="C8" s="1525" t="s">
        <v>2997</v>
      </c>
      <c r="D8" s="1041" t="s">
        <v>929</v>
      </c>
      <c r="E8" s="1042">
        <f>ROUND(C11/E7,4)</f>
        <v>0</v>
      </c>
      <c r="F8" s="1428" t="s">
        <v>930</v>
      </c>
      <c r="G8" s="1429"/>
      <c r="H8" s="1429"/>
      <c r="I8" s="1429"/>
      <c r="J8" s="1430"/>
      <c r="K8" s="1397"/>
      <c r="L8" s="1882" t="s">
        <v>2240</v>
      </c>
      <c r="M8" s="1883">
        <f>SUMPRODUCT((区片价!B206:B244=I2)*(区片价!C3:F3=E2)*(区片价!C206:F244))</f>
        <v>0</v>
      </c>
      <c r="N8" s="1884">
        <f>SUMPRODUCT((因素修正幅度!B206:B244=I2)*(因素修正幅度!C3:F3=E2)*(因素修正幅度!C206:F244))</f>
        <v>0</v>
      </c>
      <c r="O8" s="2186"/>
      <c r="P8" s="2186"/>
      <c r="Q8" s="2186"/>
      <c r="R8" s="2934">
        <v>7</v>
      </c>
      <c r="S8" s="2923"/>
      <c r="T8" s="2934">
        <f t="shared" ca="1" si="0"/>
        <v>0</v>
      </c>
      <c r="U8" s="2923"/>
      <c r="V8" s="2934">
        <f t="shared" ca="1" si="1"/>
        <v>0</v>
      </c>
      <c r="W8" s="3518" t="s">
        <v>2778</v>
      </c>
      <c r="X8" s="3519"/>
      <c r="Y8" s="1846" t="s">
        <v>2762</v>
      </c>
      <c r="Z8" s="1846" t="s">
        <v>2763</v>
      </c>
      <c r="AA8" s="1846" t="s">
        <v>2764</v>
      </c>
      <c r="AB8" s="1846" t="s">
        <v>2765</v>
      </c>
      <c r="AC8" s="1846" t="s">
        <v>2766</v>
      </c>
      <c r="AD8" s="1846" t="s">
        <v>2767</v>
      </c>
      <c r="AE8" s="1846" t="s">
        <v>2768</v>
      </c>
      <c r="AF8" s="1846" t="s">
        <v>2769</v>
      </c>
      <c r="AG8" s="1846" t="s">
        <v>2770</v>
      </c>
      <c r="AH8" s="1846" t="s">
        <v>2771</v>
      </c>
      <c r="AI8" s="1846" t="s">
        <v>2772</v>
      </c>
      <c r="AJ8" s="1846" t="s">
        <v>2773</v>
      </c>
    </row>
    <row r="9" spans="1:39" ht="15">
      <c r="A9" s="3517"/>
      <c r="B9" s="1410" t="s">
        <v>931</v>
      </c>
      <c r="C9" s="1043">
        <f>SUMIF(修正!C59:C119,C8,修正!E59:E119)</f>
        <v>0</v>
      </c>
      <c r="D9" s="1044" t="s">
        <v>932</v>
      </c>
      <c r="E9" s="1044">
        <f>ROUND(C11/E7,4)</f>
        <v>0</v>
      </c>
      <c r="F9" s="1428" t="s">
        <v>933</v>
      </c>
      <c r="G9" s="1429"/>
      <c r="H9" s="1429"/>
      <c r="I9" s="1429"/>
      <c r="J9" s="1430"/>
      <c r="K9" s="1397"/>
      <c r="L9" s="1882" t="s">
        <v>2241</v>
      </c>
      <c r="M9" s="1883">
        <f>SUMPRODUCT((区片价!B245:B289=I2)*(区片价!C3:F3=E2)*(区片价!C245:F289))</f>
        <v>4020</v>
      </c>
      <c r="N9" s="1884">
        <f>SUMPRODUCT((因素修正幅度!B245:B289=I2)*(因素修正幅度!C3:F3=E2)*(因素修正幅度!C245:F289))</f>
        <v>0.15</v>
      </c>
      <c r="O9" s="2186"/>
      <c r="P9" s="2186"/>
      <c r="Q9" s="2186"/>
      <c r="R9" s="2934">
        <v>8</v>
      </c>
      <c r="S9" s="2923"/>
      <c r="T9" s="2934">
        <f t="shared" ca="1" si="0"/>
        <v>0</v>
      </c>
      <c r="U9" s="2923"/>
      <c r="V9" s="2934">
        <f t="shared" ca="1" si="1"/>
        <v>0</v>
      </c>
      <c r="W9" s="3520" t="s">
        <v>2774</v>
      </c>
      <c r="X9" s="2928" t="s">
        <v>2775</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17"/>
      <c r="B10" s="1410" t="s">
        <v>934</v>
      </c>
      <c r="C10" s="1044">
        <f>SUMIF(修正!C59:C119,C8,修正!F59:F119)</f>
        <v>0</v>
      </c>
      <c r="D10" s="1044" t="s">
        <v>935</v>
      </c>
      <c r="E10" s="1044">
        <f>ROUND(C11/E7,4)</f>
        <v>0</v>
      </c>
      <c r="F10" s="1428" t="s">
        <v>936</v>
      </c>
      <c r="G10" s="1429"/>
      <c r="H10" s="1429"/>
      <c r="I10" s="1429"/>
      <c r="J10" s="1430"/>
      <c r="K10" s="1397"/>
      <c r="L10" s="1882" t="s">
        <v>2242</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f t="shared" ca="1" si="0"/>
        <v>0</v>
      </c>
      <c r="U10" s="2923"/>
      <c r="V10" s="2934">
        <f t="shared" ca="1" si="1"/>
        <v>0</v>
      </c>
      <c r="W10" s="3520"/>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17"/>
      <c r="B11" s="1431" t="s">
        <v>937</v>
      </c>
      <c r="C11" s="1045">
        <f>C10/4</f>
        <v>0</v>
      </c>
      <c r="D11" s="1045" t="s">
        <v>938</v>
      </c>
      <c r="E11" s="1045">
        <f>ROUND(C11/E7,4)</f>
        <v>0</v>
      </c>
      <c r="F11" s="1432" t="s">
        <v>939</v>
      </c>
      <c r="G11" s="1433"/>
      <c r="H11" s="1433"/>
      <c r="I11" s="1433"/>
      <c r="J11" s="1434"/>
      <c r="K11" s="1397"/>
      <c r="L11" s="1882" t="s">
        <v>2243</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f t="shared" ca="1" si="0"/>
        <v>0</v>
      </c>
      <c r="U11" s="2923"/>
      <c r="V11" s="2934">
        <f t="shared" ca="1" si="1"/>
        <v>0</v>
      </c>
      <c r="W11" s="3520" t="s">
        <v>2776</v>
      </c>
      <c r="X11" s="1044" t="s">
        <v>2761</v>
      </c>
      <c r="Y11" s="1649">
        <f>$G$3</f>
        <v>2.5</v>
      </c>
      <c r="Z11" s="1649">
        <f t="shared" ref="Z11:AJ11" si="3">$G$3</f>
        <v>2.5</v>
      </c>
      <c r="AA11" s="1649">
        <f t="shared" si="3"/>
        <v>2.5</v>
      </c>
      <c r="AB11" s="1649">
        <f t="shared" si="3"/>
        <v>2.5</v>
      </c>
      <c r="AC11" s="1649">
        <f t="shared" si="3"/>
        <v>2.5</v>
      </c>
      <c r="AD11" s="1649">
        <f t="shared" si="3"/>
        <v>2.5</v>
      </c>
      <c r="AE11" s="1649">
        <f t="shared" si="3"/>
        <v>2.5</v>
      </c>
      <c r="AF11" s="1649">
        <f t="shared" si="3"/>
        <v>2.5</v>
      </c>
      <c r="AG11" s="1649">
        <f t="shared" si="3"/>
        <v>2.5</v>
      </c>
      <c r="AH11" s="1649">
        <f t="shared" si="3"/>
        <v>2.5</v>
      </c>
      <c r="AI11" s="1649">
        <f t="shared" si="3"/>
        <v>2.5</v>
      </c>
      <c r="AJ11" s="1649">
        <f t="shared" si="3"/>
        <v>2.5</v>
      </c>
    </row>
    <row r="12" spans="1:39" ht="25.5" thickBot="1">
      <c r="A12" s="3516" t="s">
        <v>1864</v>
      </c>
      <c r="B12" s="1435" t="s">
        <v>940</v>
      </c>
      <c r="C12" s="1039">
        <f>ROUND(C15*D15*E15*F15*G15*H15*I15*J15,4)</f>
        <v>1.21</v>
      </c>
      <c r="D12" s="1436" t="s">
        <v>941</v>
      </c>
      <c r="E12" s="1437"/>
      <c r="F12" s="1437"/>
      <c r="G12" s="1438"/>
      <c r="H12" s="1438"/>
      <c r="I12" s="1438"/>
      <c r="J12" s="1439"/>
      <c r="K12" s="1397"/>
      <c r="L12" s="1885" t="s">
        <v>2244</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f t="shared" ca="1" si="0"/>
        <v>0</v>
      </c>
      <c r="U12" s="2923"/>
      <c r="V12" s="2934">
        <f t="shared" ca="1" si="1"/>
        <v>0</v>
      </c>
      <c r="W12" s="3520"/>
      <c r="X12" s="2931" t="s">
        <v>2777</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21"/>
      <c r="B13" s="1440" t="s">
        <v>1689</v>
      </c>
      <c r="C13" s="1441" t="s">
        <v>1690</v>
      </c>
      <c r="D13" s="1085" t="s">
        <v>1691</v>
      </c>
      <c r="E13" s="1085" t="s">
        <v>1692</v>
      </c>
      <c r="F13" s="1442" t="s">
        <v>942</v>
      </c>
      <c r="G13" s="1443" t="s">
        <v>1637</v>
      </c>
      <c r="H13" s="1444" t="s">
        <v>1637</v>
      </c>
      <c r="I13" s="1445" t="s">
        <v>1637</v>
      </c>
      <c r="J13" s="1446" t="s">
        <v>1637</v>
      </c>
      <c r="K13" s="1397"/>
      <c r="L13" s="2186"/>
      <c r="M13" s="2186"/>
      <c r="N13" s="2186"/>
      <c r="O13" s="2186"/>
      <c r="P13" s="2186"/>
      <c r="Q13" s="2186"/>
      <c r="R13" s="2934">
        <v>12</v>
      </c>
      <c r="S13" s="2923"/>
      <c r="T13" s="2934">
        <f t="shared" ca="1" si="0"/>
        <v>0</v>
      </c>
      <c r="U13" s="2923"/>
      <c r="V13" s="2934">
        <f t="shared" ca="1" si="1"/>
        <v>0</v>
      </c>
      <c r="W13" s="3520"/>
      <c r="X13" s="2931"/>
      <c r="Y13" s="2930">
        <f>(-0.163*(Y12^2)-0.59*Y12+7617)*(10^(-4))/Y11</f>
        <v>0.30468000000000001</v>
      </c>
      <c r="Z13" s="2930">
        <f t="shared" ref="Z13:AJ13" si="5">(-0.163*(Z12^2)-0.59*Z12+7617)*(10^(-4))/Z11</f>
        <v>0.30468000000000001</v>
      </c>
      <c r="AA13" s="2930">
        <f t="shared" si="5"/>
        <v>0.30468000000000001</v>
      </c>
      <c r="AB13" s="2930">
        <f t="shared" si="5"/>
        <v>0.30468000000000001</v>
      </c>
      <c r="AC13" s="2930">
        <f t="shared" si="5"/>
        <v>0.30468000000000001</v>
      </c>
      <c r="AD13" s="2930">
        <f t="shared" si="5"/>
        <v>0.30468000000000001</v>
      </c>
      <c r="AE13" s="2930">
        <f t="shared" si="5"/>
        <v>0.30468000000000001</v>
      </c>
      <c r="AF13" s="2930">
        <f t="shared" si="5"/>
        <v>0.30468000000000001</v>
      </c>
      <c r="AG13" s="2930">
        <f t="shared" si="5"/>
        <v>0.30468000000000001</v>
      </c>
      <c r="AH13" s="2930">
        <f t="shared" si="5"/>
        <v>0.30468000000000001</v>
      </c>
      <c r="AI13" s="2930">
        <f t="shared" si="5"/>
        <v>0.30468000000000001</v>
      </c>
      <c r="AJ13" s="2930">
        <f t="shared" si="5"/>
        <v>0.30468000000000001</v>
      </c>
    </row>
    <row r="14" spans="1:39" ht="12.75" customHeight="1" thickBot="1">
      <c r="A14" s="3521"/>
      <c r="B14" s="1447"/>
      <c r="C14" s="1448" t="s">
        <v>2998</v>
      </c>
      <c r="D14" s="1449" t="s">
        <v>3083</v>
      </c>
      <c r="E14" s="1449" t="s">
        <v>2998</v>
      </c>
      <c r="F14" s="1450" t="s">
        <v>3084</v>
      </c>
      <c r="G14" s="1451" t="s">
        <v>943</v>
      </c>
      <c r="H14" s="1452"/>
      <c r="I14" s="1453"/>
      <c r="J14" s="1454"/>
      <c r="K14" s="1397"/>
      <c r="L14" s="2186"/>
      <c r="M14" s="2186"/>
      <c r="N14" s="2186"/>
      <c r="O14" s="2186"/>
      <c r="P14" s="2186"/>
      <c r="Q14" s="2186"/>
      <c r="R14" s="2934">
        <v>13</v>
      </c>
      <c r="S14" s="2923"/>
      <c r="T14" s="2934">
        <f t="shared" ca="1" si="0"/>
        <v>0</v>
      </c>
      <c r="U14" s="2923"/>
      <c r="V14" s="2934">
        <f t="shared" ca="1" si="1"/>
        <v>0</v>
      </c>
      <c r="W14" s="2186"/>
      <c r="X14" s="2186"/>
      <c r="Y14" s="2186"/>
      <c r="Z14" s="2186"/>
      <c r="AA14" s="2186"/>
      <c r="AB14" s="2186"/>
      <c r="AC14" s="2187"/>
    </row>
    <row r="15" spans="1:39" ht="13.5" customHeight="1" thickBot="1">
      <c r="A15" s="3522"/>
      <c r="B15" s="1455" t="s">
        <v>1693</v>
      </c>
      <c r="C15" s="1047">
        <f>IF(C14="有",1.1,1)</f>
        <v>1</v>
      </c>
      <c r="D15" s="1047">
        <f>IF(D14="有",1.1,1)</f>
        <v>1.1000000000000001</v>
      </c>
      <c r="E15" s="1047">
        <f>IF(E14="有",1.1,1)</f>
        <v>1</v>
      </c>
      <c r="F15" s="1047">
        <f>IF(F14="500米范围内",1.2,IF(F14="500-1000米",1.1,1))</f>
        <v>1.1000000000000001</v>
      </c>
      <c r="G15" s="1048">
        <v>1</v>
      </c>
      <c r="H15" s="1048">
        <v>1</v>
      </c>
      <c r="I15" s="1048">
        <v>1</v>
      </c>
      <c r="J15" s="1049">
        <v>1</v>
      </c>
      <c r="K15" s="1397"/>
      <c r="L15" s="1594" t="s">
        <v>892</v>
      </c>
      <c r="M15" s="1424" t="s">
        <v>970</v>
      </c>
      <c r="N15" s="1424" t="s">
        <v>973</v>
      </c>
      <c r="O15" s="1424" t="s">
        <v>896</v>
      </c>
      <c r="P15" s="1472" t="s">
        <v>980</v>
      </c>
      <c r="Q15" s="2186"/>
      <c r="R15" s="2934">
        <v>14</v>
      </c>
      <c r="S15" s="2923"/>
      <c r="T15" s="2934">
        <f t="shared" ca="1" si="0"/>
        <v>0</v>
      </c>
      <c r="U15" s="2923"/>
      <c r="V15" s="2934">
        <f t="shared" ca="1" si="1"/>
        <v>0</v>
      </c>
      <c r="W15" s="2186"/>
      <c r="X15" s="2186"/>
      <c r="Y15" s="2186"/>
      <c r="Z15" s="2186"/>
      <c r="AA15" s="2186"/>
      <c r="AB15" s="2186"/>
      <c r="AC15" s="2187"/>
    </row>
    <row r="16" spans="1:39" ht="24">
      <c r="A16" s="3516" t="s">
        <v>1831</v>
      </c>
      <c r="B16" s="1423" t="s">
        <v>944</v>
      </c>
      <c r="C16" s="1050">
        <f>ROUND(SUM(G17:J17)/C17,0)</f>
        <v>15</v>
      </c>
      <c r="D16" s="1456" t="s">
        <v>945</v>
      </c>
      <c r="E16" s="1457" t="s">
        <v>3086</v>
      </c>
      <c r="F16" s="1458" t="s">
        <v>3015</v>
      </c>
      <c r="G16" s="1459" t="s">
        <v>3016</v>
      </c>
      <c r="H16" s="1459"/>
      <c r="I16" s="1459"/>
      <c r="J16" s="1459"/>
      <c r="K16" s="1397"/>
      <c r="L16" s="1460" t="s">
        <v>982</v>
      </c>
      <c r="M16" s="1043">
        <v>0.25</v>
      </c>
      <c r="N16" s="1043">
        <v>0.2</v>
      </c>
      <c r="O16" s="1043">
        <v>0.15</v>
      </c>
      <c r="P16" s="1535">
        <v>0.1</v>
      </c>
      <c r="Q16" s="2189"/>
      <c r="R16" s="2934">
        <v>15</v>
      </c>
      <c r="S16" s="2923"/>
      <c r="T16" s="2934">
        <f t="shared" ca="1" si="0"/>
        <v>0</v>
      </c>
      <c r="U16" s="2923"/>
      <c r="V16" s="2934">
        <f t="shared" ca="1" si="1"/>
        <v>0</v>
      </c>
      <c r="W16" s="2189"/>
      <c r="X16" s="2189"/>
      <c r="Y16" s="2189"/>
      <c r="Z16" s="2189"/>
      <c r="AA16" s="2189"/>
      <c r="AB16" s="2189"/>
      <c r="AC16" s="2190"/>
    </row>
    <row r="17" spans="1:40" ht="13.5" thickBot="1">
      <c r="A17" s="3517"/>
      <c r="B17" s="1461" t="s">
        <v>947</v>
      </c>
      <c r="C17" s="1051">
        <f>SUMPRODUCT((修正!A2:A5=E2)*(修正!B1:M1=G2)*(修正!B2:M5))</f>
        <v>2</v>
      </c>
      <c r="D17" s="1463" t="s">
        <v>948</v>
      </c>
      <c r="E17" s="1464" t="str">
        <f>IF(OR(G2="八级",G2="九级",G2="十级",G2="十一级",G2="十二级"),"五通一平","七通一平")</f>
        <v>五通一平</v>
      </c>
      <c r="F17" s="1462" t="s">
        <v>949</v>
      </c>
      <c r="G17" s="1051">
        <f>SUMPRODUCT((七通一平=G16)*(修正!B1:M1=G2)*(修正!B6:M14))</f>
        <v>30</v>
      </c>
      <c r="H17" s="1051">
        <f>SUMPRODUCT((七通一平=H16)*(修正!B1:M1=G2)*(修正!B6:M14))</f>
        <v>0</v>
      </c>
      <c r="I17" s="1051">
        <f>SUMPRODUCT((七通一平=I16)*(修正!B1:M1=G2)*(修正!B6:M14))</f>
        <v>0</v>
      </c>
      <c r="J17" s="1052">
        <f>SUMPRODUCT((七通一平=J16)*(修正!B1:M1=G2)*(修正!B6:M14))</f>
        <v>0</v>
      </c>
      <c r="K17" s="1397"/>
      <c r="L17" s="1465" t="s">
        <v>968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1819</v>
      </c>
      <c r="B18" s="2769" t="s">
        <v>950</v>
      </c>
      <c r="C18" s="2770">
        <f>SUMIF(修正!C18:C39,E3,修正!E18:E39)</f>
        <v>1</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1828</v>
      </c>
      <c r="B19" s="1466" t="s">
        <v>951</v>
      </c>
      <c r="C19" s="1053">
        <f>ROUND(IF(H19="按公示增长率计算",SUMPRODUCT((地价!A3:A24=YEAR(G19)&amp;"-"&amp;ROUNDUP(MONTH(G19)/3,0))*(地价!X2:AB2=E2)*(地价!X3:AB24)),IF(H19="地价指数",M20/M19,(1+I19)^O19)),4)</f>
        <v>1.3547</v>
      </c>
      <c r="D19" s="1470" t="s">
        <v>952</v>
      </c>
      <c r="E19" s="1054">
        <v>41640</v>
      </c>
      <c r="F19" s="1470" t="s">
        <v>953</v>
      </c>
      <c r="G19" s="1055">
        <f>'数据-取费表'!B2</f>
        <v>43388</v>
      </c>
      <c r="H19" s="1471" t="s">
        <v>3009</v>
      </c>
      <c r="I19" s="2781" t="str">
        <f>IF(H19="季度增幅（自定义）",SUMIF(N21:N24,E2,O21:O24),"")</f>
        <v/>
      </c>
      <c r="J19" s="1467"/>
      <c r="K19" s="1477"/>
      <c r="L19" s="3034" t="s">
        <v>2836</v>
      </c>
      <c r="M19" s="3035">
        <f>ROUND(SUMIF(地价!B2:F2,E2,地价!B24:F24),0)</f>
        <v>258</v>
      </c>
      <c r="N19" s="2783" t="s">
        <v>1671</v>
      </c>
      <c r="O19" s="2782">
        <f>ROUNDDOWN(DATEDIF(E19,G19,"M")/3,0)</f>
        <v>19</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1821</v>
      </c>
      <c r="B20" s="2776" t="s">
        <v>966</v>
      </c>
      <c r="C20" s="2777">
        <f ca="1">ROUND(POWER(1+G20,J20-I20)*(POWER(1+G20,I20)-1)/(POWER(1+G20,J20)-1),4)</f>
        <v>1</v>
      </c>
      <c r="D20" s="2778" t="s">
        <v>967</v>
      </c>
      <c r="E20" s="3090">
        <f ca="1">存贷款利率!I4/100</f>
        <v>4.3499999999999997E-2</v>
      </c>
      <c r="F20" s="2778" t="s">
        <v>968</v>
      </c>
      <c r="G20" s="2779">
        <f ca="1">SUMIF(M15:P15,E2,M17:P17)</f>
        <v>5.1999999999999998E-2</v>
      </c>
      <c r="H20" s="2778" t="s">
        <v>969</v>
      </c>
      <c r="I20" s="2768">
        <f>SUMIF('数据-取费表'!C6:C15,E2,'数据-取费表'!F6:F15)/COUNTIF('数据-取费表'!C6:C15,E2)</f>
        <v>50</v>
      </c>
      <c r="J20" s="2780">
        <f>IF(E2="住宅",70,IF(E2="商业",40,50))</f>
        <v>50</v>
      </c>
      <c r="K20" s="1477"/>
      <c r="L20" s="3036" t="s">
        <v>2837</v>
      </c>
      <c r="M20" s="3037">
        <f>ROUND(SUMPRODUCT((地价!A4:A24=YEAR(G19)&amp;"-"&amp;ROUNDUP(MONTH(G19)/3,0))*(地价!B2:F2=E2)*(地价!B4:F24)),0)</f>
        <v>341</v>
      </c>
      <c r="N20" s="2786" t="s">
        <v>2640</v>
      </c>
      <c r="O20" s="2784" t="s">
        <v>2639</v>
      </c>
      <c r="P20" s="2785" t="s">
        <v>2645</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25">
      <c r="A21" s="1638" t="s">
        <v>1830</v>
      </c>
      <c r="B21" s="1476" t="s">
        <v>3000</v>
      </c>
      <c r="C21" s="1154">
        <f>IF(B21="容积率修正",IF(G3&lt;=10,D22,J22),C23)</f>
        <v>0.92730000000000001</v>
      </c>
      <c r="D21" s="1477"/>
      <c r="E21" s="1477"/>
      <c r="F21" s="1477"/>
      <c r="G21" s="1477"/>
      <c r="H21" s="1477"/>
      <c r="I21" s="1477"/>
      <c r="J21" s="1478"/>
      <c r="K21" s="1477"/>
      <c r="L21" s="1477"/>
      <c r="M21" s="1477"/>
      <c r="N21" s="1474" t="s">
        <v>970</v>
      </c>
      <c r="O21" s="1538"/>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25">
      <c r="A22" s="1639" t="s">
        <v>1863</v>
      </c>
      <c r="B22" s="1479" t="s">
        <v>971</v>
      </c>
      <c r="C22" s="1056" t="s">
        <v>1695</v>
      </c>
      <c r="D22" s="1056">
        <f>IF(E22=G22,F22,IF(G3&lt;=10,ROUND(F22+(H22-F22)*(G3-E22)/(G22-E22),4),"——"))</f>
        <v>0.92730000000000001</v>
      </c>
      <c r="E22" s="1035">
        <f>ROUNDDOWN(G3,1)</f>
        <v>2.5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056" t="s">
        <v>972</v>
      </c>
      <c r="J22" s="1056" t="str">
        <f>IF(G3&gt;10,D113,"——")</f>
        <v>——</v>
      </c>
      <c r="K22" s="1477"/>
      <c r="L22" s="1477"/>
      <c r="M22" s="1477"/>
      <c r="N22" s="1474" t="s">
        <v>973</v>
      </c>
      <c r="O22" s="1538"/>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8"/>
      <c r="AE22" s="1468"/>
      <c r="AF22" s="1468"/>
      <c r="AG22" s="1468"/>
      <c r="AH22" s="1468"/>
      <c r="AI22" s="1468"/>
    </row>
    <row r="23" spans="1:40" ht="27.75" thickBot="1">
      <c r="A23" s="1639" t="s">
        <v>1864</v>
      </c>
      <c r="B23" s="1479" t="s">
        <v>974</v>
      </c>
      <c r="C23" s="1057">
        <f>ROUND(IF(G3&gt;1,IF(I3&lt;7,SUMPRODUCT((B93:B98=I3)*(C92:N92=G2)*(C93:N98)),SUMIF(C92:N92,G2,C100:N100)),IF(I3&lt;7,SUMPRODUCT((B102:B107=I3)*(C92:N92=G2)*(C102:N107)),SUMIF(C92:N92,G2,C109:N109))),4)</f>
        <v>0.44750000000000001</v>
      </c>
      <c r="D23" s="1526"/>
      <c r="E23" s="1526"/>
      <c r="F23" s="1527"/>
      <c r="G23" s="1528"/>
      <c r="H23" s="1529"/>
      <c r="I23" s="1530"/>
      <c r="J23" s="1530"/>
      <c r="K23" s="1397"/>
      <c r="L23" s="1397"/>
      <c r="M23" s="1397"/>
      <c r="N23" s="1474" t="s">
        <v>917</v>
      </c>
      <c r="O23" s="1538"/>
      <c r="P23" s="2766">
        <f>SUMPRODUCT((地价!A3:A24=YEAR(G19)&amp;"-"&amp;ROUNDUP(MONTH(G19)/3,0))*(地价!AD2:AH2=N23)*(地价!AD3:AH24))</f>
        <v>2.41E-2</v>
      </c>
      <c r="R23" s="2922"/>
      <c r="S23" s="2922"/>
      <c r="T23" s="2922"/>
      <c r="U23" s="2922"/>
      <c r="V23" s="2922"/>
      <c r="W23" s="2192"/>
      <c r="X23" s="2192"/>
      <c r="Y23" s="2192"/>
      <c r="Z23" s="2192"/>
      <c r="AA23" s="2192"/>
      <c r="AB23" s="2192"/>
      <c r="AC23" s="2192"/>
      <c r="AN23" s="1400"/>
    </row>
    <row r="24" spans="1:40" s="1417" customFormat="1" ht="15.75" thickBot="1">
      <c r="A24" s="1637" t="s">
        <v>1865</v>
      </c>
      <c r="B24" s="1411" t="s">
        <v>975</v>
      </c>
      <c r="C24" s="1058">
        <f>SUMIF(A44:A87,E2,B44:B87)</f>
        <v>1.0345</v>
      </c>
      <c r="D24" s="1531"/>
      <c r="E24" s="1532"/>
      <c r="F24" s="1532"/>
      <c r="G24" s="1532"/>
      <c r="H24" s="1532"/>
      <c r="I24" s="1532"/>
      <c r="J24" s="1532"/>
      <c r="K24" s="1477"/>
      <c r="L24" s="1477"/>
      <c r="M24" s="1477"/>
      <c r="N24" s="1480" t="s">
        <v>976</v>
      </c>
      <c r="O24" s="1539"/>
      <c r="P24" s="1537">
        <f>SUMPRODUCT((地价!A3:A24=YEAR(G19)&amp;"-"&amp;ROUNDUP(MONTH(G19)/3,0))*(地价!AD2:AH2=N24)*(地价!AD3:AH24))</f>
        <v>1.4200000000000001E-2</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1866</v>
      </c>
      <c r="B25" s="1482" t="s">
        <v>977</v>
      </c>
      <c r="C25" s="1483"/>
      <c r="D25" s="1426"/>
      <c r="E25" s="1426"/>
      <c r="F25" s="1484"/>
      <c r="G25" s="1426"/>
      <c r="H25" s="1426"/>
      <c r="I25" s="1426"/>
      <c r="J25" s="1427"/>
      <c r="K25" s="1397"/>
      <c r="L25" s="2192"/>
      <c r="M25" s="2192"/>
      <c r="N25" s="2794" t="s">
        <v>2643</v>
      </c>
      <c r="O25" s="2192"/>
      <c r="P25" s="1537">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5"/>
      <c r="B26" s="1479" t="s">
        <v>981</v>
      </c>
      <c r="C26" s="1059">
        <f ca="1">E29+SUM(E33:E39)</f>
        <v>7277</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983</v>
      </c>
      <c r="C27" s="1060">
        <f ca="1">E30+SUM(I33:I39)</f>
        <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25">
      <c r="A28" s="1481"/>
      <c r="B28" s="1494" t="s">
        <v>984</v>
      </c>
      <c r="C28" s="1495" t="s">
        <v>985</v>
      </c>
      <c r="D28" s="1495" t="s">
        <v>986</v>
      </c>
      <c r="E28" s="1496" t="s">
        <v>987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988</v>
      </c>
      <c r="C29" s="1059">
        <f ca="1">ROUND(C5*C18*C19*C20*C21*C24,0)</f>
        <v>5244</v>
      </c>
      <c r="D29" s="1500">
        <f>'数据-汇总表'!F21</f>
        <v>13877</v>
      </c>
      <c r="E29" s="1846">
        <f ca="1">ROUND(C29*D29/10000,0)</f>
        <v>7277</v>
      </c>
      <c r="F29" s="1501" t="s">
        <v>1694</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75" thickBot="1">
      <c r="A30" s="1504"/>
      <c r="B30" s="1505" t="s">
        <v>989</v>
      </c>
      <c r="C30" s="1047">
        <f ca="1">ROUND(IF(E2="工业",C29*M39,C29*M38),0)</f>
        <v>1311</v>
      </c>
      <c r="D30" s="1506"/>
      <c r="E30" s="1846">
        <f ca="1">ROUND(C30*D30/10000,0)</f>
        <v>0</v>
      </c>
      <c r="F30" s="1507" t="s">
        <v>990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991</v>
      </c>
      <c r="C31" s="1512" t="s">
        <v>992</v>
      </c>
      <c r="D31" s="1438"/>
      <c r="E31" s="1512"/>
      <c r="F31" s="1512"/>
      <c r="G31" s="1436" t="s">
        <v>990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985</v>
      </c>
      <c r="D32" s="1516" t="s">
        <v>986</v>
      </c>
      <c r="E32" s="1516" t="s">
        <v>987</v>
      </c>
      <c r="F32" s="1517" t="s">
        <v>993</v>
      </c>
      <c r="G32" s="1475" t="s">
        <v>985</v>
      </c>
      <c r="H32" s="1475" t="s">
        <v>986</v>
      </c>
      <c r="I32" s="1475" t="s">
        <v>987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524" t="s">
        <v>2958</v>
      </c>
      <c r="B33" s="1520" t="s">
        <v>994</v>
      </c>
      <c r="C33" s="1059">
        <f ca="1">ROUND(D5*C19*C20*C24*F33,0)</f>
        <v>0</v>
      </c>
      <c r="D33" s="1533"/>
      <c r="E33" s="1044">
        <f ca="1">ROUND(C33*D33/10000,0)</f>
        <v>0</v>
      </c>
      <c r="F33" s="1044">
        <f>SUMIF(修正!A45:A56,G2,修正!B45:B56)</f>
        <v>0.6</v>
      </c>
      <c r="G33" s="1044">
        <f t="shared" ref="G33" ca="1" si="6">ROUND(IF(E2="工业",C33*$M$39,C33*$M$38),0)</f>
        <v>0</v>
      </c>
      <c r="H33" s="1044">
        <f>D33</f>
        <v>0</v>
      </c>
      <c r="I33" s="1044">
        <f ca="1">ROUND(G33*H33/10000,0)</f>
        <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525"/>
      <c r="B34" s="1441" t="s">
        <v>995</v>
      </c>
      <c r="C34" s="1059">
        <f ca="1">ROUND(D5*C19*C20*C24*F34,0)</f>
        <v>0</v>
      </c>
      <c r="D34" s="1533"/>
      <c r="E34" s="1044">
        <f t="shared" ref="E34:E39" ca="1" si="7">ROUND(C34*D34/10000,0)</f>
        <v>0</v>
      </c>
      <c r="F34" s="1044">
        <f>SUMIF(修正!A45:A56,G2,修正!C45:C56)</f>
        <v>0.3</v>
      </c>
      <c r="G34" s="1044">
        <f ca="1">ROUND(IF(E2="工业",C34*$M$39,C34*$M$38),0)</f>
        <v>0</v>
      </c>
      <c r="H34" s="1044">
        <f t="shared" ref="H34:H39" si="8">D34</f>
        <v>0</v>
      </c>
      <c r="I34" s="1044">
        <f t="shared" ref="I34:I39" ca="1" si="9">ROUND(G34*H34/10000,0)</f>
        <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525"/>
      <c r="B35" s="1441" t="s">
        <v>996</v>
      </c>
      <c r="C35" s="1059">
        <f ca="1">ROUND(D5*C19*C20*C24*F35,0)</f>
        <v>0</v>
      </c>
      <c r="D35" s="1533"/>
      <c r="E35" s="1044">
        <f t="shared" ca="1" si="7"/>
        <v>0</v>
      </c>
      <c r="F35" s="1044">
        <f>SUMIF(修正!A45:A56,G2,修正!D45:D56)</f>
        <v>0.2</v>
      </c>
      <c r="G35" s="1044">
        <f ca="1">ROUND(IF(E2="工业",C35*$M$39,C35*$M$38),0)</f>
        <v>0</v>
      </c>
      <c r="H35" s="1044">
        <f t="shared" si="8"/>
        <v>0</v>
      </c>
      <c r="I35" s="1044">
        <f t="shared" ca="1" si="9"/>
        <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26"/>
      <c r="B36" s="1441" t="s">
        <v>997</v>
      </c>
      <c r="C36" s="1059">
        <f ca="1">ROUND(D5*C19*C20*C24*F36,0)</f>
        <v>0</v>
      </c>
      <c r="D36" s="1533"/>
      <c r="E36" s="1044">
        <f t="shared" ca="1" si="7"/>
        <v>0</v>
      </c>
      <c r="F36" s="1044">
        <f>SUMIF(修正!A45:A56,G2,修正!E45:E56)</f>
        <v>0.2</v>
      </c>
      <c r="G36" s="1044">
        <f ca="1">ROUND(IF(E2="工业",C36*$M$39,C36*$M$38),0)</f>
        <v>0</v>
      </c>
      <c r="H36" s="1044">
        <f t="shared" si="8"/>
        <v>0</v>
      </c>
      <c r="I36" s="1044">
        <f t="shared" ca="1" si="9"/>
        <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998</v>
      </c>
      <c r="C37" s="1044">
        <f ca="1">ROUND(C5*C19*C20*C24*F37,0)</f>
        <v>1131</v>
      </c>
      <c r="D37" s="1533"/>
      <c r="E37" s="1044">
        <f t="shared" ca="1" si="7"/>
        <v>0</v>
      </c>
      <c r="F37" s="1059">
        <f>SUMIF(修正!A45:A56,G2,修正!F45:F56)</f>
        <v>0.2</v>
      </c>
      <c r="G37" s="1044">
        <f ca="1">ROUND(IF(E2="工业",C37*$M$39,C37*$M$38),0)</f>
        <v>283</v>
      </c>
      <c r="H37" s="1044">
        <f t="shared" si="8"/>
        <v>0</v>
      </c>
      <c r="I37" s="1044">
        <f t="shared" ca="1" si="9"/>
        <v>0</v>
      </c>
      <c r="J37" s="1521"/>
      <c r="K37" s="1397"/>
      <c r="L37" s="1540" t="s">
        <v>1696</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999</v>
      </c>
      <c r="C38" s="1044">
        <f ca="1">ROUND(C5*C19*C20*C24*F38,0)</f>
        <v>1131</v>
      </c>
      <c r="D38" s="1533"/>
      <c r="E38" s="1044">
        <f t="shared" ca="1" si="7"/>
        <v>0</v>
      </c>
      <c r="F38" s="1059">
        <f>SUMIF(修正!A45:A56,G2,修正!G45:G56)</f>
        <v>0.2</v>
      </c>
      <c r="G38" s="1044">
        <f ca="1">ROUND(IF(E2="工业",C38*$M$39,C38*$M$38),0)</f>
        <v>283</v>
      </c>
      <c r="H38" s="1044">
        <f t="shared" si="8"/>
        <v>0</v>
      </c>
      <c r="I38" s="1044">
        <f t="shared" ca="1" si="9"/>
        <v>0</v>
      </c>
      <c r="J38" s="1521"/>
      <c r="K38" s="1397"/>
      <c r="L38" s="1542" t="s">
        <v>1698</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1000</v>
      </c>
      <c r="C39" s="1047">
        <f ca="1">ROUND(C5*C19*C20*C24*F39,0)</f>
        <v>848</v>
      </c>
      <c r="D39" s="1534"/>
      <c r="E39" s="1047">
        <f t="shared" ca="1" si="7"/>
        <v>0</v>
      </c>
      <c r="F39" s="1061">
        <f>SUMIF(修正!A45:A56,G2,修正!H45:H56)</f>
        <v>0.15</v>
      </c>
      <c r="G39" s="1047">
        <f ca="1">ROUND(IF(E2="工业",C39*$M$39,C39*$M$38),0)</f>
        <v>212</v>
      </c>
      <c r="H39" s="1047">
        <f t="shared" si="8"/>
        <v>0</v>
      </c>
      <c r="I39" s="1047">
        <f t="shared" ca="1" si="9"/>
        <v>0</v>
      </c>
      <c r="J39" s="1523"/>
      <c r="K39" s="1397"/>
      <c r="L39" s="1544" t="s">
        <v>1697</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hidden="1">
      <c r="A45" s="2421" t="s">
        <v>1002</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hidden="1">
      <c r="A46" s="1063" t="s">
        <v>1003</v>
      </c>
      <c r="B46" s="2405" t="s">
        <v>1004</v>
      </c>
      <c r="C46" s="2427" t="s">
        <v>1005</v>
      </c>
      <c r="D46" s="2428" t="s">
        <v>1006</v>
      </c>
      <c r="E46" s="2429" t="s">
        <v>1008</v>
      </c>
      <c r="F46" s="2430" t="s">
        <v>2245</v>
      </c>
      <c r="G46" s="2428" t="s">
        <v>1009</v>
      </c>
      <c r="H46" s="2411" t="s">
        <v>2413</v>
      </c>
      <c r="I46" s="2428" t="s">
        <v>1007</v>
      </c>
      <c r="J46" s="2431" t="s">
        <v>1010</v>
      </c>
      <c r="K46" s="2431" t="s">
        <v>1011</v>
      </c>
      <c r="L46" s="2431" t="s">
        <v>1012</v>
      </c>
      <c r="M46" s="2431" t="s">
        <v>1013</v>
      </c>
      <c r="N46" s="2431" t="s">
        <v>1014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hidden="1">
      <c r="A47" s="1063" t="s">
        <v>1015</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hidden="1">
      <c r="A48" s="1063" t="s">
        <v>1016</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hidden="1">
      <c r="A49" s="1063" t="s">
        <v>1017</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hidden="1">
      <c r="A50" s="1063" t="s">
        <v>1018</v>
      </c>
      <c r="B50" s="3092" t="s">
        <v>2935</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hidden="1">
      <c r="A51" s="1063" t="s">
        <v>1019</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hidden="1">
      <c r="A52" s="1063" t="s">
        <v>1020</v>
      </c>
      <c r="B52" s="3091" t="s">
        <v>2934</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hidden="1">
      <c r="A53" s="2437" t="s">
        <v>1021</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hidden="1">
      <c r="A54" s="2437" t="s">
        <v>1022</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hidden="1" thickBot="1">
      <c r="A55" s="2438" t="s">
        <v>1023</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1024</v>
      </c>
      <c r="B56" s="2422">
        <f>1+E58</f>
        <v>1.0345</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1003</v>
      </c>
      <c r="B57" s="2405"/>
      <c r="C57" s="2427" t="s">
        <v>1005</v>
      </c>
      <c r="D57" s="2428" t="s">
        <v>1006</v>
      </c>
      <c r="E57" s="2429" t="s">
        <v>1008</v>
      </c>
      <c r="F57" s="2430" t="s">
        <v>2245</v>
      </c>
      <c r="G57" s="2428" t="s">
        <v>1009</v>
      </c>
      <c r="H57" s="2411" t="s">
        <v>2413</v>
      </c>
      <c r="I57" s="2428" t="s">
        <v>1007</v>
      </c>
      <c r="J57" s="2431" t="s">
        <v>1010</v>
      </c>
      <c r="K57" s="2431" t="s">
        <v>1011</v>
      </c>
      <c r="L57" s="2431" t="s">
        <v>1012</v>
      </c>
      <c r="M57" s="2431" t="s">
        <v>1013</v>
      </c>
      <c r="N57" s="2431" t="s">
        <v>1014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3" t="s">
        <v>1025</v>
      </c>
      <c r="B58" s="2408" t="str">
        <f>估价对象房地状况!C17</f>
        <v>估价对象位于XX商圈，周边办公楼项目较多，入驻率高，办公集聚程度较好</v>
      </c>
      <c r="C58" s="3292" t="s">
        <v>3228</v>
      </c>
      <c r="D58" s="2414">
        <f t="shared" ref="D58:D66" si="15">SUMIF($J$57:$N$57,C58,J58:N58)</f>
        <v>-1.7999999999999999E-2</v>
      </c>
      <c r="E58" s="2433">
        <f>ROUND(SUM(D58:D66),4)</f>
        <v>3.4500000000000003E-2</v>
      </c>
      <c r="F58" s="2434">
        <f>IF(E2="办公",SUMIF(L1:L12,G2,N1:N12),"——")</f>
        <v>0.15</v>
      </c>
      <c r="G58" s="3295">
        <f>H58</f>
        <v>1.7999999999999999E-2</v>
      </c>
      <c r="H58" s="2458">
        <f>IFERROR(ROUNDDOWN($F$58*I58/2,4),"——")</f>
        <v>1.7999999999999999E-2</v>
      </c>
      <c r="I58" s="2432">
        <v>0.24</v>
      </c>
      <c r="J58" s="2435">
        <f t="shared" ref="J58:J66" si="16">K58+$G58</f>
        <v>3.5999999999999997E-2</v>
      </c>
      <c r="K58" s="2435">
        <f t="shared" ref="K58:K66" si="17">$L58+$G58</f>
        <v>1.7999999999999999E-2</v>
      </c>
      <c r="L58" s="2435">
        <v>0</v>
      </c>
      <c r="M58" s="2435">
        <f t="shared" ref="M58:N66" si="18">L58-$G58</f>
        <v>-1.7999999999999999E-2</v>
      </c>
      <c r="N58" s="2435">
        <f t="shared" si="18"/>
        <v>-3.5999999999999997E-2</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c r="A59" s="1063" t="s">
        <v>1016</v>
      </c>
      <c r="B59" s="2405" t="str">
        <f>估价对象房地状况!C18</f>
        <v>估价对象周边道路状况、公共交通通达情况、停车便捷程度，综合评价交通便捷度较好</v>
      </c>
      <c r="C59" s="1046" t="s">
        <v>3014</v>
      </c>
      <c r="D59" s="2414">
        <f t="shared" si="15"/>
        <v>2.2499999999999999E-2</v>
      </c>
      <c r="E59" s="2436"/>
      <c r="F59" s="2434"/>
      <c r="G59" s="3295">
        <f t="shared" ref="G59:G66" si="19">H59</f>
        <v>2.2499999999999999E-2</v>
      </c>
      <c r="H59" s="2413">
        <f t="shared" ref="H59:H66" si="20">IFERROR($F$58*I59/2,"——")</f>
        <v>2.2499999999999999E-2</v>
      </c>
      <c r="I59" s="2432">
        <v>0.3</v>
      </c>
      <c r="J59" s="2435">
        <f t="shared" si="16"/>
        <v>4.4999999999999998E-2</v>
      </c>
      <c r="K59" s="2435">
        <f t="shared" si="17"/>
        <v>2.2499999999999999E-2</v>
      </c>
      <c r="L59" s="2435">
        <v>0</v>
      </c>
      <c r="M59" s="2435">
        <f t="shared" si="18"/>
        <v>-2.2499999999999999E-2</v>
      </c>
      <c r="N59" s="2435">
        <f t="shared" si="18"/>
        <v>-4.4999999999999998E-2</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1017</v>
      </c>
      <c r="B60" s="2405">
        <f>估价对象房地状况!C19</f>
        <v>0</v>
      </c>
      <c r="C60" s="1046" t="s">
        <v>3014</v>
      </c>
      <c r="D60" s="2414">
        <f t="shared" si="15"/>
        <v>6.0000000000000001E-3</v>
      </c>
      <c r="E60" s="2436"/>
      <c r="F60" s="2434"/>
      <c r="G60" s="3295">
        <f t="shared" si="19"/>
        <v>6.0000000000000001E-3</v>
      </c>
      <c r="H60" s="2413">
        <f t="shared" si="20"/>
        <v>6.0000000000000001E-3</v>
      </c>
      <c r="I60" s="2432">
        <v>0.08</v>
      </c>
      <c r="J60" s="2435">
        <f t="shared" si="16"/>
        <v>1.2E-2</v>
      </c>
      <c r="K60" s="2435">
        <f t="shared" si="17"/>
        <v>6.0000000000000001E-3</v>
      </c>
      <c r="L60" s="2435">
        <v>0</v>
      </c>
      <c r="M60" s="2435">
        <f t="shared" si="18"/>
        <v>-6.0000000000000001E-3</v>
      </c>
      <c r="N60" s="2435">
        <f t="shared" si="18"/>
        <v>-1.2E-2</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3" t="s">
        <v>1018</v>
      </c>
      <c r="B61" s="3092" t="s">
        <v>2936</v>
      </c>
      <c r="C61" s="1046" t="s">
        <v>3014</v>
      </c>
      <c r="D61" s="2414">
        <f t="shared" si="15"/>
        <v>3.0000000000000001E-3</v>
      </c>
      <c r="E61" s="2436"/>
      <c r="F61" s="2434"/>
      <c r="G61" s="3295">
        <f t="shared" si="19"/>
        <v>3.0000000000000001E-3</v>
      </c>
      <c r="H61" s="2413">
        <f t="shared" si="20"/>
        <v>3.0000000000000001E-3</v>
      </c>
      <c r="I61" s="2432">
        <v>0.04</v>
      </c>
      <c r="J61" s="2435">
        <f t="shared" si="16"/>
        <v>6.0000000000000001E-3</v>
      </c>
      <c r="K61" s="2435">
        <f t="shared" si="17"/>
        <v>3.0000000000000001E-3</v>
      </c>
      <c r="L61" s="2435">
        <v>0</v>
      </c>
      <c r="M61" s="2435">
        <f t="shared" si="18"/>
        <v>-3.0000000000000001E-3</v>
      </c>
      <c r="N61" s="2435">
        <f t="shared" si="18"/>
        <v>-6.0000000000000001E-3</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1019</v>
      </c>
      <c r="B62" s="2405">
        <f>估价对象房地状况!C24</f>
        <v>0</v>
      </c>
      <c r="C62" s="1046" t="s">
        <v>3014</v>
      </c>
      <c r="D62" s="2414">
        <f t="shared" si="15"/>
        <v>3.7499999999999999E-3</v>
      </c>
      <c r="E62" s="2436"/>
      <c r="F62" s="2434"/>
      <c r="G62" s="3295">
        <f t="shared" si="19"/>
        <v>3.7499999999999999E-3</v>
      </c>
      <c r="H62" s="2413">
        <f t="shared" si="20"/>
        <v>3.7499999999999999E-3</v>
      </c>
      <c r="I62" s="2432">
        <v>0.05</v>
      </c>
      <c r="J62" s="2435">
        <f t="shared" si="16"/>
        <v>7.4999999999999997E-3</v>
      </c>
      <c r="K62" s="2435">
        <f t="shared" si="17"/>
        <v>3.7499999999999999E-3</v>
      </c>
      <c r="L62" s="2435">
        <v>0</v>
      </c>
      <c r="M62" s="2435">
        <f t="shared" si="18"/>
        <v>-3.7499999999999999E-3</v>
      </c>
      <c r="N62" s="2435">
        <f t="shared" si="18"/>
        <v>-7.4999999999999997E-3</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3" t="s">
        <v>1020</v>
      </c>
      <c r="B63" s="3091" t="s">
        <v>2934</v>
      </c>
      <c r="C63" s="1046" t="s">
        <v>3014</v>
      </c>
      <c r="D63" s="2414">
        <f t="shared" si="15"/>
        <v>3.7499999999999999E-3</v>
      </c>
      <c r="E63" s="2436"/>
      <c r="F63" s="2434"/>
      <c r="G63" s="3295">
        <f t="shared" si="19"/>
        <v>3.7499999999999999E-3</v>
      </c>
      <c r="H63" s="2413">
        <f t="shared" si="20"/>
        <v>3.7499999999999999E-3</v>
      </c>
      <c r="I63" s="2432">
        <v>0.05</v>
      </c>
      <c r="J63" s="2435">
        <f t="shared" si="16"/>
        <v>7.4999999999999997E-3</v>
      </c>
      <c r="K63" s="2435">
        <f t="shared" si="17"/>
        <v>3.7499999999999999E-3</v>
      </c>
      <c r="L63" s="2435">
        <v>0</v>
      </c>
      <c r="M63" s="2435">
        <f t="shared" si="18"/>
        <v>-3.7499999999999999E-3</v>
      </c>
      <c r="N63" s="2435">
        <f t="shared" si="18"/>
        <v>-7.4999999999999997E-3</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1021</v>
      </c>
      <c r="B64" s="2406" t="str">
        <f>估价对象房地状况!C21</f>
        <v>估价对象所在区域公共配套设施齐备情况</v>
      </c>
      <c r="C64" s="1046" t="s">
        <v>3001</v>
      </c>
      <c r="D64" s="2414">
        <f t="shared" si="15"/>
        <v>0</v>
      </c>
      <c r="E64" s="2436"/>
      <c r="F64" s="2434"/>
      <c r="G64" s="3295">
        <f t="shared" si="19"/>
        <v>4.4999999999999997E-3</v>
      </c>
      <c r="H64" s="2413">
        <f t="shared" si="20"/>
        <v>4.4999999999999997E-3</v>
      </c>
      <c r="I64" s="2432">
        <v>0.06</v>
      </c>
      <c r="J64" s="2435">
        <f t="shared" si="16"/>
        <v>8.9999999999999993E-3</v>
      </c>
      <c r="K64" s="2435">
        <f t="shared" si="17"/>
        <v>4.4999999999999997E-3</v>
      </c>
      <c r="L64" s="2435">
        <v>0</v>
      </c>
      <c r="M64" s="2435">
        <f t="shared" si="18"/>
        <v>-4.4999999999999997E-3</v>
      </c>
      <c r="N64" s="2435">
        <f t="shared" si="18"/>
        <v>-8.9999999999999993E-3</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1022</v>
      </c>
      <c r="B65" s="2406" t="str">
        <f>估价对象房地状况!C22</f>
        <v>估价对象所在区域基础设施水平</v>
      </c>
      <c r="C65" s="1046" t="s">
        <v>3014</v>
      </c>
      <c r="D65" s="2414">
        <f t="shared" si="15"/>
        <v>8.9999999999999993E-3</v>
      </c>
      <c r="E65" s="2436"/>
      <c r="F65" s="2434"/>
      <c r="G65" s="3295">
        <f t="shared" si="19"/>
        <v>8.9999999999999993E-3</v>
      </c>
      <c r="H65" s="2413">
        <f t="shared" si="20"/>
        <v>8.9999999999999993E-3</v>
      </c>
      <c r="I65" s="2432">
        <v>0.12</v>
      </c>
      <c r="J65" s="2435">
        <f t="shared" si="16"/>
        <v>1.7999999999999999E-2</v>
      </c>
      <c r="K65" s="2435">
        <f t="shared" si="17"/>
        <v>8.9999999999999993E-3</v>
      </c>
      <c r="L65" s="2435">
        <v>0</v>
      </c>
      <c r="M65" s="2435">
        <f t="shared" si="18"/>
        <v>-8.9999999999999993E-3</v>
      </c>
      <c r="N65" s="2435">
        <f t="shared" si="18"/>
        <v>-1.7999999999999999E-2</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38" t="s">
        <v>1023</v>
      </c>
      <c r="B66" s="2410" t="str">
        <f>估价对象房地状况!C20</f>
        <v>区域自然环境：；人文环境；综合评价环境状况一般</v>
      </c>
      <c r="C66" s="3292" t="s">
        <v>3014</v>
      </c>
      <c r="D66" s="2414">
        <f t="shared" si="15"/>
        <v>4.4999999999999997E-3</v>
      </c>
      <c r="E66" s="2440"/>
      <c r="F66" s="2434"/>
      <c r="G66" s="3295">
        <f t="shared" si="19"/>
        <v>4.4999999999999997E-3</v>
      </c>
      <c r="H66" s="2413">
        <f t="shared" si="20"/>
        <v>4.4999999999999997E-3</v>
      </c>
      <c r="I66" s="2439">
        <v>0.06</v>
      </c>
      <c r="J66" s="2435">
        <f t="shared" si="16"/>
        <v>8.9999999999999993E-3</v>
      </c>
      <c r="K66" s="2435">
        <f t="shared" si="17"/>
        <v>4.4999999999999997E-3</v>
      </c>
      <c r="L66" s="2435">
        <v>0</v>
      </c>
      <c r="M66" s="2435">
        <f t="shared" si="18"/>
        <v>-4.4999999999999997E-3</v>
      </c>
      <c r="N66" s="2435">
        <f t="shared" si="18"/>
        <v>-8.9999999999999993E-3</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hidden="1">
      <c r="A67" s="2421" t="s">
        <v>1026</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hidden="1">
      <c r="A68" s="1063" t="s">
        <v>1003</v>
      </c>
      <c r="B68" s="2405"/>
      <c r="C68" s="2427" t="s">
        <v>1005</v>
      </c>
      <c r="D68" s="2428" t="s">
        <v>1006</v>
      </c>
      <c r="E68" s="2429" t="s">
        <v>1008</v>
      </c>
      <c r="F68" s="2430" t="s">
        <v>2245</v>
      </c>
      <c r="G68" s="2428" t="s">
        <v>1009</v>
      </c>
      <c r="H68" s="2411" t="s">
        <v>2413</v>
      </c>
      <c r="I68" s="2428" t="s">
        <v>1007</v>
      </c>
      <c r="J68" s="2431" t="s">
        <v>1010</v>
      </c>
      <c r="K68" s="2431" t="s">
        <v>1011</v>
      </c>
      <c r="L68" s="2431" t="s">
        <v>1012</v>
      </c>
      <c r="M68" s="2431" t="s">
        <v>1013</v>
      </c>
      <c r="N68" s="2431" t="s">
        <v>1014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hidden="1">
      <c r="A69" s="1063" t="s">
        <v>1027</v>
      </c>
      <c r="B69" s="2408" t="str">
        <f>估价对象房地状况!C15</f>
        <v>估价对象周边居住用地比例、居住小区规模和社区发展完善程度，综合评价居住社区成熟度一般</v>
      </c>
      <c r="C69" s="1155"/>
      <c r="D69" s="2414">
        <f t="shared" ref="D69:D77" si="21">SUMIF($J$68:$N$68,C69,J69:N69)</f>
        <v>0</v>
      </c>
      <c r="E69" s="2433">
        <f>ROUND(SUM(D69:D77),4)</f>
        <v>0</v>
      </c>
      <c r="F69" s="2434" t="str">
        <f>IF(E2="住宅",SUMIF(L1:L12,G2,N1:N12),"——")</f>
        <v>——</v>
      </c>
      <c r="G69" s="2415"/>
      <c r="H69" s="2459" t="str">
        <f t="shared" ref="H69:H77" si="22">IFERROR(ROUNDDOWN($F$69*I69/2,4),"——")</f>
        <v>——</v>
      </c>
      <c r="I69" s="2432">
        <v>0.14000000000000001</v>
      </c>
      <c r="J69" s="2435">
        <f t="shared" ref="J69:J77" si="23">K69+$G69</f>
        <v>0</v>
      </c>
      <c r="K69" s="2435">
        <f t="shared" ref="K69:K77" si="24">$L69+$G69</f>
        <v>0</v>
      </c>
      <c r="L69" s="2435">
        <v>0</v>
      </c>
      <c r="M69" s="2435">
        <f t="shared" ref="M69:N77" si="25">L69-$G69</f>
        <v>0</v>
      </c>
      <c r="N69" s="2435">
        <f t="shared" si="25"/>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hidden="1">
      <c r="A70" s="1063" t="s">
        <v>1028</v>
      </c>
      <c r="B70" s="2405" t="str">
        <f>估价对象房地状况!C18</f>
        <v>估价对象周边道路状况、公共交通通达情况、停车便捷程度，综合评价交通便捷度较好</v>
      </c>
      <c r="C70" s="1155"/>
      <c r="D70" s="2414">
        <f t="shared" si="21"/>
        <v>0</v>
      </c>
      <c r="E70" s="2442"/>
      <c r="F70" s="2443"/>
      <c r="G70" s="2415"/>
      <c r="H70" s="2459" t="str">
        <f t="shared" si="22"/>
        <v>——</v>
      </c>
      <c r="I70" s="2432">
        <v>0.3</v>
      </c>
      <c r="J70" s="2435">
        <f t="shared" si="23"/>
        <v>0</v>
      </c>
      <c r="K70" s="2435">
        <f t="shared" si="24"/>
        <v>0</v>
      </c>
      <c r="L70" s="2435">
        <v>0</v>
      </c>
      <c r="M70" s="2435">
        <f t="shared" si="25"/>
        <v>0</v>
      </c>
      <c r="N70" s="2435">
        <f t="shared" si="25"/>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hidden="1">
      <c r="A71" s="1063" t="s">
        <v>1017</v>
      </c>
      <c r="B71" s="2405">
        <f>估价对象房地状况!C19</f>
        <v>0</v>
      </c>
      <c r="C71" s="1155"/>
      <c r="D71" s="2414">
        <f t="shared" si="21"/>
        <v>0</v>
      </c>
      <c r="E71" s="2442"/>
      <c r="F71" s="2443"/>
      <c r="G71" s="2415"/>
      <c r="H71" s="2459" t="str">
        <f t="shared" si="22"/>
        <v>——</v>
      </c>
      <c r="I71" s="2432">
        <v>0.08</v>
      </c>
      <c r="J71" s="2435">
        <f t="shared" si="23"/>
        <v>0</v>
      </c>
      <c r="K71" s="2435">
        <f t="shared" si="24"/>
        <v>0</v>
      </c>
      <c r="L71" s="2435">
        <v>0</v>
      </c>
      <c r="M71" s="2435">
        <f t="shared" si="25"/>
        <v>0</v>
      </c>
      <c r="N71" s="2435">
        <f t="shared" si="25"/>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hidden="1">
      <c r="A72" s="1063" t="s">
        <v>1029</v>
      </c>
      <c r="B72" s="2405">
        <f>估价对象房地状况!C24</f>
        <v>0</v>
      </c>
      <c r="C72" s="1155"/>
      <c r="D72" s="2414">
        <f t="shared" si="21"/>
        <v>0</v>
      </c>
      <c r="E72" s="2442"/>
      <c r="F72" s="2443"/>
      <c r="G72" s="2415"/>
      <c r="H72" s="2459" t="str">
        <f t="shared" si="22"/>
        <v>——</v>
      </c>
      <c r="I72" s="2432">
        <v>0.04</v>
      </c>
      <c r="J72" s="2435">
        <f t="shared" si="23"/>
        <v>0</v>
      </c>
      <c r="K72" s="2435">
        <f t="shared" si="24"/>
        <v>0</v>
      </c>
      <c r="L72" s="2435">
        <v>0</v>
      </c>
      <c r="M72" s="2435">
        <f t="shared" si="25"/>
        <v>0</v>
      </c>
      <c r="N72" s="2435">
        <f t="shared" si="25"/>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hidden="1">
      <c r="A73" s="1063" t="s">
        <v>1021</v>
      </c>
      <c r="B73" s="2406" t="str">
        <f>估价对象房地状况!C21</f>
        <v>估价对象所在区域公共配套设施齐备情况</v>
      </c>
      <c r="C73" s="1155"/>
      <c r="D73" s="2414">
        <f t="shared" si="21"/>
        <v>0</v>
      </c>
      <c r="E73" s="2442"/>
      <c r="F73" s="2443"/>
      <c r="G73" s="2415"/>
      <c r="H73" s="2459" t="str">
        <f t="shared" si="22"/>
        <v>——</v>
      </c>
      <c r="I73" s="2432">
        <v>0.08</v>
      </c>
      <c r="J73" s="2435">
        <f t="shared" si="23"/>
        <v>0</v>
      </c>
      <c r="K73" s="2435">
        <f t="shared" si="24"/>
        <v>0</v>
      </c>
      <c r="L73" s="2435">
        <v>0</v>
      </c>
      <c r="M73" s="2435">
        <f t="shared" si="25"/>
        <v>0</v>
      </c>
      <c r="N73" s="2435">
        <f t="shared" si="25"/>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hidden="1">
      <c r="A74" s="1063" t="s">
        <v>1022</v>
      </c>
      <c r="B74" s="2406" t="str">
        <f>估价对象房地状况!C22</f>
        <v>估价对象所在区域基础设施水平</v>
      </c>
      <c r="C74" s="1155"/>
      <c r="D74" s="2414">
        <f t="shared" si="21"/>
        <v>0</v>
      </c>
      <c r="E74" s="2442"/>
      <c r="F74" s="2443"/>
      <c r="G74" s="2415"/>
      <c r="H74" s="2459" t="str">
        <f t="shared" si="22"/>
        <v>——</v>
      </c>
      <c r="I74" s="2432">
        <v>0.12</v>
      </c>
      <c r="J74" s="2435">
        <f t="shared" si="23"/>
        <v>0</v>
      </c>
      <c r="K74" s="2435">
        <f t="shared" si="24"/>
        <v>0</v>
      </c>
      <c r="L74" s="2435">
        <v>0</v>
      </c>
      <c r="M74" s="2435">
        <f t="shared" si="25"/>
        <v>0</v>
      </c>
      <c r="N74" s="2435">
        <f t="shared" si="25"/>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hidden="1">
      <c r="A75" s="1063" t="s">
        <v>1020</v>
      </c>
      <c r="B75" s="3091" t="s">
        <v>2934</v>
      </c>
      <c r="C75" s="1155"/>
      <c r="D75" s="2414">
        <f t="shared" si="21"/>
        <v>0</v>
      </c>
      <c r="E75" s="2442"/>
      <c r="F75" s="2443"/>
      <c r="G75" s="2415"/>
      <c r="H75" s="2459" t="str">
        <f t="shared" si="22"/>
        <v>——</v>
      </c>
      <c r="I75" s="2432">
        <v>0.05</v>
      </c>
      <c r="J75" s="2435">
        <f t="shared" si="23"/>
        <v>0</v>
      </c>
      <c r="K75" s="2435">
        <f t="shared" si="24"/>
        <v>0</v>
      </c>
      <c r="L75" s="2435">
        <v>0</v>
      </c>
      <c r="M75" s="2435">
        <f t="shared" si="25"/>
        <v>0</v>
      </c>
      <c r="N75" s="2435">
        <f t="shared" si="25"/>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hidden="1">
      <c r="A76" s="1063" t="s">
        <v>1023</v>
      </c>
      <c r="B76" s="2408" t="str">
        <f>估价对象房地状况!C20</f>
        <v>区域自然环境：；人文环境；综合评价环境状况一般</v>
      </c>
      <c r="C76" s="1155"/>
      <c r="D76" s="2414">
        <f t="shared" si="21"/>
        <v>0</v>
      </c>
      <c r="E76" s="2442"/>
      <c r="F76" s="2443"/>
      <c r="G76" s="2415"/>
      <c r="H76" s="2459" t="str">
        <f t="shared" si="22"/>
        <v>——</v>
      </c>
      <c r="I76" s="2432">
        <v>0.15</v>
      </c>
      <c r="J76" s="2435">
        <f t="shared" si="23"/>
        <v>0</v>
      </c>
      <c r="K76" s="2435">
        <f t="shared" si="24"/>
        <v>0</v>
      </c>
      <c r="L76" s="2435">
        <v>0</v>
      </c>
      <c r="M76" s="2435">
        <f t="shared" si="25"/>
        <v>0</v>
      </c>
      <c r="N76" s="2435">
        <f t="shared" si="25"/>
        <v>0</v>
      </c>
      <c r="P76" s="2196"/>
      <c r="Q76" s="2196"/>
      <c r="R76" s="2197"/>
      <c r="S76" s="2197"/>
      <c r="T76" s="2197"/>
      <c r="U76" s="2197"/>
      <c r="V76" s="2197"/>
      <c r="W76" s="2196"/>
      <c r="X76" s="2196"/>
      <c r="Y76" s="2196"/>
      <c r="Z76" s="2196"/>
      <c r="AA76" s="2196"/>
      <c r="AB76" s="2196"/>
      <c r="AC76" s="2196"/>
      <c r="AD76" s="2197"/>
      <c r="AJ76" s="1399"/>
      <c r="AN76" s="1400"/>
    </row>
    <row r="77" spans="1:40" ht="24.75" hidden="1" thickBot="1">
      <c r="A77" s="2438" t="s">
        <v>1030</v>
      </c>
      <c r="B77" s="1847"/>
      <c r="C77" s="1155"/>
      <c r="D77" s="2414">
        <f t="shared" si="21"/>
        <v>0</v>
      </c>
      <c r="E77" s="2444"/>
      <c r="F77" s="2443"/>
      <c r="G77" s="2415"/>
      <c r="H77" s="2459" t="str">
        <f t="shared" si="22"/>
        <v>——</v>
      </c>
      <c r="I77" s="2439">
        <v>0.04</v>
      </c>
      <c r="J77" s="2435">
        <f t="shared" si="23"/>
        <v>0</v>
      </c>
      <c r="K77" s="2435">
        <f t="shared" si="24"/>
        <v>0</v>
      </c>
      <c r="L77" s="2435">
        <v>0</v>
      </c>
      <c r="M77" s="2435">
        <f t="shared" si="25"/>
        <v>0</v>
      </c>
      <c r="N77" s="2435">
        <f t="shared" si="25"/>
        <v>0</v>
      </c>
      <c r="AC77" s="1401"/>
      <c r="AD77" s="1400"/>
      <c r="AJ77" s="1399"/>
      <c r="AN77" s="1400"/>
    </row>
    <row r="78" spans="1:40" ht="15" hidden="1">
      <c r="A78" s="2421" t="s">
        <v>1031</v>
      </c>
      <c r="B78" s="2422">
        <f>1+E80</f>
        <v>1</v>
      </c>
      <c r="C78" s="2441"/>
      <c r="D78" s="2424"/>
      <c r="E78" s="2425"/>
      <c r="F78" s="2426"/>
      <c r="G78" s="2420"/>
      <c r="H78" s="2420"/>
      <c r="I78" s="2420"/>
      <c r="J78" s="1062"/>
      <c r="K78" s="1062"/>
      <c r="L78" s="1062"/>
      <c r="M78" s="1062"/>
      <c r="N78" s="1062"/>
      <c r="AC78" s="1401"/>
      <c r="AD78" s="1400"/>
      <c r="AJ78" s="1399"/>
      <c r="AN78" s="1400"/>
    </row>
    <row r="79" spans="1:40" ht="24" hidden="1">
      <c r="A79" s="1063" t="s">
        <v>1003</v>
      </c>
      <c r="B79" s="2405"/>
      <c r="C79" s="2427" t="s">
        <v>1005</v>
      </c>
      <c r="D79" s="2428" t="s">
        <v>1006</v>
      </c>
      <c r="E79" s="2429" t="s">
        <v>1008</v>
      </c>
      <c r="F79" s="2430" t="s">
        <v>2245</v>
      </c>
      <c r="G79" s="2428" t="s">
        <v>1009</v>
      </c>
      <c r="H79" s="2411" t="s">
        <v>2413</v>
      </c>
      <c r="I79" s="2428" t="s">
        <v>1007</v>
      </c>
      <c r="J79" s="2431" t="s">
        <v>1010</v>
      </c>
      <c r="K79" s="2431" t="s">
        <v>1011</v>
      </c>
      <c r="L79" s="2431" t="s">
        <v>1012</v>
      </c>
      <c r="M79" s="2431" t="s">
        <v>1013</v>
      </c>
      <c r="N79" s="2431" t="s">
        <v>1014</v>
      </c>
      <c r="AC79" s="1401"/>
      <c r="AD79" s="1400"/>
      <c r="AJ79" s="1399"/>
      <c r="AN79" s="1400"/>
    </row>
    <row r="80" spans="1:40" ht="36" hidden="1">
      <c r="A80" s="1063" t="s">
        <v>1032</v>
      </c>
      <c r="B80" s="2405" t="str">
        <f>估价对象房地状况!G15</f>
        <v>估价对象位于XX开发区，园区建设成熟度XX，产业集聚程度XX</v>
      </c>
      <c r="C80" s="1046"/>
      <c r="D80" s="2414">
        <f t="shared" ref="D80:D87" si="26">SUMIF($J$79:$N$79,C80,J80:N80)</f>
        <v>0</v>
      </c>
      <c r="E80" s="2433">
        <f>ROUND(SUM(D80:D87),4)</f>
        <v>0</v>
      </c>
      <c r="F80" s="2434" t="str">
        <f>IF(E2="工业",SUMIF(L1:L12,G2,N1:N12),"——")</f>
        <v>——</v>
      </c>
      <c r="G80" s="2412"/>
      <c r="H80" s="2458" t="str">
        <f t="shared" ref="H80:H87" si="27">IFERROR(ROUNDDOWN($F$80*I80/2,4),"——")</f>
        <v>——</v>
      </c>
      <c r="I80" s="2432">
        <v>0.26</v>
      </c>
      <c r="J80" s="2435">
        <f t="shared" ref="J80:J87" si="28">K80+$G80</f>
        <v>0</v>
      </c>
      <c r="K80" s="2435">
        <f t="shared" ref="K80:K87" si="29">$L80+$G80</f>
        <v>0</v>
      </c>
      <c r="L80" s="2435">
        <v>0</v>
      </c>
      <c r="M80" s="2435">
        <f t="shared" ref="M80:N87" si="30">L80-$G80</f>
        <v>0</v>
      </c>
      <c r="N80" s="2435">
        <f t="shared" si="30"/>
        <v>0</v>
      </c>
      <c r="AC80" s="1401"/>
      <c r="AD80" s="1400"/>
      <c r="AJ80" s="1399"/>
      <c r="AN80" s="1400"/>
    </row>
    <row r="81" spans="1:40" ht="48" hidden="1">
      <c r="A81" s="1063" t="s">
        <v>1028</v>
      </c>
      <c r="B81" s="2405" t="str">
        <f>估价对象房地状况!G16</f>
        <v>估价对象周边道路状况、公共交通通达情况、停车便捷程度，综合评价交通便捷度较好</v>
      </c>
      <c r="C81" s="1046"/>
      <c r="D81" s="2414">
        <f t="shared" si="26"/>
        <v>0</v>
      </c>
      <c r="E81" s="2442"/>
      <c r="F81" s="2443"/>
      <c r="G81" s="2412"/>
      <c r="H81" s="2458" t="str">
        <f t="shared" si="27"/>
        <v>——</v>
      </c>
      <c r="I81" s="2432">
        <v>0.33</v>
      </c>
      <c r="J81" s="2435">
        <f t="shared" si="28"/>
        <v>0</v>
      </c>
      <c r="K81" s="2435">
        <f t="shared" si="29"/>
        <v>0</v>
      </c>
      <c r="L81" s="2435">
        <v>0</v>
      </c>
      <c r="M81" s="2435">
        <f t="shared" si="30"/>
        <v>0</v>
      </c>
      <c r="N81" s="2435">
        <f t="shared" si="30"/>
        <v>0</v>
      </c>
      <c r="AC81" s="1401"/>
      <c r="AD81" s="1400"/>
      <c r="AJ81" s="1399"/>
      <c r="AN81" s="1400"/>
    </row>
    <row r="82" spans="1:40" ht="24" hidden="1">
      <c r="A82" s="1063" t="s">
        <v>1017</v>
      </c>
      <c r="B82" s="2405">
        <f>估价对象房地状况!G17</f>
        <v>0</v>
      </c>
      <c r="C82" s="1046"/>
      <c r="D82" s="2414">
        <f t="shared" si="26"/>
        <v>0</v>
      </c>
      <c r="E82" s="2442"/>
      <c r="F82" s="2443"/>
      <c r="G82" s="2412"/>
      <c r="H82" s="2458" t="str">
        <f t="shared" si="27"/>
        <v>——</v>
      </c>
      <c r="I82" s="2432">
        <v>0.05</v>
      </c>
      <c r="J82" s="2435">
        <f t="shared" si="28"/>
        <v>0</v>
      </c>
      <c r="K82" s="2435">
        <f t="shared" si="29"/>
        <v>0</v>
      </c>
      <c r="L82" s="2435">
        <v>0</v>
      </c>
      <c r="M82" s="2435">
        <f t="shared" si="30"/>
        <v>0</v>
      </c>
      <c r="N82" s="2435">
        <f t="shared" si="30"/>
        <v>0</v>
      </c>
      <c r="AC82" s="1401"/>
      <c r="AD82" s="1400"/>
      <c r="AJ82" s="1399"/>
      <c r="AN82" s="1400"/>
    </row>
    <row r="83" spans="1:40" ht="14.25" hidden="1">
      <c r="A83" s="1063" t="s">
        <v>1029</v>
      </c>
      <c r="B83" s="2405">
        <f>估价对象房地状况!G22</f>
        <v>0</v>
      </c>
      <c r="C83" s="1046"/>
      <c r="D83" s="2414">
        <f t="shared" si="26"/>
        <v>0</v>
      </c>
      <c r="E83" s="2442"/>
      <c r="F83" s="2443"/>
      <c r="G83" s="2412"/>
      <c r="H83" s="2458" t="str">
        <f t="shared" si="27"/>
        <v>——</v>
      </c>
      <c r="I83" s="2432">
        <v>0.04</v>
      </c>
      <c r="J83" s="2435">
        <f t="shared" si="28"/>
        <v>0</v>
      </c>
      <c r="K83" s="2435">
        <f t="shared" si="29"/>
        <v>0</v>
      </c>
      <c r="L83" s="2435">
        <v>0</v>
      </c>
      <c r="M83" s="2435">
        <f t="shared" si="30"/>
        <v>0</v>
      </c>
      <c r="N83" s="2435">
        <f t="shared" si="30"/>
        <v>0</v>
      </c>
      <c r="AC83" s="1401"/>
      <c r="AD83" s="1400"/>
      <c r="AJ83" s="1399"/>
      <c r="AN83" s="1400"/>
    </row>
    <row r="84" spans="1:40" ht="24" hidden="1">
      <c r="A84" s="1063" t="s">
        <v>1021</v>
      </c>
      <c r="B84" s="2406" t="str">
        <f>估价对象房地状况!G19</f>
        <v>估价对象所在区域公共配套设施齐备情况</v>
      </c>
      <c r="C84" s="1046"/>
      <c r="D84" s="2414">
        <f t="shared" si="26"/>
        <v>0</v>
      </c>
      <c r="E84" s="2442"/>
      <c r="F84" s="2443"/>
      <c r="G84" s="2412"/>
      <c r="H84" s="2458" t="str">
        <f t="shared" si="27"/>
        <v>——</v>
      </c>
      <c r="I84" s="2432">
        <v>0.06</v>
      </c>
      <c r="J84" s="2435">
        <f t="shared" si="28"/>
        <v>0</v>
      </c>
      <c r="K84" s="2435">
        <f t="shared" si="29"/>
        <v>0</v>
      </c>
      <c r="L84" s="2435">
        <v>0</v>
      </c>
      <c r="M84" s="2435">
        <f t="shared" si="30"/>
        <v>0</v>
      </c>
      <c r="N84" s="2435">
        <f t="shared" si="30"/>
        <v>0</v>
      </c>
      <c r="AC84" s="1401"/>
      <c r="AD84" s="1400"/>
      <c r="AJ84" s="1399"/>
      <c r="AN84" s="1400"/>
    </row>
    <row r="85" spans="1:40" ht="24" hidden="1">
      <c r="A85" s="1063" t="s">
        <v>1022</v>
      </c>
      <c r="B85" s="2406" t="str">
        <f>估价对象房地状况!G20</f>
        <v>估价对象所在区域基础设施水平</v>
      </c>
      <c r="C85" s="1046"/>
      <c r="D85" s="2414">
        <f t="shared" si="26"/>
        <v>0</v>
      </c>
      <c r="E85" s="2442"/>
      <c r="F85" s="2443"/>
      <c r="G85" s="2412"/>
      <c r="H85" s="2458" t="str">
        <f t="shared" si="27"/>
        <v>——</v>
      </c>
      <c r="I85" s="2432">
        <v>0.15</v>
      </c>
      <c r="J85" s="2435">
        <f t="shared" si="28"/>
        <v>0</v>
      </c>
      <c r="K85" s="2435">
        <f t="shared" si="29"/>
        <v>0</v>
      </c>
      <c r="L85" s="2435">
        <v>0</v>
      </c>
      <c r="M85" s="2435">
        <f t="shared" si="30"/>
        <v>0</v>
      </c>
      <c r="N85" s="2435">
        <f t="shared" si="30"/>
        <v>0</v>
      </c>
      <c r="AC85" s="1401"/>
      <c r="AD85" s="1400"/>
      <c r="AJ85" s="1399"/>
      <c r="AN85" s="1400"/>
    </row>
    <row r="86" spans="1:40" ht="24" hidden="1">
      <c r="A86" s="1063" t="s">
        <v>1020</v>
      </c>
      <c r="B86" s="3091" t="s">
        <v>2934</v>
      </c>
      <c r="C86" s="1046"/>
      <c r="D86" s="2414">
        <f t="shared" si="26"/>
        <v>0</v>
      </c>
      <c r="E86" s="2442"/>
      <c r="F86" s="2443"/>
      <c r="G86" s="2412"/>
      <c r="H86" s="2458" t="str">
        <f t="shared" si="27"/>
        <v>——</v>
      </c>
      <c r="I86" s="2432">
        <v>0.05</v>
      </c>
      <c r="J86" s="2435">
        <f t="shared" si="28"/>
        <v>0</v>
      </c>
      <c r="K86" s="2435">
        <f t="shared" si="29"/>
        <v>0</v>
      </c>
      <c r="L86" s="2435">
        <v>0</v>
      </c>
      <c r="M86" s="2435">
        <f t="shared" si="30"/>
        <v>0</v>
      </c>
      <c r="N86" s="2435">
        <f t="shared" si="30"/>
        <v>0</v>
      </c>
      <c r="AC86" s="1401"/>
      <c r="AD86" s="1400"/>
      <c r="AJ86" s="1399"/>
      <c r="AN86" s="1400"/>
    </row>
    <row r="87" spans="1:40" ht="36.75" hidden="1" thickBot="1">
      <c r="A87" s="2438" t="s">
        <v>1033</v>
      </c>
      <c r="B87" s="2407" t="str">
        <f>估价对象房地状况!G18</f>
        <v>该园区内是否有污染型企业，绿化情况，卫生条件，整体环境状况判断</v>
      </c>
      <c r="C87" s="1046"/>
      <c r="D87" s="2414">
        <f t="shared" si="26"/>
        <v>0</v>
      </c>
      <c r="E87" s="2444"/>
      <c r="F87" s="2443"/>
      <c r="G87" s="2412"/>
      <c r="H87" s="2458" t="str">
        <f t="shared" si="27"/>
        <v>——</v>
      </c>
      <c r="I87" s="2439">
        <v>0.06</v>
      </c>
      <c r="J87" s="2435">
        <f t="shared" si="28"/>
        <v>0</v>
      </c>
      <c r="K87" s="2435">
        <f t="shared" si="29"/>
        <v>0</v>
      </c>
      <c r="L87" s="2435">
        <v>0</v>
      </c>
      <c r="M87" s="2435">
        <f t="shared" si="30"/>
        <v>0</v>
      </c>
      <c r="N87" s="2435">
        <f t="shared" si="30"/>
        <v>0</v>
      </c>
      <c r="AC87" s="1401"/>
      <c r="AD87" s="1400"/>
      <c r="AJ87" s="1399"/>
      <c r="AN87" s="1400"/>
    </row>
    <row r="90" spans="1:40">
      <c r="A90" s="3527" t="s">
        <v>1628</v>
      </c>
      <c r="B90" s="3527"/>
      <c r="C90" s="3527"/>
      <c r="D90" s="3527"/>
      <c r="E90" s="3527"/>
      <c r="F90" s="3527"/>
      <c r="G90" s="3527"/>
      <c r="H90" s="3527"/>
      <c r="I90" s="3527"/>
      <c r="J90" s="3527"/>
      <c r="K90" s="3181"/>
      <c r="L90" s="3181"/>
      <c r="M90" s="3181"/>
      <c r="N90" s="3181"/>
    </row>
    <row r="91" spans="1:40">
      <c r="A91" s="3528" t="s">
        <v>916</v>
      </c>
      <c r="B91" s="3528" t="s">
        <v>1629</v>
      </c>
      <c r="C91" s="1136" t="s">
        <v>1630</v>
      </c>
      <c r="D91" s="1137"/>
      <c r="E91" s="1137"/>
      <c r="F91" s="1137"/>
      <c r="G91" s="1137"/>
      <c r="H91" s="1137"/>
      <c r="I91" s="1137"/>
      <c r="J91" s="1138"/>
      <c r="K91" s="1130"/>
      <c r="L91" s="1130"/>
      <c r="M91" s="1130"/>
      <c r="N91" s="1130"/>
    </row>
    <row r="92" spans="1:40">
      <c r="A92" s="3528"/>
      <c r="B92" s="3528"/>
      <c r="C92" s="3182" t="s">
        <v>878</v>
      </c>
      <c r="D92" s="3182" t="s">
        <v>879</v>
      </c>
      <c r="E92" s="3182" t="s">
        <v>880</v>
      </c>
      <c r="F92" s="3182" t="s">
        <v>881</v>
      </c>
      <c r="G92" s="3182" t="s">
        <v>882</v>
      </c>
      <c r="H92" s="3182" t="s">
        <v>883</v>
      </c>
      <c r="I92" s="3182" t="s">
        <v>884</v>
      </c>
      <c r="J92" s="3182" t="s">
        <v>885</v>
      </c>
      <c r="K92" s="3182" t="s">
        <v>886</v>
      </c>
      <c r="L92" s="3182" t="s">
        <v>887</v>
      </c>
      <c r="M92" s="3182" t="s">
        <v>888</v>
      </c>
      <c r="N92" s="3182" t="s">
        <v>912</v>
      </c>
    </row>
    <row r="93" spans="1:40">
      <c r="A93" s="352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0"/>
      <c r="B99" s="1139" t="s">
        <v>1631</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5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29" t="s">
        <v>1632</v>
      </c>
      <c r="B101" s="1143" t="s">
        <v>877</v>
      </c>
      <c r="C101" s="1144">
        <f>$G$3</f>
        <v>2.5</v>
      </c>
      <c r="D101" s="1144">
        <f t="shared" ref="D101:N101" si="32">$G$3</f>
        <v>2.5</v>
      </c>
      <c r="E101" s="1144">
        <f t="shared" si="32"/>
        <v>2.5</v>
      </c>
      <c r="F101" s="1144">
        <f t="shared" si="32"/>
        <v>2.5</v>
      </c>
      <c r="G101" s="1144">
        <f t="shared" si="32"/>
        <v>2.5</v>
      </c>
      <c r="H101" s="1144">
        <f t="shared" si="32"/>
        <v>2.5</v>
      </c>
      <c r="I101" s="1144">
        <f t="shared" si="32"/>
        <v>2.5</v>
      </c>
      <c r="J101" s="1144">
        <f t="shared" si="32"/>
        <v>2.5</v>
      </c>
      <c r="K101" s="1144">
        <f t="shared" si="32"/>
        <v>2.5</v>
      </c>
      <c r="L101" s="1144">
        <f t="shared" si="32"/>
        <v>2.5</v>
      </c>
      <c r="M101" s="1144">
        <f t="shared" si="32"/>
        <v>2.5</v>
      </c>
      <c r="N101" s="1144">
        <f t="shared" si="32"/>
        <v>2.5</v>
      </c>
    </row>
    <row r="102" spans="1:14">
      <c r="A102" s="3530"/>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530"/>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530"/>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530"/>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530"/>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530"/>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530"/>
      <c r="B108" s="3532" t="s">
        <v>1633</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531"/>
      <c r="B109" s="3533"/>
      <c r="C109" s="1142">
        <f>(-0.163*(C108^2)-0.59*C108+7617)*(10^(-4))/C101</f>
        <v>0.30407392</v>
      </c>
      <c r="D109" s="1142">
        <f>(-0.163*(D108^2)-0.59*D108+7617)*(10^(-4))/D101</f>
        <v>0.30407392</v>
      </c>
      <c r="E109" s="1142">
        <f>(-0.161*(E108^2)-7.509*E108+6533)*(10^(-4))/E101</f>
        <v>0.25850496000000001</v>
      </c>
      <c r="F109" s="1142">
        <f>(-0.161*(F108^2)-7.509*F108+6533)*(10^(-4))/F101</f>
        <v>0.25850496000000001</v>
      </c>
      <c r="G109" s="1142">
        <f>(-0.161*(G108^2)-7.509*G108+6533)*(10^(-4))/G101</f>
        <v>0.25850496000000001</v>
      </c>
      <c r="H109" s="1142">
        <f>(-0.161*(H108^2)-7.509*H108+6533)*(10^(-4))/H101</f>
        <v>0.25850496000000001</v>
      </c>
      <c r="I109" s="1142">
        <f>(-0.161*(I108^2)-7.509*I108+6533)*(10^(-4))/I101</f>
        <v>0.25850496000000001</v>
      </c>
      <c r="J109" s="1142">
        <f>(-0.214*(J108^2)-21.991*J108+4665)*(10^(-4))/J101</f>
        <v>0.17901504000000001</v>
      </c>
      <c r="K109" s="1142">
        <f>(-0.214*(K108^2)-21.991*K108+4665)*(10^(-4))/K101</f>
        <v>0.17901504000000001</v>
      </c>
      <c r="L109" s="1142">
        <f>(-0.214*(L108^2)-21.991*L108+4665)*(10^(-4))/L101</f>
        <v>0.17901504000000001</v>
      </c>
      <c r="M109" s="1142">
        <f>(-0.214*(M108^2)-21.991*M108+4665)*(10^(-4))/M101</f>
        <v>0.17901504000000001</v>
      </c>
      <c r="N109" s="1142">
        <f>(-0.214*(N108^2)-21.991*N108+4665)*(10^(-4))/N101</f>
        <v>0.17901504000000001</v>
      </c>
    </row>
    <row r="110" spans="1:14">
      <c r="A110" s="3523" t="s">
        <v>1634</v>
      </c>
      <c r="B110" s="3523"/>
      <c r="C110" s="3523"/>
      <c r="D110" s="3523"/>
      <c r="E110" s="3523"/>
      <c r="F110" s="3523"/>
      <c r="G110" s="3523"/>
      <c r="H110" s="3523"/>
      <c r="I110" s="3523"/>
      <c r="J110" s="3523"/>
      <c r="K110" s="3180"/>
      <c r="L110" s="3180"/>
      <c r="M110" s="3180"/>
      <c r="N110" s="3180"/>
    </row>
    <row r="112" spans="1:14" ht="12.75" thickBot="1"/>
    <row r="113" spans="1:13" ht="25.5" thickBot="1">
      <c r="A113" s="1012" t="s">
        <v>890</v>
      </c>
      <c r="B113" s="2448">
        <f>G3</f>
        <v>2.5</v>
      </c>
      <c r="C113" s="1013" t="s">
        <v>891</v>
      </c>
      <c r="D113" s="1014">
        <f>SUMPRODUCT((A115:A118=F113)*(B114:M114=H113)*B115:M118)</f>
        <v>0.73440000000000005</v>
      </c>
      <c r="E113" s="1015" t="s">
        <v>892</v>
      </c>
      <c r="F113" s="1016" t="str">
        <f>E2</f>
        <v>办公</v>
      </c>
      <c r="G113" s="1015" t="s">
        <v>893</v>
      </c>
      <c r="H113" s="1016" t="str">
        <f>G2</f>
        <v>九级</v>
      </c>
      <c r="I113" s="1015"/>
      <c r="J113" s="1007"/>
      <c r="K113" s="1007"/>
      <c r="L113" s="1007"/>
      <c r="M113" s="1007"/>
    </row>
    <row r="114" spans="1:13" ht="12.75">
      <c r="A114" s="1019"/>
      <c r="B114" s="1020" t="s">
        <v>878</v>
      </c>
      <c r="C114" s="1020" t="s">
        <v>879</v>
      </c>
      <c r="D114" s="1020" t="s">
        <v>880</v>
      </c>
      <c r="E114" s="1021" t="s">
        <v>881</v>
      </c>
      <c r="F114" s="1021" t="s">
        <v>882</v>
      </c>
      <c r="G114" s="1021" t="s">
        <v>883</v>
      </c>
      <c r="H114" s="1022" t="s">
        <v>884</v>
      </c>
      <c r="I114" s="1022" t="s">
        <v>885</v>
      </c>
      <c r="J114" s="1023" t="s">
        <v>886</v>
      </c>
      <c r="K114" s="1023" t="s">
        <v>887</v>
      </c>
      <c r="L114" s="1023" t="s">
        <v>888</v>
      </c>
      <c r="M114" s="1024" t="s">
        <v>889</v>
      </c>
    </row>
    <row r="115" spans="1:13" ht="12.75">
      <c r="A115" s="1025" t="s">
        <v>894</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4">I115</f>
        <v>0.65029999999999999</v>
      </c>
      <c r="K115" s="1026">
        <f t="shared" si="34"/>
        <v>0.65029999999999999</v>
      </c>
      <c r="L115" s="1026">
        <f t="shared" si="34"/>
        <v>0.65029999999999999</v>
      </c>
      <c r="M115" s="1027">
        <f t="shared" si="34"/>
        <v>0.65029999999999999</v>
      </c>
    </row>
    <row r="116" spans="1:13" ht="12.75">
      <c r="A116" s="1025" t="s">
        <v>895</v>
      </c>
      <c r="B116" s="1026">
        <f>ROUND(0.949-0.012*B113,4)</f>
        <v>0.91900000000000004</v>
      </c>
      <c r="C116" s="1026">
        <f>B116</f>
        <v>0.91900000000000004</v>
      </c>
      <c r="D116" s="1026">
        <f>ROUND(0.8567-0.013*B113,4)</f>
        <v>0.82420000000000004</v>
      </c>
      <c r="E116" s="1026">
        <f t="shared" ref="E116:H117" si="35">D116</f>
        <v>0.82420000000000004</v>
      </c>
      <c r="F116" s="1026">
        <f t="shared" si="35"/>
        <v>0.82420000000000004</v>
      </c>
      <c r="G116" s="1026">
        <f t="shared" si="35"/>
        <v>0.82420000000000004</v>
      </c>
      <c r="H116" s="1026">
        <f t="shared" si="35"/>
        <v>0.82420000000000004</v>
      </c>
      <c r="I116" s="1026">
        <f>ROUND(0.7694-0.014*B113,4)</f>
        <v>0.73440000000000005</v>
      </c>
      <c r="J116" s="1026">
        <f t="shared" si="34"/>
        <v>0.73440000000000005</v>
      </c>
      <c r="K116" s="1026">
        <f t="shared" si="34"/>
        <v>0.73440000000000005</v>
      </c>
      <c r="L116" s="1026">
        <f t="shared" si="34"/>
        <v>0.73440000000000005</v>
      </c>
      <c r="M116" s="1027">
        <f t="shared" si="34"/>
        <v>0.73440000000000005</v>
      </c>
    </row>
    <row r="117" spans="1:13" ht="12.75">
      <c r="A117" s="1028" t="s">
        <v>896</v>
      </c>
      <c r="B117" s="1026">
        <f>ROUND(0.8808-0.006*B113,4)</f>
        <v>0.86580000000000001</v>
      </c>
      <c r="C117" s="1026">
        <f>B117</f>
        <v>0.86580000000000001</v>
      </c>
      <c r="D117" s="1026">
        <f>ROUND(0.8748-0.008*B113,4)</f>
        <v>0.8548</v>
      </c>
      <c r="E117" s="1026">
        <f t="shared" si="35"/>
        <v>0.8548</v>
      </c>
      <c r="F117" s="1026">
        <f t="shared" si="35"/>
        <v>0.8548</v>
      </c>
      <c r="G117" s="1026">
        <f t="shared" si="35"/>
        <v>0.8548</v>
      </c>
      <c r="H117" s="1026">
        <f t="shared" si="35"/>
        <v>0.8548</v>
      </c>
      <c r="I117" s="1026">
        <f>ROUND(0.7412-0.0095*B113,4)</f>
        <v>0.71750000000000003</v>
      </c>
      <c r="J117" s="1026">
        <f t="shared" si="34"/>
        <v>0.71750000000000003</v>
      </c>
      <c r="K117" s="1026">
        <f t="shared" si="34"/>
        <v>0.71750000000000003</v>
      </c>
      <c r="L117" s="1026">
        <f t="shared" si="34"/>
        <v>0.71750000000000003</v>
      </c>
      <c r="M117" s="1027">
        <f t="shared" si="34"/>
        <v>0.71750000000000003</v>
      </c>
    </row>
    <row r="118" spans="1:13" ht="13.5" thickBot="1">
      <c r="A118" s="1029" t="s">
        <v>897</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4"/>
        <v>0.53269999999999995</v>
      </c>
      <c r="K118" s="1030">
        <f t="shared" si="34"/>
        <v>0.53269999999999995</v>
      </c>
      <c r="L118" s="1030">
        <f t="shared" si="34"/>
        <v>0.53269999999999995</v>
      </c>
      <c r="M118" s="1031">
        <f t="shared" si="34"/>
        <v>0.53269999999999995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D23" sqref="D2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460</v>
      </c>
      <c r="B1" s="2806" t="s">
        <v>1672</v>
      </c>
      <c r="C1" s="2101"/>
      <c r="D1" s="2101"/>
      <c r="E1" s="2101"/>
      <c r="F1" s="2101"/>
      <c r="G1" s="2101"/>
      <c r="H1" s="2101"/>
      <c r="I1" s="2101"/>
      <c r="J1" s="2101"/>
      <c r="K1" s="418">
        <f>MATCH(B1,'数据-取费表'!A6:A16,0)+5</f>
        <v>8</v>
      </c>
    </row>
    <row r="2" spans="1:31" s="2038" customFormat="1" ht="18" customHeight="1">
      <c r="A2" s="2098" t="s">
        <v>461</v>
      </c>
      <c r="B2" s="2102">
        <f ca="1">C36</f>
        <v>8994</v>
      </c>
      <c r="C2" s="2101"/>
      <c r="D2" s="2101"/>
      <c r="E2" s="2101"/>
      <c r="F2" s="2101"/>
      <c r="G2" s="2101"/>
      <c r="H2" s="2101"/>
      <c r="I2" s="2101"/>
      <c r="J2" s="2101"/>
      <c r="K2" s="2101"/>
    </row>
    <row r="3" spans="1:31" s="2038" customFormat="1" ht="18" customHeight="1">
      <c r="A3" s="2103" t="s">
        <v>1677</v>
      </c>
      <c r="B3" s="2104">
        <f ca="1">ROUND(B2*10000/IF(B1="",'数据-汇总表'!E3,INDIRECT("'数据-取费表'!K"&amp;$K$1)),0)</f>
        <v>6481</v>
      </c>
      <c r="C3" s="2101"/>
      <c r="D3" s="2101"/>
      <c r="E3" s="2101"/>
      <c r="F3" s="2101"/>
      <c r="G3" s="2101"/>
      <c r="H3" s="2101"/>
      <c r="I3" s="2101"/>
      <c r="J3" s="2101"/>
      <c r="K3" s="2101"/>
    </row>
    <row r="4" spans="1:31" s="2038" customFormat="1" ht="18" customHeight="1">
      <c r="A4" s="422" t="s">
        <v>462</v>
      </c>
      <c r="B4" s="423">
        <f ca="1">ROUND(B2*10000/IF(B1="",'数据-汇总表'!D3,INDIRECT("'数据-取费表'!R"&amp;$K$1)),0)</f>
        <v>25137</v>
      </c>
      <c r="C4" s="424"/>
      <c r="D4" s="418"/>
      <c r="E4" s="418"/>
      <c r="F4" s="418"/>
      <c r="G4" s="418"/>
      <c r="H4" s="418"/>
      <c r="I4" s="418"/>
      <c r="J4" s="418"/>
      <c r="K4" s="418"/>
    </row>
    <row r="5" spans="1:31" s="2038" customFormat="1" ht="18" customHeight="1" thickBot="1">
      <c r="A5" s="425"/>
      <c r="B5" s="426">
        <f ca="1">ROUND(B2/(IF(B1="",'数据-汇总表'!D3,INDIRECT("'数据-取费表'!R"&amp;$K$1))/666.67),0)</f>
        <v>1676</v>
      </c>
      <c r="C5" s="427" t="s">
        <v>463</v>
      </c>
      <c r="D5" s="418"/>
      <c r="E5" s="418"/>
      <c r="F5" s="418"/>
      <c r="G5" s="418"/>
      <c r="H5" s="418"/>
      <c r="I5" s="418"/>
      <c r="J5" s="418"/>
      <c r="K5" s="418"/>
    </row>
    <row r="6" spans="1:31" s="2108" customFormat="1" ht="16.5" customHeight="1">
      <c r="A6" s="2825" t="s">
        <v>1835</v>
      </c>
      <c r="B6" s="2826"/>
      <c r="C6" s="2827">
        <f ca="1">SUM(C10:K10)</f>
        <v>21867</v>
      </c>
      <c r="D6" s="2826"/>
      <c r="E6" s="2826"/>
      <c r="F6" s="2826"/>
      <c r="G6" s="2826"/>
      <c r="H6" s="2826"/>
      <c r="I6" s="2826"/>
      <c r="J6" s="2826"/>
      <c r="K6" s="2828"/>
    </row>
    <row r="7" spans="1:31" s="2110" customFormat="1" ht="15">
      <c r="A7" s="2829" t="s">
        <v>464</v>
      </c>
      <c r="B7" s="2830" t="s">
        <v>465</v>
      </c>
      <c r="C7" s="432" t="s">
        <v>1672</v>
      </c>
      <c r="D7" s="432"/>
      <c r="E7" s="432"/>
      <c r="F7" s="432"/>
      <c r="G7" s="432"/>
      <c r="H7" s="432"/>
      <c r="I7" s="432"/>
      <c r="J7" s="432"/>
      <c r="K7" s="433"/>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799" t="s">
        <v>1838</v>
      </c>
      <c r="B8" s="260" t="s">
        <v>466</v>
      </c>
      <c r="C8" s="2831"/>
      <c r="D8" s="2831"/>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799" t="s">
        <v>1839</v>
      </c>
      <c r="B9" s="260" t="s">
        <v>467</v>
      </c>
      <c r="C9" s="437">
        <f>SUMIF('数据-汇总表'!$C19:$C33,'剩余法-办公'!C7,'数据-汇总表'!$E19:$E33)</f>
        <v>13877</v>
      </c>
      <c r="D9" s="437">
        <f>SUMIF('数据-汇总表'!$C19:$C33,'剩余法-办公'!D7,'数据-汇总表'!$E19:$E33)</f>
        <v>0</v>
      </c>
      <c r="E9" s="437">
        <f>SUMIF('数据-汇总表'!$C19:$C33,'剩余法-办公'!E7,'数据-汇总表'!$E19:$E33)</f>
        <v>0</v>
      </c>
      <c r="F9" s="437">
        <f>SUMIF('数据-汇总表'!$C19:$C33,'剩余法-办公'!F7,'数据-汇总表'!$E19:$E33)</f>
        <v>0</v>
      </c>
      <c r="G9" s="437">
        <f>SUMIF('数据-汇总表'!$C19:$C33,'剩余法-办公'!G7,'数据-汇总表'!$E19:$E33)</f>
        <v>0</v>
      </c>
      <c r="H9" s="437">
        <f>SUMIF('数据-汇总表'!$C19:$C33,'剩余法-办公'!H7,'数据-汇总表'!$E19:$E33)</f>
        <v>0</v>
      </c>
      <c r="I9" s="437">
        <f>SUMIF('数据-汇总表'!$C19:$C33,'剩余法-办公'!I7,'数据-汇总表'!$E19:$E33)</f>
        <v>0</v>
      </c>
      <c r="J9" s="437">
        <f>SUMIF('数据-汇总表'!$C19:$C33,'剩余法-办公'!J7,'数据-汇总表'!$E19:$E33)</f>
        <v>0</v>
      </c>
      <c r="K9" s="438">
        <f>SUMIF('数据-汇总表'!$C19:$C33,'剩余法-办公'!K7,'数据-汇总表'!$E19:$E33)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1840</v>
      </c>
      <c r="B10" s="2819" t="s">
        <v>468</v>
      </c>
      <c r="C10" s="3023">
        <f ca="1">不动产收益法办公!B2</f>
        <v>21867</v>
      </c>
      <c r="D10" s="3023"/>
      <c r="E10" s="3023"/>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1836</v>
      </c>
      <c r="B11" s="2826"/>
      <c r="C11" s="2826"/>
      <c r="D11" s="2826"/>
      <c r="E11" s="2826"/>
      <c r="F11" s="2826"/>
      <c r="G11" s="2826"/>
      <c r="H11" s="2826"/>
      <c r="I11" s="2826"/>
      <c r="J11" s="2826"/>
      <c r="K11" s="2828"/>
    </row>
    <row r="12" spans="1:31" s="2082" customFormat="1" ht="13.5" customHeight="1">
      <c r="A12" s="2837" t="s">
        <v>464</v>
      </c>
      <c r="B12" s="2809" t="s">
        <v>465</v>
      </c>
      <c r="C12" s="2838" t="s">
        <v>469</v>
      </c>
      <c r="D12" s="3173" t="s">
        <v>470</v>
      </c>
      <c r="E12" s="3173" t="s">
        <v>471</v>
      </c>
      <c r="F12" s="3173" t="s">
        <v>472</v>
      </c>
      <c r="G12" s="2809"/>
      <c r="H12" s="2810"/>
      <c r="I12" s="2810"/>
      <c r="J12" s="2810"/>
      <c r="K12" s="2811"/>
    </row>
    <row r="13" spans="1:31" s="2113" customFormat="1" ht="13.5" customHeight="1">
      <c r="A13" s="2839" t="s">
        <v>1841</v>
      </c>
      <c r="B13" s="2840" t="s">
        <v>473</v>
      </c>
      <c r="C13" s="446">
        <f ca="1">IF(B1="",'数据-取费表'!P16,INDIRECT("'数据-取费表'!p"&amp;$K$1)+INDIRECT("'数据-取费表'!t"&amp;$K$1))</f>
        <v>4857</v>
      </c>
      <c r="D13" s="2841"/>
      <c r="E13" s="2842"/>
      <c r="F13" s="2843"/>
      <c r="G13" s="2809"/>
      <c r="H13" s="2810"/>
      <c r="I13" s="2810"/>
      <c r="J13" s="2810"/>
      <c r="K13" s="2811"/>
    </row>
    <row r="14" spans="1:31" s="2113" customFormat="1" ht="13.5" customHeight="1">
      <c r="A14" s="2839" t="s">
        <v>1842</v>
      </c>
      <c r="B14" s="2840" t="s">
        <v>474</v>
      </c>
      <c r="C14" s="53">
        <f ca="1">ROUND(C13*F14,0)</f>
        <v>146</v>
      </c>
      <c r="D14" s="2841"/>
      <c r="E14" s="2842"/>
      <c r="F14" s="2844">
        <f>'数据-取费表'!B33</f>
        <v>0.03</v>
      </c>
      <c r="G14" s="2809" t="s">
        <v>475</v>
      </c>
      <c r="H14" s="2810"/>
      <c r="I14" s="2810"/>
      <c r="J14" s="2810"/>
      <c r="K14" s="2811"/>
    </row>
    <row r="15" spans="1:31" s="2113" customFormat="1" ht="13.5" customHeight="1">
      <c r="A15" s="2839" t="s">
        <v>1843</v>
      </c>
      <c r="B15" s="2840" t="s">
        <v>476</v>
      </c>
      <c r="C15" s="53">
        <f ca="1">ROUND(IF(B1="",SUMIF('数据-取费表'!C:C,"住宅",'数据-取费表'!P:P)*F15,IF(INDIRECT("'数据-取费表'!c"&amp;$K$1)="住宅",INDIRECT("'数据-取费表'!P"&amp;$K$1)*F15,0)),0)</f>
        <v>0</v>
      </c>
      <c r="D15" s="2841"/>
      <c r="E15" s="2842"/>
      <c r="F15" s="2844">
        <f>'数据-取费表'!B34</f>
        <v>0.15</v>
      </c>
      <c r="G15" s="2809" t="s">
        <v>477</v>
      </c>
      <c r="H15" s="2810"/>
      <c r="I15" s="2810"/>
      <c r="J15" s="2810"/>
      <c r="K15" s="2811"/>
    </row>
    <row r="16" spans="1:31" s="2114" customFormat="1" ht="13.5" customHeight="1">
      <c r="A16" s="2839" t="s">
        <v>1844</v>
      </c>
      <c r="B16" s="2840" t="s">
        <v>478</v>
      </c>
      <c r="C16" s="53">
        <f ca="1">ROUND(D16*E16/10000,0)</f>
        <v>278</v>
      </c>
      <c r="D16" s="2841">
        <f ca="1">IF(B1="",'数据-汇总表'!E3,INDIRECT("'数据-取费表'!K"&amp;$K$1)+INDIRECT("'数据-取费表'!S"&amp;$K$1))</f>
        <v>13877</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1845</v>
      </c>
      <c r="B17" s="2840" t="s">
        <v>479</v>
      </c>
      <c r="C17" s="2845">
        <f ca="1">ROUND(C13*F17,0)</f>
        <v>73</v>
      </c>
      <c r="D17" s="471"/>
      <c r="E17" s="2845"/>
      <c r="F17" s="2846">
        <f>'数据-取费表'!B36</f>
        <v>1.4999999999999999E-2</v>
      </c>
      <c r="G17" s="260" t="s">
        <v>480</v>
      </c>
      <c r="H17" s="2812"/>
      <c r="I17" s="2812"/>
      <c r="J17" s="2812"/>
      <c r="K17" s="275"/>
    </row>
    <row r="18" spans="1:14" s="2113" customFormat="1" ht="13.5" customHeight="1">
      <c r="A18" s="2847" t="s">
        <v>1846</v>
      </c>
      <c r="B18" s="2848" t="s">
        <v>481</v>
      </c>
      <c r="C18" s="2849">
        <f ca="1">SUM(C13:C17)</f>
        <v>5354</v>
      </c>
      <c r="D18" s="2850"/>
      <c r="E18" s="464"/>
      <c r="F18" s="464"/>
      <c r="G18" s="2813" t="s">
        <v>2425</v>
      </c>
      <c r="H18" s="2814"/>
      <c r="I18" s="2814"/>
      <c r="J18" s="2814"/>
      <c r="K18" s="2815"/>
    </row>
    <row r="19" spans="1:14" s="2113" customFormat="1" ht="13.5" customHeight="1">
      <c r="A19" s="2847" t="s">
        <v>1847</v>
      </c>
      <c r="B19" s="2848" t="s">
        <v>482</v>
      </c>
      <c r="C19" s="3173">
        <f ca="1">ROUND(D19*E19/10000,0)</f>
        <v>0</v>
      </c>
      <c r="D19" s="2851">
        <f ca="1">D16</f>
        <v>13877</v>
      </c>
      <c r="E19" s="3173">
        <f>'数据-取费表'!B32</f>
        <v>0</v>
      </c>
      <c r="F19" s="464"/>
      <c r="G19" s="2809" t="s">
        <v>483</v>
      </c>
      <c r="H19" s="2810"/>
      <c r="I19" s="2814"/>
      <c r="J19" s="2814"/>
      <c r="K19" s="2815"/>
    </row>
    <row r="20" spans="1:14" s="2113" customFormat="1" ht="13.5" customHeight="1">
      <c r="A20" s="2847" t="s">
        <v>1848</v>
      </c>
      <c r="B20" s="2848" t="s">
        <v>484</v>
      </c>
      <c r="C20" s="3173">
        <f ca="1">C21+C22-IF(B1="",'数据-取费表'!B29,IF(G20="已全部缴纳",C21+C22,H20))</f>
        <v>278</v>
      </c>
      <c r="D20" s="2851"/>
      <c r="E20" s="3173"/>
      <c r="F20" s="2852"/>
      <c r="G20" s="3083" t="s">
        <v>3229</v>
      </c>
      <c r="H20" s="2807"/>
      <c r="I20" s="2808" t="s">
        <v>2646</v>
      </c>
      <c r="J20" s="2814"/>
      <c r="K20" s="2815"/>
    </row>
    <row r="21" spans="1:14" s="2113" customFormat="1" ht="13.5" customHeight="1">
      <c r="A21" s="2839" t="s">
        <v>1849</v>
      </c>
      <c r="B21" s="2840" t="s">
        <v>485</v>
      </c>
      <c r="C21" s="53">
        <f ca="1">ROUND(D21*E21/10000,0)</f>
        <v>0</v>
      </c>
      <c r="D21" s="2841">
        <f ca="1">IF(B1="",'数据-汇总表'!E5,IF(INDIRECT("'数据-取费表'!c"&amp;$K$1)="住宅",INDIRECT("'数据-取费表'!k"&amp;$K$1),0))</f>
        <v>0</v>
      </c>
      <c r="E21" s="53">
        <f>'数据-取费表'!B27</f>
        <v>160</v>
      </c>
      <c r="F21" s="2844"/>
      <c r="G21" s="26"/>
      <c r="H21" s="51"/>
      <c r="I21" s="51"/>
      <c r="J21" s="51"/>
      <c r="K21" s="2816"/>
    </row>
    <row r="22" spans="1:14" s="2113" customFormat="1" ht="13.5" customHeight="1">
      <c r="A22" s="2839" t="s">
        <v>1850</v>
      </c>
      <c r="B22" s="2840" t="s">
        <v>486</v>
      </c>
      <c r="C22" s="53">
        <f ca="1">ROUND(D22*E22/10000,0)</f>
        <v>278</v>
      </c>
      <c r="D22" s="2841">
        <f ca="1">IF(B1="",'数据-汇总表'!E6,IF(INDIRECT("'数据-取费表'!c"&amp;$K$1)="住宅",INDIRECT("'数据-取费表'!s"&amp;$K$1),INDIRECT("'数据-取费表'!k"&amp;$K$1)+INDIRECT("'数据-取费表'!s"&amp;$K$1)))</f>
        <v>13877</v>
      </c>
      <c r="E22" s="53">
        <f>'数据-取费表'!B28</f>
        <v>200</v>
      </c>
      <c r="F22" s="2844"/>
      <c r="G22" s="26"/>
      <c r="H22" s="51"/>
      <c r="I22" s="51"/>
      <c r="J22" s="51"/>
      <c r="K22" s="2816"/>
    </row>
    <row r="23" spans="1:14" s="2113" customFormat="1" ht="13.5" customHeight="1">
      <c r="A23" s="2847" t="s">
        <v>1851</v>
      </c>
      <c r="B23" s="3029" t="s">
        <v>2829</v>
      </c>
      <c r="C23" s="2849">
        <f ca="1">ROUND((C18+C19+C20)*F23,0)</f>
        <v>169</v>
      </c>
      <c r="D23" s="464"/>
      <c r="E23" s="464"/>
      <c r="F23" s="2853">
        <f>'数据-取费表'!B37</f>
        <v>0.03</v>
      </c>
      <c r="G23" s="2809" t="s">
        <v>2426</v>
      </c>
      <c r="H23" s="2810"/>
      <c r="I23" s="2810"/>
      <c r="J23" s="2810"/>
      <c r="K23" s="2811"/>
      <c r="L23" s="2115"/>
      <c r="M23" s="2115"/>
      <c r="N23" s="2115"/>
    </row>
    <row r="24" spans="1:14" s="2113" customFormat="1" ht="13.5" customHeight="1">
      <c r="A24" s="2847" t="s">
        <v>1852</v>
      </c>
      <c r="B24" s="3029" t="s">
        <v>2832</v>
      </c>
      <c r="C24" s="2849">
        <f ca="1">ROUND(C6*F24,0)</f>
        <v>656</v>
      </c>
      <c r="D24" s="471"/>
      <c r="E24" s="469"/>
      <c r="F24" s="2853">
        <f>'数据-取费表'!B38</f>
        <v>0.03</v>
      </c>
      <c r="G24" s="2818" t="s">
        <v>493</v>
      </c>
      <c r="H24" s="2812"/>
      <c r="I24" s="2812"/>
      <c r="J24" s="2812"/>
      <c r="K24" s="275"/>
      <c r="L24" s="2115"/>
      <c r="M24" s="2115"/>
      <c r="N24" s="2115"/>
    </row>
    <row r="25" spans="1:14" s="2116" customFormat="1" ht="13.5" customHeight="1">
      <c r="A25" s="2847" t="s">
        <v>1853</v>
      </c>
      <c r="B25" s="3029" t="s">
        <v>2830</v>
      </c>
      <c r="C25" s="463">
        <f>ROUND(F25/(1+'数据-取费表'!C42),4)</f>
        <v>2.9000000000000001E-2</v>
      </c>
      <c r="D25" s="458" t="s">
        <v>2824</v>
      </c>
      <c r="E25" s="465"/>
      <c r="F25" s="2853">
        <f>'数据-取费表'!B48+'数据-取费表'!B49</f>
        <v>3.0499999999999999E-2</v>
      </c>
      <c r="G25" s="2817" t="s">
        <v>2284</v>
      </c>
      <c r="H25" s="2810"/>
      <c r="I25" s="2810"/>
      <c r="J25" s="2810"/>
      <c r="K25" s="2811"/>
    </row>
    <row r="26" spans="1:14" s="2115" customFormat="1" ht="13.5" customHeight="1">
      <c r="A26" s="2847" t="s">
        <v>1854</v>
      </c>
      <c r="B26" s="3030" t="s">
        <v>2831</v>
      </c>
      <c r="C26" s="2854">
        <f ca="1">C28</f>
        <v>465</v>
      </c>
      <c r="D26" s="463">
        <f ca="1">C27</f>
        <v>0.1537</v>
      </c>
      <c r="E26" s="465" t="s">
        <v>489</v>
      </c>
      <c r="F26" s="467">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799" t="s">
        <v>1849</v>
      </c>
      <c r="B27" s="2855" t="s">
        <v>490</v>
      </c>
      <c r="C27" s="2856">
        <f ca="1">ROUND(IF('数据-取费表'!B22&lt;=1,(1+C25)*F26*'数据-取费表'!B24,(1+C25)*(POWER((1+F26),'数据-取费表'!B24)-1)),4)</f>
        <v>0.1537</v>
      </c>
      <c r="D27" s="468"/>
      <c r="E27" s="469"/>
      <c r="F27" s="470"/>
      <c r="G27" s="2569" t="str">
        <f>IF('数据-取费表'!B22&lt;=1,"（1+取得税费率/(1+5%)）×年利率×建设期","（1+取得税费率）/(1+5%)×((1+年利率)^建设期-1)")</f>
        <v>（1+取得税费率）/(1+5%)×((1+年利率)^建设期-1)</v>
      </c>
      <c r="H27" s="2812"/>
      <c r="I27" s="2812"/>
      <c r="J27" s="2812"/>
      <c r="K27" s="275"/>
    </row>
    <row r="28" spans="1:14" s="2117" customFormat="1" ht="13.5" customHeight="1">
      <c r="A28" s="799" t="s">
        <v>1850</v>
      </c>
      <c r="B28" s="2855" t="s">
        <v>2833</v>
      </c>
      <c r="C28" s="2857">
        <f ca="1">ROUND(IF('数据-取费表'!B22&lt;=1,(C18+C19+C20+C23+C24)*F26*'数据-取费表'!B24/2,(C18+C19+C20+C23+C24)*(POWER((1+F26),'数据-取费表'!B24/2)-1)),0)</f>
        <v>465</v>
      </c>
      <c r="D28" s="468"/>
      <c r="E28" s="469"/>
      <c r="F28" s="470"/>
      <c r="G28" s="2569" t="str">
        <f>IF('数据-取费表'!B22&lt;=1,"（1）-（4）项×年利率×建设期÷2","（1）-（4）项×((1+年利率)^(建设期÷2)-1)")</f>
        <v>（1）-（4）项×((1+年利率)^(建设期÷2)-1)</v>
      </c>
      <c r="H28" s="2812"/>
      <c r="I28" s="2812"/>
      <c r="J28" s="2812"/>
      <c r="K28" s="275"/>
    </row>
    <row r="29" spans="1:14" s="2117" customFormat="1" ht="13.5" customHeight="1">
      <c r="A29" s="2858" t="s">
        <v>1855</v>
      </c>
      <c r="B29" s="2848" t="s">
        <v>491</v>
      </c>
      <c r="C29" s="2849">
        <f ca="1">ROUND(C6*F29/(1+'数据-取费表'!C42),0)</f>
        <v>1166</v>
      </c>
      <c r="D29" s="464"/>
      <c r="E29" s="464"/>
      <c r="F29" s="3031">
        <f>'数据-取费表'!B41</f>
        <v>5.6000000000000001E-2</v>
      </c>
      <c r="G29" s="2818" t="s">
        <v>492</v>
      </c>
      <c r="H29" s="2810"/>
      <c r="I29" s="2810"/>
      <c r="J29" s="2810"/>
      <c r="K29" s="2811"/>
    </row>
    <row r="30" spans="1:14" s="2118" customFormat="1" ht="13.5" customHeight="1">
      <c r="A30" s="1631" t="s">
        <v>1856</v>
      </c>
      <c r="B30" s="2859" t="s">
        <v>494</v>
      </c>
      <c r="C30" s="2854">
        <f ca="1">C31</f>
        <v>8088</v>
      </c>
      <c r="D30" s="473">
        <f ca="1">C32</f>
        <v>0.1827</v>
      </c>
      <c r="E30" s="465" t="s">
        <v>489</v>
      </c>
      <c r="F30" s="467"/>
      <c r="G30" s="2817" t="s">
        <v>2969</v>
      </c>
      <c r="H30" s="2810"/>
      <c r="I30" s="2810"/>
      <c r="J30" s="2810"/>
      <c r="K30" s="2811"/>
    </row>
    <row r="31" spans="1:14" s="2117" customFormat="1" ht="13.5" customHeight="1">
      <c r="A31" s="799" t="s">
        <v>1849</v>
      </c>
      <c r="B31" s="2855"/>
      <c r="C31" s="446">
        <f ca="1">C18+C19+C20+C23+C24+C26+C29</f>
        <v>8088</v>
      </c>
      <c r="D31" s="468"/>
      <c r="E31" s="469"/>
      <c r="F31" s="470"/>
      <c r="G31" s="260"/>
      <c r="H31" s="2812"/>
      <c r="I31" s="2812"/>
      <c r="J31" s="2812"/>
      <c r="K31" s="275"/>
    </row>
    <row r="32" spans="1:14" s="2117" customFormat="1" ht="13.5" customHeight="1">
      <c r="A32" s="799" t="s">
        <v>1850</v>
      </c>
      <c r="B32" s="2855"/>
      <c r="C32" s="53">
        <f ca="1">ROUND(C25+D26,4)</f>
        <v>0.1827</v>
      </c>
      <c r="D32" s="468"/>
      <c r="E32" s="469"/>
      <c r="F32" s="470"/>
      <c r="G32" s="260"/>
      <c r="H32" s="2812"/>
      <c r="I32" s="2812"/>
      <c r="J32" s="2812"/>
      <c r="K32" s="275"/>
    </row>
    <row r="33" spans="1:11" s="2119" customFormat="1" ht="13.5" customHeight="1">
      <c r="A33" s="3028" t="s">
        <v>2828</v>
      </c>
      <c r="B33" s="3026" t="s">
        <v>2826</v>
      </c>
      <c r="C33" s="474">
        <f ca="1">C35</f>
        <v>1291</v>
      </c>
      <c r="D33" s="463">
        <f ca="1">C34</f>
        <v>0.20580000000000001</v>
      </c>
      <c r="E33" s="465" t="s">
        <v>489</v>
      </c>
      <c r="F33" s="475">
        <f ca="1">IF(B1="",'数据-取费表'!Q16,INDIRECT("'数据-取费表'!q"&amp;$K$1))</f>
        <v>0.2</v>
      </c>
      <c r="G33" s="2813"/>
      <c r="H33" s="2814"/>
      <c r="I33" s="2814"/>
      <c r="J33" s="2814"/>
      <c r="K33" s="2815"/>
    </row>
    <row r="34" spans="1:11" s="2120" customFormat="1" ht="13.5" customHeight="1">
      <c r="A34" s="371" t="s">
        <v>1849</v>
      </c>
      <c r="B34" s="2860" t="s">
        <v>495</v>
      </c>
      <c r="C34" s="468">
        <f ca="1">ROUND((1+C25)*F33,4)</f>
        <v>0.20580000000000001</v>
      </c>
      <c r="D34" s="468"/>
      <c r="E34" s="469"/>
      <c r="F34" s="476"/>
      <c r="G34" s="260" t="s">
        <v>2285</v>
      </c>
      <c r="H34" s="2812"/>
      <c r="I34" s="2812"/>
      <c r="J34" s="2812"/>
      <c r="K34" s="275"/>
    </row>
    <row r="35" spans="1:11" s="2120" customFormat="1" ht="13.5" customHeight="1" thickBot="1">
      <c r="A35" s="1632" t="s">
        <v>1850</v>
      </c>
      <c r="B35" s="3027" t="s">
        <v>2834</v>
      </c>
      <c r="C35" s="1624">
        <f ca="1">ROUND((C18+C19+C20+C23+C24)*F33,0)</f>
        <v>1291</v>
      </c>
      <c r="D35" s="1625"/>
      <c r="E35" s="2861"/>
      <c r="F35" s="1626"/>
      <c r="G35" s="2819"/>
      <c r="H35" s="2820"/>
      <c r="I35" s="2820"/>
      <c r="J35" s="2820"/>
      <c r="K35" s="2821"/>
    </row>
    <row r="36" spans="1:11" s="2082" customFormat="1" ht="13.5" customHeight="1" thickBot="1">
      <c r="A36" s="280" t="s">
        <v>1837</v>
      </c>
      <c r="B36" s="2823"/>
      <c r="C36" s="2862">
        <f ca="1">ROUND((C6-C30-C33)/(1+D30+D33),0)</f>
        <v>8994</v>
      </c>
      <c r="D36" s="2823"/>
      <c r="E36" s="2823"/>
      <c r="F36" s="2823"/>
      <c r="G36" s="2822" t="s">
        <v>2835</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8" sqref="D8"/>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8" t="s">
        <v>622</v>
      </c>
      <c r="B1" s="734"/>
      <c r="C1" s="769" t="s">
        <v>917</v>
      </c>
      <c r="D1" s="2047"/>
      <c r="E1" s="2384" t="s">
        <v>864</v>
      </c>
      <c r="F1" s="2385">
        <f ca="1">J54</f>
        <v>179</v>
      </c>
      <c r="G1" s="770">
        <f>MATCH(C1,'数据-取费表'!A6:A16,0)+5</f>
        <v>6</v>
      </c>
      <c r="H1" s="1346"/>
      <c r="I1" s="2048"/>
      <c r="J1" s="2048"/>
      <c r="K1" s="2049"/>
      <c r="L1" s="2048"/>
      <c r="M1" s="2048"/>
      <c r="N1" s="2050"/>
      <c r="O1" s="2050"/>
      <c r="P1" s="2050"/>
      <c r="Q1" s="2050"/>
      <c r="R1" s="2050"/>
      <c r="S1" s="2050"/>
      <c r="T1" s="2050"/>
      <c r="U1" s="2050"/>
      <c r="V1" s="2050"/>
      <c r="W1" s="2050"/>
      <c r="X1" s="2050"/>
      <c r="Y1" s="2050"/>
    </row>
    <row r="2" spans="1:25" ht="18" customHeight="1">
      <c r="A2" s="1640" t="s">
        <v>623</v>
      </c>
      <c r="B2" s="771">
        <f ca="1">IF(ISERROR(C45+J31),0,C45+J31)</f>
        <v>-648831</v>
      </c>
      <c r="C2" s="1347"/>
      <c r="D2" s="2052"/>
      <c r="E2" s="2053"/>
      <c r="F2" s="2053"/>
      <c r="G2" s="1586"/>
      <c r="H2" s="1359"/>
      <c r="I2" s="2054"/>
      <c r="J2" s="2054"/>
      <c r="K2" s="2055"/>
      <c r="L2" s="2054"/>
      <c r="M2" s="2054"/>
    </row>
    <row r="3" spans="1:25" ht="18" customHeight="1">
      <c r="A3" s="1641" t="s">
        <v>1677</v>
      </c>
      <c r="B3" s="1387">
        <f ca="1">ROUND(B2*10000/'数据-汇总表'!E3,0)</f>
        <v>-9140</v>
      </c>
      <c r="C3" s="1347"/>
      <c r="D3" s="2052"/>
      <c r="E3" s="2053"/>
      <c r="F3" s="2053"/>
      <c r="G3" s="1586"/>
      <c r="H3" s="772" t="s">
        <v>689</v>
      </c>
      <c r="I3" s="2054"/>
      <c r="J3" s="2054"/>
      <c r="K3" s="2055"/>
      <c r="L3" s="2054"/>
      <c r="M3" s="2054"/>
    </row>
    <row r="4" spans="1:25" ht="18" customHeight="1">
      <c r="A4" s="1642" t="s">
        <v>690</v>
      </c>
      <c r="B4" s="1348">
        <f ca="1">ROUND(B2*10000/'数据-汇总表'!D3,0)</f>
        <v>-35447</v>
      </c>
      <c r="C4" s="424"/>
      <c r="D4" s="2052"/>
      <c r="E4" s="2053"/>
      <c r="F4" s="2053"/>
      <c r="G4" s="1586"/>
      <c r="H4" s="772"/>
      <c r="I4" s="2054"/>
      <c r="J4" s="2054"/>
      <c r="K4" s="2055"/>
      <c r="L4" s="2054"/>
      <c r="M4" s="2054"/>
    </row>
    <row r="5" spans="1:25" ht="18" customHeight="1" thickBot="1">
      <c r="A5" s="1643"/>
      <c r="B5" s="426">
        <f ca="1">ROUND(B2/('数据-汇总表'!D3/666.67),0)</f>
        <v>-2363</v>
      </c>
      <c r="C5" s="427" t="s">
        <v>463</v>
      </c>
      <c r="D5" s="2052"/>
      <c r="E5" s="2053"/>
      <c r="F5" s="2053"/>
      <c r="G5" s="1586"/>
      <c r="H5" s="772"/>
      <c r="I5" s="2054"/>
      <c r="J5" s="2054"/>
      <c r="K5" s="2055"/>
      <c r="L5" s="2054"/>
      <c r="M5" s="2054"/>
    </row>
    <row r="6" spans="1:25" ht="18" customHeight="1">
      <c r="A6" s="1825" t="s">
        <v>624</v>
      </c>
      <c r="B6" s="1817" t="s">
        <v>625</v>
      </c>
      <c r="C6" s="1817" t="s">
        <v>626</v>
      </c>
      <c r="D6" s="1817" t="s">
        <v>627</v>
      </c>
      <c r="E6" s="775" t="s">
        <v>628</v>
      </c>
      <c r="F6" s="776"/>
      <c r="G6" s="1588"/>
      <c r="H6" s="1825" t="s">
        <v>624</v>
      </c>
      <c r="I6" s="1817" t="s">
        <v>625</v>
      </c>
      <c r="J6" s="1817" t="s">
        <v>626</v>
      </c>
      <c r="K6" s="1817" t="s">
        <v>627</v>
      </c>
      <c r="L6" s="775" t="s">
        <v>628</v>
      </c>
      <c r="M6" s="776"/>
    </row>
    <row r="7" spans="1:25" ht="18" customHeight="1">
      <c r="A7" s="777">
        <v>1</v>
      </c>
      <c r="B7" s="778" t="s">
        <v>2453</v>
      </c>
      <c r="C7" s="53">
        <f ca="1">C8+C12+C14</f>
        <v>0</v>
      </c>
      <c r="D7" s="2493" t="s">
        <v>2456</v>
      </c>
      <c r="E7" s="2487"/>
      <c r="F7" s="2488"/>
      <c r="G7" s="1588"/>
      <c r="H7" s="777">
        <v>1</v>
      </c>
      <c r="I7" s="778" t="s">
        <v>2453</v>
      </c>
      <c r="J7" s="53">
        <f ca="1">J8+J12+J14</f>
        <v>0</v>
      </c>
      <c r="K7" s="2493" t="s">
        <v>2456</v>
      </c>
      <c r="L7" s="2487"/>
      <c r="M7" s="2488"/>
    </row>
    <row r="8" spans="1:25" ht="18" customHeight="1">
      <c r="A8" s="1827" t="s">
        <v>1817</v>
      </c>
      <c r="B8" s="3575" t="s">
        <v>2458</v>
      </c>
      <c r="C8" s="1822">
        <f ca="1">ROUND(F8*F10*F9*(1-F11)/10000,0)</f>
        <v>0</v>
      </c>
      <c r="D8" s="1819" t="s">
        <v>2529</v>
      </c>
      <c r="E8" s="61" t="s">
        <v>631</v>
      </c>
      <c r="F8" s="781">
        <f ca="1">INDIRECT("'数据-取费表'!u"&amp;$G$1)</f>
        <v>0</v>
      </c>
      <c r="G8" s="1588"/>
      <c r="H8" s="2501" t="s">
        <v>1817</v>
      </c>
      <c r="I8" s="3575" t="s">
        <v>2458</v>
      </c>
      <c r="J8" s="779">
        <f ca="1">ROUND(M8*M10*M9*(1-M11)/10000,0)</f>
        <v>0</v>
      </c>
      <c r="K8" s="337" t="s">
        <v>2529</v>
      </c>
      <c r="L8" s="780" t="s">
        <v>631</v>
      </c>
      <c r="M8" s="781">
        <f ca="1">INDIRECT("'数据-取费表'!z"&amp;$G$1)</f>
        <v>0</v>
      </c>
    </row>
    <row r="9" spans="1:25" ht="18" customHeight="1">
      <c r="A9" s="2497"/>
      <c r="B9" s="3576"/>
      <c r="C9" s="1823"/>
      <c r="D9" s="1820"/>
      <c r="E9" s="61" t="s">
        <v>632</v>
      </c>
      <c r="F9" s="781">
        <f ca="1">IF(INDIRECT("'数据-取费表'!ah"&amp;$G$1)="",INDIRECT("'数据-取费表'!k"&amp;$G$1),INDIRECT("'数据-取费表'!ah"&amp;$G$1))</f>
        <v>433886</v>
      </c>
      <c r="G9" s="1588"/>
      <c r="H9" s="2486"/>
      <c r="I9" s="3576"/>
      <c r="J9" s="784"/>
      <c r="K9" s="785"/>
      <c r="L9" s="780" t="s">
        <v>632</v>
      </c>
      <c r="M9" s="781">
        <f ca="1">F9</f>
        <v>433886</v>
      </c>
    </row>
    <row r="10" spans="1:25" ht="18" customHeight="1">
      <c r="A10" s="2490"/>
      <c r="B10" s="3577"/>
      <c r="C10" s="1823"/>
      <c r="D10" s="1820"/>
      <c r="E10" s="61" t="s">
        <v>633</v>
      </c>
      <c r="F10" s="781">
        <f ca="1">INDIRECT("'数据-取费表'!ai"&amp;$G$1)</f>
        <v>365</v>
      </c>
      <c r="G10" s="1588"/>
      <c r="H10" s="2486"/>
      <c r="I10" s="3577"/>
      <c r="J10" s="784"/>
      <c r="K10" s="785"/>
      <c r="L10" s="780" t="s">
        <v>633</v>
      </c>
      <c r="M10" s="781">
        <f ca="1">INDIRECT("'数据-取费表'!ai"&amp;$G$1)</f>
        <v>365</v>
      </c>
    </row>
    <row r="11" spans="1:25" ht="18" customHeight="1">
      <c r="A11" s="782"/>
      <c r="B11" s="3578"/>
      <c r="C11" s="1823"/>
      <c r="D11" s="1820"/>
      <c r="E11" s="61" t="s">
        <v>634</v>
      </c>
      <c r="F11" s="790">
        <f ca="1">INDIRECT("'数据-取费表'!w"&amp;$G$1)</f>
        <v>0.1</v>
      </c>
      <c r="G11" s="1588"/>
      <c r="H11" s="2502"/>
      <c r="I11" s="3577"/>
      <c r="J11" s="784"/>
      <c r="K11" s="785"/>
      <c r="L11" s="791" t="s">
        <v>634</v>
      </c>
      <c r="M11" s="792">
        <f ca="1">INDIRECT("'数据-取费表'!ab"&amp;$G$1)</f>
        <v>0</v>
      </c>
    </row>
    <row r="12" spans="1:25" ht="18" customHeight="1">
      <c r="A12" s="1827" t="s">
        <v>1818</v>
      </c>
      <c r="B12" s="2491" t="s">
        <v>2454</v>
      </c>
      <c r="C12" s="795">
        <f ca="1">ROUND(IF(F12="押一",C8/12*F13,IF(F12="押二",C8/12*2*F13,IF(F12="押三",C8/12*3*F13,C13*F13))),0)</f>
        <v>0</v>
      </c>
      <c r="D12" s="2498" t="s">
        <v>2971</v>
      </c>
      <c r="E12" s="2495" t="s">
        <v>2459</v>
      </c>
      <c r="F12" s="2618" t="s">
        <v>3004</v>
      </c>
      <c r="G12" s="1588"/>
      <c r="H12" s="2558" t="s">
        <v>1818</v>
      </c>
      <c r="I12" s="2563" t="s">
        <v>2454</v>
      </c>
      <c r="J12" s="779">
        <f ca="1">ROUND(IF(M12="押一",J8/12*M13,IF(M12="押二",J8/12*2*M13,IF(M12="押三",J8/12*3*M13,J13*M13))),0)</f>
        <v>0</v>
      </c>
      <c r="K12" s="2498" t="s">
        <v>2971</v>
      </c>
      <c r="L12" s="2495" t="s">
        <v>2459</v>
      </c>
      <c r="M12" s="2618"/>
    </row>
    <row r="13" spans="1:25" ht="18" customHeight="1">
      <c r="A13" s="786"/>
      <c r="B13" s="2492" t="s">
        <v>2568</v>
      </c>
      <c r="C13" s="2496"/>
      <c r="D13" s="785"/>
      <c r="E13" s="2495" t="s">
        <v>2451</v>
      </c>
      <c r="F13" s="792">
        <f ca="1">'数据-取费表'!B39</f>
        <v>1.4999999999999999E-2</v>
      </c>
      <c r="G13" s="1588"/>
      <c r="H13" s="2559"/>
      <c r="I13" s="2492" t="s">
        <v>2568</v>
      </c>
      <c r="J13" s="2496"/>
      <c r="K13" s="2560"/>
      <c r="L13" s="2495" t="s">
        <v>2451</v>
      </c>
      <c r="M13" s="2489">
        <f ca="1">'数据-取费表'!B39</f>
        <v>1.4999999999999999E-2</v>
      </c>
    </row>
    <row r="14" spans="1:25" ht="18" customHeight="1" thickBot="1">
      <c r="A14" s="2534" t="s">
        <v>2462</v>
      </c>
      <c r="B14" s="2535" t="s">
        <v>2455</v>
      </c>
      <c r="C14" s="2536"/>
      <c r="D14" s="2537"/>
      <c r="E14" s="2538"/>
      <c r="F14" s="2539"/>
      <c r="G14" s="1588"/>
      <c r="H14" s="2548" t="s">
        <v>2462</v>
      </c>
      <c r="I14" s="2561" t="s">
        <v>2455</v>
      </c>
      <c r="J14" s="2562"/>
      <c r="K14" s="2537"/>
      <c r="L14" s="2538"/>
      <c r="M14" s="2551"/>
    </row>
    <row r="15" spans="1:25" ht="18" customHeight="1" thickTop="1">
      <c r="A15" s="1826" t="s">
        <v>1867</v>
      </c>
      <c r="B15" s="1824" t="s">
        <v>635</v>
      </c>
      <c r="C15" s="788">
        <f ca="1">ROUND(C31*F15,0)</f>
        <v>330323</v>
      </c>
      <c r="D15" s="1831" t="s">
        <v>636</v>
      </c>
      <c r="E15" s="791" t="s">
        <v>637</v>
      </c>
      <c r="F15" s="796">
        <f ca="1">INDIRECT("'数据-取费表'!y"&amp;$G$1)</f>
        <v>1</v>
      </c>
      <c r="G15" s="1588"/>
      <c r="H15" s="1826" t="s">
        <v>1819</v>
      </c>
      <c r="I15" s="1824" t="s">
        <v>638</v>
      </c>
      <c r="J15" s="1816">
        <f ca="1">ROUND(J16*J17,0)</f>
        <v>0</v>
      </c>
      <c r="K15" s="1818" t="s">
        <v>636</v>
      </c>
      <c r="L15" s="797"/>
      <c r="M15" s="798"/>
    </row>
    <row r="16" spans="1:25" ht="18" customHeight="1">
      <c r="A16" s="799" t="s">
        <v>1868</v>
      </c>
      <c r="B16" s="780" t="s">
        <v>639</v>
      </c>
      <c r="C16" s="800">
        <f ca="1">INDIRECT("'数据-取费表'!m"&amp;$G$1)+INDIRECT("'数据-取费表'!t"&amp;$G$1)</f>
        <v>184402</v>
      </c>
      <c r="D16" s="3176" t="s">
        <v>640</v>
      </c>
      <c r="E16" s="3175"/>
      <c r="F16" s="801"/>
      <c r="G16" s="1588"/>
      <c r="H16" s="799" t="s">
        <v>1817</v>
      </c>
      <c r="I16" s="2228" t="s">
        <v>2820</v>
      </c>
      <c r="J16" s="53">
        <f ca="1">C31</f>
        <v>330323</v>
      </c>
      <c r="K16" s="26"/>
      <c r="L16" s="797"/>
      <c r="M16" s="798"/>
    </row>
    <row r="17" spans="1:25" s="2061" customFormat="1" ht="18" customHeight="1">
      <c r="A17" s="799" t="s">
        <v>1842</v>
      </c>
      <c r="B17" s="780" t="s">
        <v>641</v>
      </c>
      <c r="C17" s="53">
        <f ca="1">ROUND(C16*F17,0)</f>
        <v>5532</v>
      </c>
      <c r="D17" s="802" t="s">
        <v>642</v>
      </c>
      <c r="E17" s="802" t="s">
        <v>643</v>
      </c>
      <c r="F17" s="803">
        <f>'数据-取费表'!B33</f>
        <v>0.03</v>
      </c>
      <c r="G17" s="1589"/>
      <c r="H17" s="799" t="s">
        <v>1818</v>
      </c>
      <c r="I17" s="780" t="s">
        <v>637</v>
      </c>
      <c r="J17" s="804">
        <f ca="1">INDIRECT("'数据-取费表'!ad"&amp;$G$1)</f>
        <v>0</v>
      </c>
      <c r="K17" s="26"/>
      <c r="L17" s="797"/>
      <c r="M17" s="798"/>
      <c r="N17" s="2060"/>
      <c r="O17" s="2060"/>
      <c r="P17" s="2060"/>
      <c r="Q17" s="2060"/>
      <c r="R17" s="2060"/>
      <c r="S17" s="2060"/>
      <c r="T17" s="2060"/>
      <c r="U17" s="2060"/>
      <c r="V17" s="2060"/>
      <c r="W17" s="2060"/>
      <c r="X17" s="2060"/>
      <c r="Y17" s="2060"/>
    </row>
    <row r="18" spans="1:25" ht="18" customHeight="1">
      <c r="A18" s="799" t="s">
        <v>1843</v>
      </c>
      <c r="B18" s="780" t="s">
        <v>644</v>
      </c>
      <c r="C18" s="53">
        <f ca="1">ROUND(INDIRECT("'数据-取费表'!m"&amp;$G$1)*F18,0)</f>
        <v>27660</v>
      </c>
      <c r="D18" s="780" t="s">
        <v>642</v>
      </c>
      <c r="E18" s="780" t="s">
        <v>643</v>
      </c>
      <c r="F18" s="805">
        <f ca="1">IF(INDIRECT("'数据-取费表'!c"&amp;$G$1)="住宅",'数据-取费表'!B34,0)</f>
        <v>0.15</v>
      </c>
      <c r="G18" s="1588"/>
      <c r="H18" s="793" t="s">
        <v>1820</v>
      </c>
      <c r="I18" s="794" t="s">
        <v>645</v>
      </c>
      <c r="J18" s="795">
        <f ca="1">ROUND(J19+J24+J25+J26,0)</f>
        <v>32719</v>
      </c>
      <c r="K18" s="26" t="s">
        <v>646</v>
      </c>
      <c r="L18" s="3184"/>
      <c r="M18" s="56"/>
    </row>
    <row r="19" spans="1:25" s="2061" customFormat="1" ht="18" customHeight="1">
      <c r="A19" s="799" t="s">
        <v>1844</v>
      </c>
      <c r="B19" s="780" t="s">
        <v>647</v>
      </c>
      <c r="C19" s="53">
        <f ca="1">ROUND(F19*(INDIRECT("'数据-取费表'!k"&amp;$G$1)+INDIRECT("'数据-取费表'!S"&amp;$G$1))/10000,0)</f>
        <v>8678</v>
      </c>
      <c r="D19" s="780" t="s">
        <v>648</v>
      </c>
      <c r="E19" s="780" t="s">
        <v>649</v>
      </c>
      <c r="F19" s="56">
        <f>'数据-取费表'!B35</f>
        <v>200</v>
      </c>
      <c r="G19" s="1589"/>
      <c r="H19" s="799" t="s">
        <v>1817</v>
      </c>
      <c r="I19" s="780" t="s">
        <v>650</v>
      </c>
      <c r="J19" s="53">
        <f ca="1">ROUND(IF(项目基本情况!B11="自然人",J7*M19,J20+J21+J22),0)</f>
        <v>27764</v>
      </c>
      <c r="K19" s="3176" t="s">
        <v>651</v>
      </c>
      <c r="L19" s="3177" t="s">
        <v>652</v>
      </c>
      <c r="M19" s="806">
        <f ca="1">IF(项目基本情况!B11="企业","",IF(INDIRECT("'数据-取费表'!c"&amp;$G$1)="住宅",5%,IF(M8*M9*M10/12/(1+'数据-取费表'!C42)&gt;20000,12%,7%)))</f>
        <v>0.05</v>
      </c>
      <c r="N19" s="2060"/>
      <c r="O19" s="2060"/>
      <c r="P19" s="2060"/>
      <c r="Q19" s="2060"/>
      <c r="R19" s="2060"/>
      <c r="S19" s="2060"/>
      <c r="T19" s="2060"/>
      <c r="U19" s="2060"/>
      <c r="V19" s="2060"/>
      <c r="W19" s="2060"/>
      <c r="X19" s="2060"/>
      <c r="Y19" s="2060"/>
    </row>
    <row r="20" spans="1:25" s="2061" customFormat="1" ht="18" customHeight="1">
      <c r="A20" s="799" t="s">
        <v>1845</v>
      </c>
      <c r="B20" s="780" t="s">
        <v>653</v>
      </c>
      <c r="C20" s="53">
        <f ca="1">ROUND(C16*F20,0)</f>
        <v>2766</v>
      </c>
      <c r="D20" s="780" t="s">
        <v>642</v>
      </c>
      <c r="E20" s="780" t="s">
        <v>643</v>
      </c>
      <c r="F20" s="805">
        <f>'数据-取费表'!B36</f>
        <v>1.4999999999999999E-2</v>
      </c>
      <c r="G20" s="1589"/>
      <c r="H20" s="799" t="s">
        <v>1824</v>
      </c>
      <c r="I20" s="780" t="s">
        <v>654</v>
      </c>
      <c r="J20" s="53">
        <f ca="1">ROUND(J7*M20/1.05,1)</f>
        <v>0</v>
      </c>
      <c r="K20" s="3177" t="s">
        <v>655</v>
      </c>
      <c r="L20" s="780" t="s">
        <v>643</v>
      </c>
      <c r="M20" s="805">
        <f>'数据-取费表'!B41</f>
        <v>5.6000000000000001E-2</v>
      </c>
      <c r="N20" s="2060"/>
      <c r="O20" s="2060"/>
      <c r="P20" s="2060"/>
      <c r="Q20" s="2060"/>
      <c r="R20" s="2060"/>
      <c r="S20" s="2060"/>
      <c r="T20" s="2060"/>
      <c r="U20" s="2060"/>
      <c r="V20" s="2060"/>
      <c r="W20" s="2060"/>
      <c r="X20" s="2060"/>
      <c r="Y20" s="2060"/>
    </row>
    <row r="21" spans="1:25" ht="18" customHeight="1">
      <c r="A21" s="799" t="s">
        <v>1817</v>
      </c>
      <c r="B21" s="780" t="s">
        <v>656</v>
      </c>
      <c r="C21" s="53">
        <f ca="1">SUM(C16:C20)</f>
        <v>229038</v>
      </c>
      <c r="D21" s="260" t="s">
        <v>657</v>
      </c>
      <c r="E21" s="3184"/>
      <c r="F21" s="56"/>
      <c r="G21" s="1588"/>
      <c r="H21" s="1827" t="s">
        <v>1842</v>
      </c>
      <c r="I21" s="780" t="s">
        <v>658</v>
      </c>
      <c r="J21" s="53">
        <f ca="1">IF(K21="按租金收入计税",ROUND(J7*M21,1),ROUND(C31*F35*0.7,1))</f>
        <v>27747.1</v>
      </c>
      <c r="K21" s="807" t="s">
        <v>659</v>
      </c>
      <c r="L21" s="780" t="s">
        <v>643</v>
      </c>
      <c r="M21" s="805">
        <f>IF(K21="按租金收入计税",'数据-取费表'!B51,'数据-取费表'!B50)</f>
        <v>1.2E-2</v>
      </c>
    </row>
    <row r="22" spans="1:25" s="2061" customFormat="1" ht="18" customHeight="1">
      <c r="A22" s="799" t="s">
        <v>1870</v>
      </c>
      <c r="B22" s="780" t="s">
        <v>660</v>
      </c>
      <c r="C22" s="53">
        <f ca="1">ROUND(C21*F22,0)</f>
        <v>6871</v>
      </c>
      <c r="D22" s="808" t="s">
        <v>661</v>
      </c>
      <c r="E22" s="780" t="s">
        <v>643</v>
      </c>
      <c r="F22" s="805">
        <f>'数据-取费表'!B37</f>
        <v>0.03</v>
      </c>
      <c r="G22" s="1589"/>
      <c r="H22" s="1829" t="s">
        <v>1843</v>
      </c>
      <c r="I22" s="1819" t="s">
        <v>662</v>
      </c>
      <c r="J22" s="54">
        <f ca="1">ROUND(M22*M23/10000,0)</f>
        <v>17</v>
      </c>
      <c r="K22" s="810" t="s">
        <v>663</v>
      </c>
      <c r="L22" s="780" t="s">
        <v>664</v>
      </c>
      <c r="M22" s="636">
        <f>'数据-取费表'!B52</f>
        <v>1.5</v>
      </c>
      <c r="N22" s="2060"/>
      <c r="O22" s="2060"/>
      <c r="P22" s="2060"/>
      <c r="Q22" s="2060"/>
      <c r="R22" s="2060"/>
      <c r="S22" s="2060"/>
      <c r="T22" s="2060"/>
      <c r="U22" s="2060"/>
      <c r="V22" s="2060"/>
      <c r="W22" s="2060"/>
      <c r="X22" s="2060"/>
      <c r="Y22" s="2060"/>
    </row>
    <row r="23" spans="1:25" s="2061" customFormat="1" ht="18" customHeight="1">
      <c r="A23" s="799" t="s">
        <v>1871</v>
      </c>
      <c r="B23" s="780" t="s">
        <v>665</v>
      </c>
      <c r="C23" s="53" t="s">
        <v>1</v>
      </c>
      <c r="D23" s="808" t="s">
        <v>666</v>
      </c>
      <c r="E23" s="780" t="s">
        <v>667</v>
      </c>
      <c r="F23" s="805">
        <f>'数据-取费表'!B38</f>
        <v>0.03</v>
      </c>
      <c r="G23" s="1589"/>
      <c r="H23" s="1830"/>
      <c r="I23" s="1821"/>
      <c r="J23" s="69"/>
      <c r="K23" s="812"/>
      <c r="L23" s="780" t="s">
        <v>668</v>
      </c>
      <c r="M23" s="781">
        <f ca="1">INDIRECT("'数据-取费表'!r"&amp;$G$1)</f>
        <v>111871.42</v>
      </c>
      <c r="N23" s="2060"/>
      <c r="O23" s="2060"/>
      <c r="P23" s="2060"/>
      <c r="Q23" s="2060"/>
      <c r="R23" s="2060"/>
      <c r="S23" s="2060"/>
      <c r="T23" s="2060"/>
      <c r="U23" s="2060"/>
      <c r="V23" s="2060"/>
      <c r="W23" s="2060"/>
      <c r="X23" s="2060"/>
      <c r="Y23" s="2060"/>
    </row>
    <row r="24" spans="1:25" ht="18" customHeight="1">
      <c r="A24" s="799" t="s">
        <v>1872</v>
      </c>
      <c r="B24" s="780" t="s">
        <v>669</v>
      </c>
      <c r="C24" s="53"/>
      <c r="D24" s="2569" t="str">
        <f>IF(F25&lt;=1,"单利计息。","复利计息。")&amp;"建造成本、管理费用、销售费用产生的利息。"</f>
        <v>复利计息。建造成本、管理费用、销售费用产生的利息。</v>
      </c>
      <c r="E24" s="3184"/>
      <c r="F24" s="56"/>
      <c r="G24" s="1588"/>
      <c r="H24" s="1828" t="s">
        <v>1818</v>
      </c>
      <c r="I24" s="780" t="s">
        <v>670</v>
      </c>
      <c r="J24" s="53">
        <f ca="1">ROUND(J16*M24,0)</f>
        <v>4955</v>
      </c>
      <c r="K24" s="3177" t="s">
        <v>671</v>
      </c>
      <c r="L24" s="780" t="s">
        <v>643</v>
      </c>
      <c r="M24" s="813">
        <f ca="1">INDIRECT("'数据-取费表'!Ak"&amp;$G$1)</f>
        <v>1.4999999999999999E-2</v>
      </c>
    </row>
    <row r="25" spans="1:25" s="2061" customFormat="1" ht="18" customHeight="1">
      <c r="A25" s="799" t="s">
        <v>1868</v>
      </c>
      <c r="B25" s="780" t="s">
        <v>2432</v>
      </c>
      <c r="C25" s="53">
        <f ca="1">ROUND(IF('数据-取费表'!B22&lt;=1,(C21+C22)*F26*F25/2,(C21+C22)*(POWER((1+F26),F25/2)-1)),0)</f>
        <v>17007</v>
      </c>
      <c r="D25" s="2568" t="str">
        <f>IF(F25&lt;=1,"(建造成本+管理费用)×利率×(建设周期÷2)","(建造成本+管理费用)×((1+利率)^(建设周期÷2)-1)")</f>
        <v>(建造成本+管理费用)×((1+利率)^(建设周期÷2)-1)</v>
      </c>
      <c r="E25" s="780" t="s">
        <v>672</v>
      </c>
      <c r="F25" s="636">
        <f>'数据-取费表'!B20</f>
        <v>3</v>
      </c>
      <c r="G25" s="1589"/>
      <c r="H25" s="799" t="s">
        <v>1871</v>
      </c>
      <c r="I25" s="780" t="s">
        <v>673</v>
      </c>
      <c r="J25" s="53">
        <f ca="1">ROUND(J15*M25,0)</f>
        <v>0</v>
      </c>
      <c r="K25" s="3177" t="s">
        <v>674</v>
      </c>
      <c r="L25" s="780" t="s">
        <v>643</v>
      </c>
      <c r="M25" s="814">
        <f ca="1">INDIRECT("'数据-取费表'!Al"&amp;$G$1)</f>
        <v>1.5E-3</v>
      </c>
      <c r="N25" s="2060"/>
      <c r="O25" s="2060"/>
      <c r="P25" s="2060"/>
      <c r="Q25" s="2060"/>
      <c r="R25" s="2060"/>
      <c r="S25" s="2060"/>
      <c r="T25" s="2060"/>
      <c r="U25" s="2060"/>
      <c r="V25" s="2060"/>
      <c r="W25" s="2060"/>
      <c r="X25" s="2060"/>
      <c r="Y25" s="2060"/>
    </row>
    <row r="26" spans="1:25" s="2061" customFormat="1" ht="18" customHeight="1">
      <c r="A26" s="799" t="s">
        <v>1842</v>
      </c>
      <c r="B26" s="780" t="s">
        <v>675</v>
      </c>
      <c r="C26" s="53">
        <f ca="1">ROUND(IF('数据-取费表'!B22&lt;=1,F23*F26*F25/2,F23*(POWER((1+F26),F25/2)-1)),4)</f>
        <v>2.2000000000000001E-3</v>
      </c>
      <c r="D26" s="2568" t="str">
        <f>IF(F25&lt;=1,"销售费用×利率×(建设周期÷2)","销售费用×((1+利率)^(建设周期÷2)-1)")</f>
        <v>销售费用×((1+利率)^(建设周期÷2)-1)</v>
      </c>
      <c r="E26" s="780" t="s">
        <v>676</v>
      </c>
      <c r="F26" s="815">
        <f ca="1">'数据-取费表'!B40</f>
        <v>4.7500000000000001E-2</v>
      </c>
      <c r="G26" s="1589"/>
      <c r="H26" s="799" t="s">
        <v>1872</v>
      </c>
      <c r="I26" s="780" t="s">
        <v>660</v>
      </c>
      <c r="J26" s="53">
        <f ca="1">ROUND(J7*M26,0)</f>
        <v>0</v>
      </c>
      <c r="K26" s="3177" t="s">
        <v>677</v>
      </c>
      <c r="L26" s="780" t="s">
        <v>643</v>
      </c>
      <c r="M26" s="790">
        <f ca="1">INDIRECT("'数据-取费表'!Am"&amp;$G$1)</f>
        <v>1.4999999999999999E-2</v>
      </c>
      <c r="N26" s="2060"/>
      <c r="O26" s="2060"/>
      <c r="P26" s="2060"/>
      <c r="Q26" s="2060"/>
      <c r="R26" s="2060"/>
      <c r="S26" s="2060"/>
      <c r="T26" s="2060"/>
      <c r="U26" s="2060"/>
      <c r="V26" s="2060"/>
      <c r="W26" s="2060"/>
      <c r="X26" s="2060"/>
      <c r="Y26" s="2060"/>
    </row>
    <row r="27" spans="1:25" ht="18" customHeight="1">
      <c r="A27" s="799" t="s">
        <v>1874</v>
      </c>
      <c r="B27" s="780" t="s">
        <v>678</v>
      </c>
      <c r="C27" s="53"/>
      <c r="D27" s="260" t="s">
        <v>679</v>
      </c>
      <c r="E27" s="3184"/>
      <c r="F27" s="56"/>
      <c r="G27" s="1588"/>
      <c r="H27" s="793" t="s">
        <v>1821</v>
      </c>
      <c r="I27" s="3008" t="s">
        <v>2817</v>
      </c>
      <c r="J27" s="795">
        <f ca="1">J7-J18</f>
        <v>-32719</v>
      </c>
      <c r="K27" s="3176" t="s">
        <v>694</v>
      </c>
      <c r="L27" s="3174"/>
      <c r="M27" s="816"/>
    </row>
    <row r="28" spans="1:25" ht="18" customHeight="1">
      <c r="A28" s="799" t="s">
        <v>1868</v>
      </c>
      <c r="B28" s="780" t="s">
        <v>2433</v>
      </c>
      <c r="C28" s="53">
        <f ca="1">ROUND((C21+C22)*F28,0)</f>
        <v>47182</v>
      </c>
      <c r="D28" s="808" t="s">
        <v>695</v>
      </c>
      <c r="E28" s="791" t="s">
        <v>696</v>
      </c>
      <c r="F28" s="790">
        <f ca="1">INDIRECT("'数据-取费表'!q"&amp;$G$1)</f>
        <v>0.2</v>
      </c>
      <c r="G28" s="1588"/>
      <c r="H28" s="777" t="s">
        <v>1830</v>
      </c>
      <c r="I28" s="778" t="s">
        <v>697</v>
      </c>
      <c r="J28" s="779">
        <f ca="1">IF(J7&lt;&gt;0,ROUND(J27*(1-((1+M30)/(1+M28))^M29)/(M28-M30),0),0)</f>
        <v>0</v>
      </c>
      <c r="K28" s="810" t="s">
        <v>698</v>
      </c>
      <c r="L28" s="780" t="s">
        <v>699</v>
      </c>
      <c r="M28" s="790">
        <f ca="1">INDIRECT("'数据-取费表'!I"&amp;$G$1)</f>
        <v>4.4999999999999998E-2</v>
      </c>
    </row>
    <row r="29" spans="1:25" ht="18" customHeight="1">
      <c r="A29" s="799" t="s">
        <v>1842</v>
      </c>
      <c r="B29" s="780" t="s">
        <v>680</v>
      </c>
      <c r="C29" s="53">
        <f ca="1">ROUND(F23*F28,4)</f>
        <v>6.0000000000000001E-3</v>
      </c>
      <c r="D29" s="808" t="s">
        <v>700</v>
      </c>
      <c r="E29" s="802"/>
      <c r="F29" s="803"/>
      <c r="G29" s="1588"/>
      <c r="H29" s="782"/>
      <c r="I29" s="783"/>
      <c r="J29" s="784"/>
      <c r="K29" s="817" t="s">
        <v>701</v>
      </c>
      <c r="L29" s="780" t="s">
        <v>702</v>
      </c>
      <c r="M29" s="818">
        <f ca="1">INDIRECT("'数据-取费表'!ag"&amp;$G$1)</f>
        <v>109</v>
      </c>
    </row>
    <row r="30" spans="1:25" s="2061" customFormat="1" ht="18" customHeight="1">
      <c r="A30" s="799" t="s">
        <v>1875</v>
      </c>
      <c r="B30" s="780" t="s">
        <v>681</v>
      </c>
      <c r="C30" s="53">
        <f>ROUND(F30/(1+'数据-取费表'!C42),4)</f>
        <v>5.33E-2</v>
      </c>
      <c r="D30" s="808" t="s">
        <v>703</v>
      </c>
      <c r="E30" s="780" t="s">
        <v>643</v>
      </c>
      <c r="F30" s="805">
        <f>'数据-取费表'!B41</f>
        <v>5.6000000000000001E-2</v>
      </c>
      <c r="G30" s="1589"/>
      <c r="H30" s="786"/>
      <c r="I30" s="787"/>
      <c r="J30" s="788"/>
      <c r="K30" s="812"/>
      <c r="L30" s="780" t="s">
        <v>704</v>
      </c>
      <c r="M30" s="790">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1876</v>
      </c>
      <c r="B31" s="2538" t="s">
        <v>2818</v>
      </c>
      <c r="C31" s="2541">
        <f ca="1">ROUND((C21+C22+C25+C28)/(1-F23-C26-C29-C30),0)</f>
        <v>330323</v>
      </c>
      <c r="D31" s="2542"/>
      <c r="E31" s="2543"/>
      <c r="F31" s="2544"/>
      <c r="G31" s="1589"/>
      <c r="H31" s="819" t="s">
        <v>1865</v>
      </c>
      <c r="I31" s="3009" t="s">
        <v>2819</v>
      </c>
      <c r="J31" s="821">
        <f ca="1">ROUND(J28/(1+F45)^F46,0)</f>
        <v>0</v>
      </c>
      <c r="K31" s="822" t="s">
        <v>682</v>
      </c>
      <c r="L31" s="823"/>
      <c r="M31" s="824">
        <f ca="1">INDIRECT("'数据-取费表'!k"&amp;$G$1)</f>
        <v>433886</v>
      </c>
      <c r="N31" s="2060"/>
      <c r="O31" s="2060"/>
      <c r="P31" s="2060"/>
      <c r="Q31" s="2060"/>
      <c r="R31" s="2060"/>
      <c r="S31" s="2060"/>
      <c r="T31" s="2060"/>
      <c r="U31" s="2060"/>
      <c r="V31" s="2060"/>
      <c r="W31" s="2060"/>
      <c r="X31" s="2060"/>
      <c r="Y31" s="2060"/>
    </row>
    <row r="32" spans="1:25" ht="18" customHeight="1" thickTop="1">
      <c r="A32" s="1826" t="s">
        <v>7</v>
      </c>
      <c r="B32" s="1824" t="s">
        <v>683</v>
      </c>
      <c r="C32" s="788">
        <f ca="1">ROUND(C33+C38+C39+C40,0)</f>
        <v>5467</v>
      </c>
      <c r="D32" s="1818" t="s">
        <v>646</v>
      </c>
      <c r="E32" s="3178"/>
      <c r="F32" s="2488"/>
      <c r="G32" s="2059"/>
      <c r="H32" s="2062"/>
      <c r="I32" s="2063"/>
      <c r="J32" s="2064"/>
      <c r="K32" s="2065"/>
      <c r="L32" s="2066"/>
      <c r="M32" s="2067"/>
    </row>
    <row r="33" spans="1:18" ht="18" customHeight="1">
      <c r="A33" s="799" t="s">
        <v>1817</v>
      </c>
      <c r="B33" s="780" t="s">
        <v>650</v>
      </c>
      <c r="C33" s="53">
        <f ca="1">ROUND(IF(项目基本情况!B11="自然人",C7*F33,C34+C35+C36),1)</f>
        <v>16.8</v>
      </c>
      <c r="D33" s="3176" t="s">
        <v>651</v>
      </c>
      <c r="E33" s="3177" t="s">
        <v>684</v>
      </c>
      <c r="F33" s="806">
        <f ca="1">IF(项目基本情况!B11="企业","",IF(INDIRECT("'数据-取费表'!c"&amp;$G$1)="住宅",5%,IF(F8*F9*F10/12/(1+'数据-取费表'!C42)&gt;20000,12%,7%)))</f>
        <v>0.05</v>
      </c>
      <c r="G33" s="2059"/>
      <c r="H33" s="2062"/>
      <c r="I33" s="2063"/>
      <c r="J33" s="2064"/>
      <c r="K33" s="2065"/>
      <c r="L33" s="2066"/>
      <c r="M33" s="2067"/>
    </row>
    <row r="34" spans="1:18" ht="18" customHeight="1">
      <c r="A34" s="799" t="s">
        <v>1868</v>
      </c>
      <c r="B34" s="780" t="s">
        <v>654</v>
      </c>
      <c r="C34" s="53">
        <f ca="1">ROUND(C7*F34/1.05,1)</f>
        <v>0</v>
      </c>
      <c r="D34" s="3177" t="s">
        <v>655</v>
      </c>
      <c r="E34" s="780" t="s">
        <v>643</v>
      </c>
      <c r="F34" s="805">
        <f>'数据-取费表'!B41</f>
        <v>5.6000000000000001E-2</v>
      </c>
      <c r="G34" s="2059"/>
      <c r="H34" s="2068"/>
      <c r="I34" s="2069"/>
      <c r="J34" s="2070"/>
      <c r="K34" s="2071"/>
      <c r="L34" s="2072"/>
      <c r="M34" s="2073"/>
    </row>
    <row r="35" spans="1:18" ht="18" customHeight="1">
      <c r="A35" s="799" t="s">
        <v>1842</v>
      </c>
      <c r="B35" s="780" t="s">
        <v>658</v>
      </c>
      <c r="C35" s="53">
        <f ca="1">IF(D35="按租金收入计税",ROUND(C7*F35,1),IF(D35="按房产原值计税",ROUND(C31*F35*0.7,1),INDIRECT("'数据-取费表'!Aj"&amp;$G$1)))</f>
        <v>0</v>
      </c>
      <c r="D35" s="807" t="s">
        <v>3012</v>
      </c>
      <c r="E35" s="780" t="s">
        <v>643</v>
      </c>
      <c r="F35" s="805">
        <f>IF(D35="按租金收入计税",'数据-取费表'!B51,'数据-取费表'!B50)</f>
        <v>0.12</v>
      </c>
      <c r="G35" s="2059"/>
      <c r="H35" s="2074"/>
      <c r="I35" s="2074"/>
      <c r="J35" s="2074"/>
      <c r="K35" s="2075"/>
      <c r="L35" s="2074"/>
      <c r="M35" s="2074"/>
    </row>
    <row r="36" spans="1:18" ht="18" customHeight="1">
      <c r="A36" s="809" t="s">
        <v>1826</v>
      </c>
      <c r="B36" s="337" t="s">
        <v>662</v>
      </c>
      <c r="C36" s="54">
        <f ca="1">ROUND(F36*F37/10000,1)</f>
        <v>16.8</v>
      </c>
      <c r="D36" s="810" t="s">
        <v>663</v>
      </c>
      <c r="E36" s="780" t="s">
        <v>664</v>
      </c>
      <c r="F36" s="636">
        <f>'数据-取费表'!B52</f>
        <v>1.5</v>
      </c>
      <c r="G36" s="2059"/>
      <c r="H36" s="2062"/>
      <c r="I36" s="3581"/>
      <c r="J36" s="2076"/>
      <c r="K36" s="2077"/>
      <c r="L36" s="2076"/>
      <c r="M36" s="2076"/>
    </row>
    <row r="37" spans="1:18" ht="18" customHeight="1">
      <c r="A37" s="811"/>
      <c r="B37" s="789"/>
      <c r="C37" s="69"/>
      <c r="D37" s="812"/>
      <c r="E37" s="780" t="s">
        <v>668</v>
      </c>
      <c r="F37" s="781">
        <f ca="1">INDIRECT("'数据-取费表'!r"&amp;$G$1)</f>
        <v>111871.42</v>
      </c>
      <c r="G37" s="2059"/>
      <c r="H37" s="2062"/>
      <c r="I37" s="3581"/>
      <c r="J37" s="2074"/>
      <c r="K37" s="2075"/>
      <c r="L37" s="2074"/>
      <c r="M37" s="2074"/>
    </row>
    <row r="38" spans="1:18" ht="18" customHeight="1">
      <c r="A38" s="799" t="s">
        <v>1870</v>
      </c>
      <c r="B38" s="780" t="s">
        <v>670</v>
      </c>
      <c r="C38" s="53">
        <f ca="1">ROUND(C31*F38,1)</f>
        <v>4954.8</v>
      </c>
      <c r="D38" s="3177" t="s">
        <v>685</v>
      </c>
      <c r="E38" s="780" t="s">
        <v>643</v>
      </c>
      <c r="F38" s="813">
        <f ca="1">INDIRECT("'数据-取费表'!Ak"&amp;$G$1)</f>
        <v>1.4999999999999999E-2</v>
      </c>
      <c r="G38" s="2059"/>
      <c r="H38" s="2074"/>
      <c r="I38" s="3183"/>
      <c r="J38" s="1985"/>
      <c r="K38" s="2079"/>
      <c r="L38" s="2074"/>
      <c r="M38" s="2074"/>
    </row>
    <row r="39" spans="1:18" ht="18" customHeight="1">
      <c r="A39" s="799" t="s">
        <v>1871</v>
      </c>
      <c r="B39" s="780" t="s">
        <v>673</v>
      </c>
      <c r="C39" s="53">
        <f ca="1">ROUND(C15*F39,1)</f>
        <v>495.5</v>
      </c>
      <c r="D39" s="3177" t="s">
        <v>674</v>
      </c>
      <c r="E39" s="780" t="s">
        <v>643</v>
      </c>
      <c r="F39" s="814">
        <f ca="1">INDIRECT("'数据-取费表'!Al"&amp;$G$1)</f>
        <v>1.5E-3</v>
      </c>
      <c r="G39" s="2059"/>
      <c r="H39" s="2074"/>
      <c r="I39" s="3183"/>
      <c r="J39" s="1985"/>
      <c r="K39" s="2079"/>
      <c r="L39" s="2074"/>
      <c r="M39" s="2074"/>
    </row>
    <row r="40" spans="1:18" ht="18" customHeight="1" thickBot="1">
      <c r="A40" s="2557" t="s">
        <v>1872</v>
      </c>
      <c r="B40" s="2543" t="s">
        <v>660</v>
      </c>
      <c r="C40" s="2541">
        <f ca="1">ROUND(C7*F40,1)</f>
        <v>0</v>
      </c>
      <c r="D40" s="2542" t="s">
        <v>677</v>
      </c>
      <c r="E40" s="2543" t="s">
        <v>643</v>
      </c>
      <c r="F40" s="2539">
        <f ca="1">INDIRECT("'数据-取费表'!Am"&amp;$G$1)</f>
        <v>1.4999999999999999E-2</v>
      </c>
      <c r="G40" s="2059"/>
      <c r="H40" s="2074"/>
      <c r="I40" s="3183"/>
      <c r="J40" s="1985"/>
      <c r="K40" s="2080"/>
      <c r="L40" s="2074"/>
      <c r="M40" s="2074"/>
    </row>
    <row r="41" spans="1:18" ht="18" customHeight="1" thickTop="1">
      <c r="A41" s="1826">
        <v>4</v>
      </c>
      <c r="B41" s="1824" t="s">
        <v>686</v>
      </c>
      <c r="C41" s="1349"/>
      <c r="D41" s="1350"/>
      <c r="E41" s="1350"/>
      <c r="F41" s="1351"/>
      <c r="G41" s="2059"/>
      <c r="H41" s="2059"/>
      <c r="I41" s="2059"/>
      <c r="J41" s="2059"/>
      <c r="K41" s="2080"/>
      <c r="L41" s="2059"/>
      <c r="M41" s="2059"/>
    </row>
    <row r="42" spans="1:18" ht="18" customHeight="1">
      <c r="A42" s="799" t="s">
        <v>1817</v>
      </c>
      <c r="B42" s="831" t="s">
        <v>687</v>
      </c>
      <c r="C42" s="825">
        <f ca="1">C7-C32</f>
        <v>-5467</v>
      </c>
      <c r="D42" s="3176" t="s">
        <v>688</v>
      </c>
      <c r="E42" s="3174"/>
      <c r="F42" s="816"/>
      <c r="G42" s="2059"/>
      <c r="H42" s="2059"/>
      <c r="I42" s="2059"/>
      <c r="J42" s="2059"/>
      <c r="K42" s="2080"/>
      <c r="L42" s="2059"/>
      <c r="M42" s="2059"/>
    </row>
    <row r="43" spans="1:18" ht="18" customHeight="1">
      <c r="A43" s="799" t="s">
        <v>1870</v>
      </c>
      <c r="B43" s="831" t="s">
        <v>705</v>
      </c>
      <c r="C43" s="832">
        <f ca="1">ROUND(C15*F43,0)</f>
        <v>28077</v>
      </c>
      <c r="D43" s="1352" t="s">
        <v>706</v>
      </c>
      <c r="E43" s="3117" t="s">
        <v>2959</v>
      </c>
      <c r="F43" s="3118">
        <f ca="1">INDIRECT("'数据-取费表'!j"&amp;$G$1)</f>
        <v>8.5000000000000006E-2</v>
      </c>
      <c r="G43" s="2059"/>
      <c r="H43" s="2059"/>
      <c r="I43" s="2059"/>
      <c r="J43" s="2059"/>
      <c r="K43" s="2080"/>
      <c r="L43" s="2059"/>
      <c r="M43" s="2059"/>
    </row>
    <row r="44" spans="1:18" ht="18" customHeight="1">
      <c r="A44" s="799" t="s">
        <v>1871</v>
      </c>
      <c r="B44" s="831" t="s">
        <v>707</v>
      </c>
      <c r="C44" s="1353">
        <f ca="1">C42-C43</f>
        <v>-33544</v>
      </c>
      <c r="D44" s="459" t="s">
        <v>708</v>
      </c>
      <c r="E44" s="460"/>
      <c r="F44" s="461"/>
      <c r="G44" s="2059"/>
      <c r="H44" s="2059"/>
      <c r="I44" s="2059"/>
      <c r="J44" s="2059"/>
      <c r="K44" s="2080"/>
      <c r="L44" s="2059"/>
      <c r="M44" s="2059"/>
    </row>
    <row r="45" spans="1:18" ht="18" customHeight="1">
      <c r="A45" s="799" t="s">
        <v>1872</v>
      </c>
      <c r="B45" s="1352" t="s">
        <v>709</v>
      </c>
      <c r="C45" s="3032">
        <f ca="1">ROUND(-PV(F45,F46,C44,0),0)</f>
        <v>-648831</v>
      </c>
      <c r="D45" s="1354" t="s">
        <v>710</v>
      </c>
      <c r="E45" s="802" t="s">
        <v>711</v>
      </c>
      <c r="F45" s="826">
        <f ca="1">INDIRECT("'数据-取费表'!h"&amp;$G$1)</f>
        <v>0.05</v>
      </c>
      <c r="G45" s="2059"/>
      <c r="H45" s="2059"/>
      <c r="I45" s="2059"/>
      <c r="J45" s="2059"/>
      <c r="K45" s="2080"/>
      <c r="L45" s="2059"/>
      <c r="M45" s="2059"/>
    </row>
    <row r="46" spans="1:18" ht="18" customHeight="1" thickBot="1">
      <c r="A46" s="827"/>
      <c r="B46" s="1355"/>
      <c r="C46" s="1356"/>
      <c r="D46" s="1357"/>
      <c r="E46" s="3119" t="s">
        <v>2962</v>
      </c>
      <c r="F46" s="824">
        <f ca="1">IF(INDIRECT("'数据-取费表'!af"&amp;$G$1)=0,INDIRECT("'数据-取费表'!ae"&amp;$G$1),INDIRECT("'数据-取费表'!af"&amp;$G$1))</f>
        <v>70</v>
      </c>
      <c r="G46" s="2059"/>
      <c r="H46" s="2059"/>
      <c r="I46" s="2059"/>
      <c r="J46" s="2059"/>
      <c r="K46" s="2080"/>
      <c r="L46" s="2059"/>
      <c r="M46" s="2059"/>
    </row>
    <row r="47" spans="1:18" s="2056" customFormat="1" ht="18" customHeight="1" thickBot="1">
      <c r="A47" s="2081"/>
      <c r="D47" s="2082"/>
      <c r="E47" s="2082"/>
      <c r="F47" s="2082"/>
      <c r="I47" s="2375" t="s">
        <v>2338</v>
      </c>
      <c r="J47" s="2376"/>
      <c r="K47" s="2377"/>
      <c r="L47" s="3155">
        <f>IF(M48="住宅",0,IF(L49&gt;J52,L61,J61))</f>
        <v>0</v>
      </c>
      <c r="O47" s="2391" t="s">
        <v>2405</v>
      </c>
      <c r="P47" s="1588"/>
      <c r="Q47" s="1600"/>
      <c r="R47" s="1588"/>
    </row>
    <row r="48" spans="1:18" s="2056" customFormat="1" ht="18" customHeight="1" thickBot="1">
      <c r="A48" s="2081"/>
      <c r="C48" s="2084"/>
      <c r="D48" s="2085"/>
      <c r="E48" s="2085"/>
      <c r="F48" s="2086"/>
      <c r="G48" s="2087"/>
      <c r="I48" s="3145" t="s">
        <v>2339</v>
      </c>
      <c r="J48" s="2378" t="s">
        <v>3005</v>
      </c>
      <c r="K48" s="3152" t="s">
        <v>2344</v>
      </c>
      <c r="L48" s="3156">
        <f ca="1">INDIRECT("'数据-取费表'!d"&amp;$G$1)</f>
        <v>70</v>
      </c>
      <c r="M48" s="3116" t="str">
        <f>IF(ISNUMBER(FIND("住宅",C1)),"住宅","非住宅")</f>
        <v>住宅</v>
      </c>
      <c r="O48" s="2392" t="s">
        <v>2370</v>
      </c>
      <c r="P48" s="2393" t="s">
        <v>2371</v>
      </c>
      <c r="Q48" s="2394" t="s">
        <v>2372</v>
      </c>
      <c r="R48" s="2393" t="s">
        <v>2373</v>
      </c>
    </row>
    <row r="49" spans="1:18" s="2056" customFormat="1" ht="18" customHeight="1" thickBot="1">
      <c r="A49" s="2081"/>
      <c r="D49" s="2088"/>
      <c r="E49" s="2089"/>
      <c r="F49" s="2086"/>
      <c r="G49" s="2087"/>
      <c r="H49" s="2090"/>
      <c r="I49" s="3121" t="s">
        <v>2340</v>
      </c>
      <c r="J49" s="2379" t="s">
        <v>3013</v>
      </c>
      <c r="K49" s="3153" t="s">
        <v>2346</v>
      </c>
      <c r="L49" s="1905">
        <f ca="1">INDIRECT("'数据-取费表'!f"&amp;$G$1)</f>
        <v>70</v>
      </c>
      <c r="O49" s="2395" t="s">
        <v>2374</v>
      </c>
      <c r="P49" s="2396" t="s">
        <v>2400</v>
      </c>
      <c r="Q49" s="2397">
        <f ca="1">C41+J31</f>
        <v>0</v>
      </c>
      <c r="R49" s="2396" t="s">
        <v>2375</v>
      </c>
    </row>
    <row r="50" spans="1:18" s="2056" customFormat="1" ht="18" customHeight="1" thickBot="1">
      <c r="A50" s="2081"/>
      <c r="D50" s="2091"/>
      <c r="E50" s="2091"/>
      <c r="F50" s="2085"/>
      <c r="G50" s="2092"/>
      <c r="H50" s="2090"/>
      <c r="I50" s="3121" t="s">
        <v>2341</v>
      </c>
      <c r="J50" s="2380">
        <v>2019</v>
      </c>
      <c r="K50" s="3154" t="s">
        <v>2347</v>
      </c>
      <c r="L50" s="2381"/>
      <c r="O50" s="2395" t="s">
        <v>2376</v>
      </c>
      <c r="P50" s="2396" t="s">
        <v>2401</v>
      </c>
      <c r="Q50" s="2397" t="str">
        <f ca="1">J61</f>
        <v>0</v>
      </c>
      <c r="R50" s="2396" t="s">
        <v>2377</v>
      </c>
    </row>
    <row r="51" spans="1:18" s="2056" customFormat="1" ht="18" customHeight="1" thickBot="1">
      <c r="A51" s="2093"/>
      <c r="D51" s="2091"/>
      <c r="E51" s="2091"/>
      <c r="F51" s="2082"/>
      <c r="H51" s="2090"/>
      <c r="I51" s="3121" t="s">
        <v>2342</v>
      </c>
      <c r="J51" s="3149">
        <f>SUMPRODUCT((I64:I66=J48)*(J63:L63=J49)*(J64:L66))</f>
        <v>60</v>
      </c>
      <c r="K51" s="3154" t="s">
        <v>2348</v>
      </c>
      <c r="L51" s="2381"/>
      <c r="O51" s="2398" t="s">
        <v>2378</v>
      </c>
      <c r="P51" s="2396" t="s">
        <v>2402</v>
      </c>
      <c r="Q51" s="2397">
        <f ca="1">C31</f>
        <v>330323</v>
      </c>
      <c r="R51" s="2396" t="s">
        <v>2375</v>
      </c>
    </row>
    <row r="52" spans="1:18" s="2056" customFormat="1" ht="18" customHeight="1" thickBot="1">
      <c r="A52" s="2093"/>
      <c r="F52" s="2082"/>
      <c r="I52" s="3146" t="s">
        <v>2343</v>
      </c>
      <c r="J52" s="3150">
        <f>IF(J50="",J51,J50+J51-YEAR('数据-取费表'!B3))</f>
        <v>179</v>
      </c>
      <c r="K52" s="3121" t="s">
        <v>2349</v>
      </c>
      <c r="L52" s="3157">
        <f ca="1">ROUND(-PV(INDIRECT("'数据-取费表'!h"&amp;$G$1),L49,(C40-C14*J36),0),0)</f>
        <v>0</v>
      </c>
      <c r="O52" s="2398" t="s">
        <v>2379</v>
      </c>
      <c r="P52" s="2396" t="s">
        <v>2380</v>
      </c>
      <c r="Q52" s="2399" t="e">
        <f ca="1">J59</f>
        <v>#VALUE!</v>
      </c>
      <c r="R52" s="2400"/>
    </row>
    <row r="53" spans="1:18" s="2056" customFormat="1" ht="18" customHeight="1" thickBot="1">
      <c r="A53" s="2093"/>
      <c r="F53" s="2082"/>
      <c r="I53" s="3147" t="s">
        <v>2416</v>
      </c>
      <c r="J53" s="2382">
        <f>'数据-取费表'!J6+0.5%</f>
        <v>9.0000000000000011E-2</v>
      </c>
      <c r="K53" s="3147" t="s">
        <v>2415</v>
      </c>
      <c r="L53" s="2382"/>
      <c r="O53" s="2398" t="s">
        <v>2381</v>
      </c>
      <c r="P53" s="2396" t="s">
        <v>2382</v>
      </c>
      <c r="Q53" s="2399">
        <f>J53</f>
        <v>9.0000000000000011E-2</v>
      </c>
      <c r="R53" s="2400"/>
    </row>
    <row r="54" spans="1:18" s="2056" customFormat="1" ht="29.25" thickBot="1">
      <c r="A54" s="2093"/>
      <c r="I54" s="3148" t="s">
        <v>2976</v>
      </c>
      <c r="J54" s="3151">
        <f ca="1">IF(M48="住宅",MAX(J52,L49-'数据-取费表'!B20),MIN(J52,L49-'数据-取费表'!B20))</f>
        <v>179</v>
      </c>
      <c r="K54" s="3582"/>
      <c r="L54" s="3583"/>
      <c r="O54" s="2398" t="s">
        <v>2383</v>
      </c>
      <c r="P54" s="2396" t="s">
        <v>2384</v>
      </c>
      <c r="Q54" s="2397">
        <f ca="1">J54</f>
        <v>179</v>
      </c>
      <c r="R54" s="2396" t="s">
        <v>2385</v>
      </c>
    </row>
    <row r="55" spans="1:18" s="2056" customFormat="1" ht="18" customHeight="1" thickBot="1">
      <c r="A55" s="2093"/>
      <c r="I55" s="31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58"/>
      <c r="K55" s="3159"/>
      <c r="O55" s="2395" t="s">
        <v>2386</v>
      </c>
      <c r="P55" s="2396" t="s">
        <v>2403</v>
      </c>
      <c r="Q55" s="2397">
        <f ca="1">Q49+Q50</f>
        <v>0</v>
      </c>
      <c r="R55" s="2400" t="s">
        <v>2387</v>
      </c>
    </row>
    <row r="56" spans="1:18" s="2056" customFormat="1" ht="16.5" thickBot="1">
      <c r="A56" s="2093"/>
      <c r="B56" s="2094"/>
      <c r="C56" s="2094"/>
      <c r="I56" s="3160" t="s">
        <v>2350</v>
      </c>
      <c r="J56" s="3096" t="e">
        <f ca="1">ROUND(IF(J48="钢混",J58/J51,1-(1-2%)*(J51-J58)/J51),3)</f>
        <v>#VALUE!</v>
      </c>
      <c r="K56" s="3161" t="s">
        <v>2351</v>
      </c>
      <c r="L56" s="2383"/>
      <c r="O56" s="2401" t="s">
        <v>2406</v>
      </c>
      <c r="P56" s="1588"/>
      <c r="Q56" s="1600"/>
      <c r="R56" s="1588"/>
    </row>
    <row r="57" spans="1:18" s="2056" customFormat="1" ht="43.5" thickBot="1">
      <c r="A57" s="2093"/>
      <c r="B57" s="2094"/>
      <c r="C57" s="2094"/>
      <c r="I57" s="3162" t="s">
        <v>2352</v>
      </c>
      <c r="J57" s="3172" t="s">
        <v>3003</v>
      </c>
      <c r="K57" s="3121" t="s">
        <v>2357</v>
      </c>
      <c r="L57" s="1905" t="str">
        <f ca="1">IF(L49&lt;J52,"——",L49-J52)</f>
        <v>——</v>
      </c>
      <c r="O57" s="2392" t="s">
        <v>2370</v>
      </c>
      <c r="P57" s="2393" t="s">
        <v>2371</v>
      </c>
      <c r="Q57" s="2394" t="s">
        <v>2372</v>
      </c>
      <c r="R57" s="2393" t="s">
        <v>2373</v>
      </c>
    </row>
    <row r="58" spans="1:18" s="2056" customFormat="1" ht="29.25" thickBot="1">
      <c r="A58" s="2093"/>
      <c r="B58" s="2094"/>
      <c r="C58" s="2094"/>
      <c r="I58" s="3163" t="s">
        <v>2353</v>
      </c>
      <c r="J58" s="3164" t="str">
        <f ca="1">IF(OR(M48="住宅",J52&lt;L49,J57="是"),"——",J52-L49)</f>
        <v>——</v>
      </c>
      <c r="K58" s="3121" t="s">
        <v>2358</v>
      </c>
      <c r="L58" s="1905" t="str">
        <f ca="1">IF(L49&lt;J52,"——",IF(L56="比较法",L50,IF(L56="基准地价",L51,L52)))</f>
        <v>——</v>
      </c>
      <c r="O58" s="2395" t="s">
        <v>2374</v>
      </c>
      <c r="P58" s="2396" t="s">
        <v>2400</v>
      </c>
      <c r="Q58" s="2397">
        <f ca="1">C41+J31</f>
        <v>0</v>
      </c>
      <c r="R58" s="2396" t="s">
        <v>2375</v>
      </c>
    </row>
    <row r="59" spans="1:18" s="2056" customFormat="1" ht="29.25" thickBot="1">
      <c r="A59" s="2093"/>
      <c r="B59" s="2094"/>
      <c r="C59" s="2094"/>
      <c r="I59" s="3163" t="s">
        <v>2354</v>
      </c>
      <c r="J59" s="3097" t="e">
        <f ca="1">IF(J56&lt;0.4,0.4,J56)</f>
        <v>#VALUE!</v>
      </c>
      <c r="K59" s="3121" t="s">
        <v>2359</v>
      </c>
      <c r="L59" s="1905">
        <f ca="1">IF(ISERROR(POWER(1+L53,L48-L49)*(POWER(1+L53,L49)-1)/(POWER(1+L53,L48)-1)),0,POWER(1+L53,L48-L49)*(POWER(1+L53,L49)-1)/(POWER(1+L53,L48)-1))</f>
        <v>0</v>
      </c>
      <c r="O59" s="2395" t="s">
        <v>2376</v>
      </c>
      <c r="P59" s="2396" t="s">
        <v>2407</v>
      </c>
      <c r="Q59" s="2397">
        <f ca="1">L61</f>
        <v>0</v>
      </c>
      <c r="R59" s="2400" t="s">
        <v>2409</v>
      </c>
    </row>
    <row r="60" spans="1:18" s="2056" customFormat="1" ht="29.25" thickBot="1">
      <c r="A60" s="2093"/>
      <c r="B60" s="2094"/>
      <c r="C60" s="2094"/>
      <c r="I60" s="3163" t="s">
        <v>2355</v>
      </c>
      <c r="J60" s="3164" t="str">
        <f ca="1">IF(OR(M48="住宅",J52&lt;L49,J57="是"),"——",ROUND(C30*J59,0))</f>
        <v>——</v>
      </c>
      <c r="K60" s="3121" t="s">
        <v>2360</v>
      </c>
      <c r="L60" s="1905">
        <f ca="1">IF(ISERROR(POWER(1+L53,L48-J52)*(POWER(1+L53,J52)-1)/(POWER(1+L53,L48)-1)),0,POWER(1+L53,L48-J52)*(POWER(1+L53,J52)-1)/(POWER(1+L53,L48)-1))</f>
        <v>0</v>
      </c>
      <c r="O60" s="2398" t="s">
        <v>2378</v>
      </c>
      <c r="P60" s="2396" t="s">
        <v>2408</v>
      </c>
      <c r="Q60" s="2397">
        <f>IF(L56="比较法",L50,IF(L56="基准地价",L51,0))</f>
        <v>0</v>
      </c>
      <c r="R60" s="2396" t="s">
        <v>2375</v>
      </c>
    </row>
    <row r="61" spans="1:18" s="2056" customFormat="1" ht="15.75" thickBot="1">
      <c r="A61" s="2093"/>
      <c r="B61" s="2094"/>
      <c r="C61" s="2094"/>
      <c r="I61" s="3165" t="s">
        <v>2356</v>
      </c>
      <c r="J61" s="3166" t="str">
        <f ca="1">IF(OR(M48="住宅",J52&lt;L49,J57="是"),"0",ROUND(J60/(1+J53)^J54,0))</f>
        <v>0</v>
      </c>
      <c r="K61" s="3167" t="s">
        <v>2361</v>
      </c>
      <c r="L61" s="3166">
        <f ca="1">IF(OR(M48="住宅",L49&lt;J52),0,ROUND(L58*(L59/L60-1),0))</f>
        <v>0</v>
      </c>
      <c r="O61" s="2398" t="s">
        <v>2379</v>
      </c>
      <c r="P61" s="2396" t="s">
        <v>2388</v>
      </c>
      <c r="Q61" s="2399">
        <f>L53</f>
        <v>0</v>
      </c>
      <c r="R61" s="2400"/>
    </row>
    <row r="62" spans="1:18" s="2056" customFormat="1" ht="20.25" thickBot="1">
      <c r="A62" s="2093"/>
      <c r="B62" s="2094"/>
      <c r="C62" s="2094"/>
      <c r="K62" s="2083"/>
      <c r="O62" s="2398" t="s">
        <v>2381</v>
      </c>
      <c r="P62" s="2396" t="s">
        <v>2389</v>
      </c>
      <c r="Q62" s="2397">
        <f ca="1">L59</f>
        <v>0</v>
      </c>
      <c r="R62" s="2400" t="s">
        <v>2390</v>
      </c>
    </row>
    <row r="63" spans="1:18" s="2056" customFormat="1" ht="20.25" thickBot="1">
      <c r="A63" s="2093"/>
      <c r="B63" s="2094"/>
      <c r="C63" s="2094"/>
      <c r="I63" s="3168" t="s">
        <v>2362</v>
      </c>
      <c r="J63" s="3169" t="s">
        <v>2363</v>
      </c>
      <c r="K63" s="3169" t="s">
        <v>2364</v>
      </c>
      <c r="L63" s="3169" t="s">
        <v>2345</v>
      </c>
      <c r="M63" s="3170" t="s">
        <v>2940</v>
      </c>
      <c r="O63" s="2398" t="s">
        <v>2383</v>
      </c>
      <c r="P63" s="2396" t="s">
        <v>2391</v>
      </c>
      <c r="Q63" s="2397">
        <f ca="1">L60</f>
        <v>0</v>
      </c>
      <c r="R63" s="2400" t="s">
        <v>2392</v>
      </c>
    </row>
    <row r="64" spans="1:18" s="2056" customFormat="1" ht="15.75" thickBot="1">
      <c r="A64" s="2093"/>
      <c r="B64" s="2094"/>
      <c r="C64" s="2094"/>
      <c r="I64" s="3168" t="s">
        <v>2365</v>
      </c>
      <c r="J64" s="3169">
        <v>70</v>
      </c>
      <c r="K64" s="3169">
        <v>50</v>
      </c>
      <c r="L64" s="3169">
        <v>80</v>
      </c>
      <c r="M64" s="3171">
        <v>0.02</v>
      </c>
      <c r="O64" s="2395" t="s">
        <v>2386</v>
      </c>
      <c r="P64" s="2396" t="s">
        <v>2403</v>
      </c>
      <c r="Q64" s="2397">
        <f ca="1">Q58+Q59</f>
        <v>0</v>
      </c>
      <c r="R64" s="2400" t="s">
        <v>2387</v>
      </c>
    </row>
    <row r="65" spans="1:18" s="2056" customFormat="1" ht="16.5" thickBot="1">
      <c r="A65" s="2093"/>
      <c r="B65" s="2094"/>
      <c r="C65" s="2094"/>
      <c r="I65" s="3168" t="s">
        <v>2366</v>
      </c>
      <c r="J65" s="3169">
        <v>50</v>
      </c>
      <c r="K65" s="3169">
        <v>35</v>
      </c>
      <c r="L65" s="3169">
        <v>60</v>
      </c>
      <c r="M65" s="842">
        <v>0</v>
      </c>
      <c r="O65" s="2401" t="s">
        <v>2410</v>
      </c>
      <c r="P65" s="1588"/>
      <c r="Q65" s="1600"/>
      <c r="R65" s="1588"/>
    </row>
    <row r="66" spans="1:18" s="2056" customFormat="1" ht="15.75" thickBot="1">
      <c r="A66" s="2093"/>
      <c r="B66" s="2094"/>
      <c r="C66" s="2094"/>
      <c r="I66" s="3168" t="s">
        <v>2367</v>
      </c>
      <c r="J66" s="3169">
        <v>40</v>
      </c>
      <c r="K66" s="3169">
        <v>30</v>
      </c>
      <c r="L66" s="3169">
        <v>50</v>
      </c>
      <c r="M66" s="3171">
        <v>0.02</v>
      </c>
      <c r="O66" s="2392" t="s">
        <v>2370</v>
      </c>
      <c r="P66" s="2393" t="s">
        <v>2371</v>
      </c>
      <c r="Q66" s="2394" t="s">
        <v>2372</v>
      </c>
      <c r="R66" s="2393" t="s">
        <v>2373</v>
      </c>
    </row>
    <row r="67" spans="1:18" s="2056" customFormat="1" ht="15.75" thickBot="1">
      <c r="A67" s="2093"/>
      <c r="B67" s="2094"/>
      <c r="C67" s="2094"/>
      <c r="K67" s="2083"/>
      <c r="O67" s="2395" t="s">
        <v>2374</v>
      </c>
      <c r="P67" s="2396" t="s">
        <v>2400</v>
      </c>
      <c r="Q67" s="2397">
        <f ca="1">C41+J31</f>
        <v>0</v>
      </c>
      <c r="R67" s="2396" t="s">
        <v>2375</v>
      </c>
    </row>
    <row r="68" spans="1:18" s="2056" customFormat="1" ht="20.25" thickBot="1">
      <c r="A68" s="2093"/>
      <c r="B68" s="2094"/>
      <c r="C68" s="2094"/>
      <c r="K68" s="2083"/>
      <c r="O68" s="2395" t="s">
        <v>2376</v>
      </c>
      <c r="P68" s="2396" t="s">
        <v>2407</v>
      </c>
      <c r="Q68" s="2397">
        <f ca="1">L61</f>
        <v>0</v>
      </c>
      <c r="R68" s="2400" t="s">
        <v>2409</v>
      </c>
    </row>
    <row r="69" spans="1:18" s="2056" customFormat="1" ht="21.75" thickBot="1">
      <c r="A69" s="2093"/>
      <c r="B69" s="2094"/>
      <c r="C69" s="2094"/>
      <c r="K69" s="2083"/>
      <c r="O69" s="2398" t="s">
        <v>2378</v>
      </c>
      <c r="P69" s="2396" t="s">
        <v>2408</v>
      </c>
      <c r="Q69" s="2402">
        <f ca="1">L52</f>
        <v>0</v>
      </c>
      <c r="R69" s="2403" t="s">
        <v>2411</v>
      </c>
    </row>
    <row r="70" spans="1:18" s="2056" customFormat="1" ht="20.25" thickBot="1">
      <c r="A70" s="2093"/>
      <c r="B70" s="2094"/>
      <c r="C70" s="2094"/>
      <c r="K70" s="2083"/>
      <c r="O70" s="2398" t="s">
        <v>2379</v>
      </c>
      <c r="P70" s="2404" t="s">
        <v>2393</v>
      </c>
      <c r="Q70" s="2397">
        <f ca="1">ROUND(Q71-Q72*Q73,0)</f>
        <v>-33544</v>
      </c>
      <c r="R70" s="2400"/>
    </row>
    <row r="71" spans="1:18" s="2056" customFormat="1" ht="15.75" thickBot="1">
      <c r="A71" s="2093"/>
      <c r="B71" s="2094"/>
      <c r="C71" s="2094"/>
      <c r="K71" s="2083"/>
      <c r="O71" s="2398" t="s">
        <v>2394</v>
      </c>
      <c r="P71" s="2404" t="s">
        <v>2395</v>
      </c>
      <c r="Q71" s="2397">
        <f ca="1">C42</f>
        <v>-5467</v>
      </c>
      <c r="R71" s="2396" t="s">
        <v>2375</v>
      </c>
    </row>
    <row r="72" spans="1:18" s="2056" customFormat="1" ht="15.75" thickBot="1">
      <c r="A72" s="2093"/>
      <c r="B72" s="2094"/>
      <c r="C72" s="2094"/>
      <c r="K72" s="2083"/>
      <c r="O72" s="2398" t="s">
        <v>2396</v>
      </c>
      <c r="P72" s="2404" t="s">
        <v>2397</v>
      </c>
      <c r="Q72" s="2397">
        <f ca="1">C15</f>
        <v>330323</v>
      </c>
      <c r="R72" s="2396" t="s">
        <v>2375</v>
      </c>
    </row>
    <row r="73" spans="1:18" s="2056" customFormat="1" ht="15.75" thickBot="1">
      <c r="A73" s="2093"/>
      <c r="B73" s="2094"/>
      <c r="C73" s="2094"/>
      <c r="K73" s="2083"/>
      <c r="O73" s="2398" t="s">
        <v>2398</v>
      </c>
      <c r="P73" s="2404" t="s">
        <v>2399</v>
      </c>
      <c r="Q73" s="2399">
        <f ca="1">F43</f>
        <v>8.5000000000000006E-2</v>
      </c>
      <c r="R73" s="2400"/>
    </row>
    <row r="74" spans="1:18" s="2056" customFormat="1" ht="15.75" thickBot="1">
      <c r="A74" s="2093"/>
      <c r="B74" s="2094"/>
      <c r="C74" s="2094"/>
      <c r="K74" s="2083"/>
      <c r="O74" s="2398" t="s">
        <v>2381</v>
      </c>
      <c r="P74" s="2396" t="s">
        <v>2388</v>
      </c>
      <c r="Q74" s="2399">
        <f>L53</f>
        <v>0</v>
      </c>
      <c r="R74" s="2400"/>
    </row>
    <row r="75" spans="1:18" s="2056" customFormat="1" ht="20.25" thickBot="1">
      <c r="A75" s="2093"/>
      <c r="B75" s="2094"/>
      <c r="C75" s="2094"/>
      <c r="K75" s="2083"/>
      <c r="O75" s="2398" t="s">
        <v>2383</v>
      </c>
      <c r="P75" s="2396" t="s">
        <v>2389</v>
      </c>
      <c r="Q75" s="2397">
        <f ca="1">L59</f>
        <v>0</v>
      </c>
      <c r="R75" s="2400" t="s">
        <v>2390</v>
      </c>
    </row>
    <row r="76" spans="1:18" s="2056" customFormat="1" ht="20.25" thickBot="1">
      <c r="A76" s="2093"/>
      <c r="B76" s="2094"/>
      <c r="C76" s="2094"/>
      <c r="K76" s="2083"/>
      <c r="O76" s="2398" t="s">
        <v>2412</v>
      </c>
      <c r="P76" s="2396" t="s">
        <v>2391</v>
      </c>
      <c r="Q76" s="2397">
        <f ca="1">L60</f>
        <v>0</v>
      </c>
      <c r="R76" s="2400" t="s">
        <v>2392</v>
      </c>
    </row>
    <row r="77" spans="1:18" s="2056" customFormat="1" ht="15.75" thickBot="1">
      <c r="A77" s="2093"/>
      <c r="B77" s="2094"/>
      <c r="C77" s="2094"/>
      <c r="K77" s="2083"/>
      <c r="O77" s="2395" t="s">
        <v>2386</v>
      </c>
      <c r="P77" s="2396" t="s">
        <v>2403</v>
      </c>
      <c r="Q77" s="2397">
        <f ca="1">Q67+Q68</f>
        <v>0</v>
      </c>
      <c r="R77" s="2400" t="s">
        <v>2387</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8" t="s">
        <v>622</v>
      </c>
      <c r="B1" s="734"/>
      <c r="C1" s="769"/>
      <c r="D1" s="2047"/>
      <c r="E1" s="2384" t="s">
        <v>864</v>
      </c>
      <c r="F1" s="2385">
        <f ca="1">J54</f>
        <v>-3</v>
      </c>
      <c r="G1" s="770">
        <f>MATCH(C1,'数据-取费表'!A6:A16,0)+5</f>
        <v>12</v>
      </c>
      <c r="H1" s="1346"/>
      <c r="I1" s="2048"/>
      <c r="J1" s="2048"/>
      <c r="K1" s="2049"/>
      <c r="L1" s="2048"/>
      <c r="M1" s="2048"/>
      <c r="N1" s="2050"/>
      <c r="O1" s="2050"/>
      <c r="P1" s="2050"/>
      <c r="Q1" s="2050"/>
      <c r="R1" s="2050"/>
      <c r="S1" s="2050"/>
      <c r="T1" s="2050"/>
      <c r="U1" s="2050"/>
      <c r="V1" s="2050"/>
      <c r="W1" s="2050"/>
      <c r="X1" s="2050"/>
      <c r="Y1" s="2050"/>
    </row>
    <row r="2" spans="1:25" ht="18" customHeight="1">
      <c r="A2" s="1640" t="s">
        <v>623</v>
      </c>
      <c r="B2" s="771">
        <f ca="1">IF(ISERROR(C45+J31),0,C45+J31)</f>
        <v>0</v>
      </c>
      <c r="C2" s="1347"/>
      <c r="D2" s="2052"/>
      <c r="E2" s="2053"/>
      <c r="F2" s="2053"/>
      <c r="G2" s="1586"/>
      <c r="H2" s="1359"/>
      <c r="I2" s="2054"/>
      <c r="J2" s="2054"/>
      <c r="K2" s="2055"/>
      <c r="L2" s="2054"/>
      <c r="M2" s="2054"/>
    </row>
    <row r="3" spans="1:25" ht="18" customHeight="1">
      <c r="A3" s="1641" t="s">
        <v>1677</v>
      </c>
      <c r="B3" s="1387">
        <f ca="1">ROUND(B2*10000/'数据-汇总表'!E3,0)</f>
        <v>0</v>
      </c>
      <c r="C3" s="1347"/>
      <c r="D3" s="2052"/>
      <c r="E3" s="2053"/>
      <c r="F3" s="2053"/>
      <c r="G3" s="1586"/>
      <c r="H3" s="772" t="s">
        <v>689</v>
      </c>
      <c r="I3" s="2054"/>
      <c r="J3" s="2054"/>
      <c r="K3" s="2055"/>
      <c r="L3" s="2054"/>
      <c r="M3" s="2054"/>
    </row>
    <row r="4" spans="1:25" ht="18" customHeight="1">
      <c r="A4" s="1642" t="s">
        <v>690</v>
      </c>
      <c r="B4" s="1348">
        <f ca="1">ROUND(B2*10000/'数据-汇总表'!D3,0)</f>
        <v>0</v>
      </c>
      <c r="C4" s="424"/>
      <c r="D4" s="2052"/>
      <c r="E4" s="2053"/>
      <c r="F4" s="2053"/>
      <c r="G4" s="1586"/>
      <c r="H4" s="772"/>
      <c r="I4" s="2054"/>
      <c r="J4" s="2054"/>
      <c r="K4" s="2055"/>
      <c r="L4" s="2054"/>
      <c r="M4" s="2054"/>
    </row>
    <row r="5" spans="1:25" ht="18" customHeight="1" thickBot="1">
      <c r="A5" s="1643"/>
      <c r="B5" s="426">
        <f ca="1">ROUND(B2/('数据-汇总表'!D3/666.67),0)</f>
        <v>0</v>
      </c>
      <c r="C5" s="427" t="s">
        <v>463</v>
      </c>
      <c r="D5" s="2052"/>
      <c r="E5" s="2053"/>
      <c r="F5" s="2053"/>
      <c r="G5" s="1586"/>
      <c r="H5" s="772"/>
      <c r="I5" s="2054"/>
      <c r="J5" s="2054"/>
      <c r="K5" s="2055"/>
      <c r="L5" s="2054"/>
      <c r="M5" s="2054"/>
    </row>
    <row r="6" spans="1:25" ht="18" customHeight="1">
      <c r="A6" s="1825" t="s">
        <v>624</v>
      </c>
      <c r="B6" s="1817" t="s">
        <v>625</v>
      </c>
      <c r="C6" s="1817" t="s">
        <v>626</v>
      </c>
      <c r="D6" s="1817" t="s">
        <v>627</v>
      </c>
      <c r="E6" s="775" t="s">
        <v>628</v>
      </c>
      <c r="F6" s="776"/>
      <c r="G6" s="1588"/>
      <c r="H6" s="1825" t="s">
        <v>624</v>
      </c>
      <c r="I6" s="1817" t="s">
        <v>625</v>
      </c>
      <c r="J6" s="1817" t="s">
        <v>626</v>
      </c>
      <c r="K6" s="1817" t="s">
        <v>627</v>
      </c>
      <c r="L6" s="775" t="s">
        <v>628</v>
      </c>
      <c r="M6" s="776"/>
    </row>
    <row r="7" spans="1:25" ht="18" customHeight="1">
      <c r="A7" s="777">
        <v>1</v>
      </c>
      <c r="B7" s="778" t="s">
        <v>2453</v>
      </c>
      <c r="C7" s="53">
        <f ca="1">C8+C12+C14</f>
        <v>0</v>
      </c>
      <c r="D7" s="2493" t="s">
        <v>2456</v>
      </c>
      <c r="E7" s="2487"/>
      <c r="F7" s="2488"/>
      <c r="G7" s="1588"/>
      <c r="H7" s="777">
        <v>1</v>
      </c>
      <c r="I7" s="778" t="s">
        <v>2453</v>
      </c>
      <c r="J7" s="53">
        <f ca="1">J8+J12+J14</f>
        <v>0</v>
      </c>
      <c r="K7" s="2493" t="s">
        <v>2456</v>
      </c>
      <c r="L7" s="2487"/>
      <c r="M7" s="2488"/>
    </row>
    <row r="8" spans="1:25" ht="18" customHeight="1">
      <c r="A8" s="1827" t="s">
        <v>1817</v>
      </c>
      <c r="B8" s="3575" t="s">
        <v>2458</v>
      </c>
      <c r="C8" s="1822">
        <f ca="1">ROUND(F8*F10*F9*(1-F11)/10000,0)</f>
        <v>0</v>
      </c>
      <c r="D8" s="1819" t="s">
        <v>2529</v>
      </c>
      <c r="E8" s="61" t="s">
        <v>631</v>
      </c>
      <c r="F8" s="781">
        <f ca="1">INDIRECT("'数据-取费表'!u"&amp;$G$1)</f>
        <v>0</v>
      </c>
      <c r="G8" s="1588"/>
      <c r="H8" s="2501" t="s">
        <v>1817</v>
      </c>
      <c r="I8" s="3575" t="s">
        <v>2458</v>
      </c>
      <c r="J8" s="779">
        <f ca="1">ROUND(M8*M10*M9*(1-M11)/10000,0)</f>
        <v>0</v>
      </c>
      <c r="K8" s="337" t="s">
        <v>2529</v>
      </c>
      <c r="L8" s="780" t="s">
        <v>631</v>
      </c>
      <c r="M8" s="781">
        <f ca="1">INDIRECT("'数据-取费表'!z"&amp;$G$1)</f>
        <v>0</v>
      </c>
    </row>
    <row r="9" spans="1:25" ht="18" customHeight="1">
      <c r="A9" s="2497"/>
      <c r="B9" s="3576"/>
      <c r="C9" s="1823"/>
      <c r="D9" s="1820"/>
      <c r="E9" s="61" t="s">
        <v>632</v>
      </c>
      <c r="F9" s="781">
        <f ca="1">IF(INDIRECT("'数据-取费表'!ah"&amp;$G$1)="",INDIRECT("'数据-取费表'!k"&amp;$G$1),INDIRECT("'数据-取费表'!ah"&amp;$G$1))</f>
        <v>0</v>
      </c>
      <c r="G9" s="1588"/>
      <c r="H9" s="2486"/>
      <c r="I9" s="3576"/>
      <c r="J9" s="784"/>
      <c r="K9" s="785"/>
      <c r="L9" s="780" t="s">
        <v>632</v>
      </c>
      <c r="M9" s="781">
        <f ca="1">F9</f>
        <v>0</v>
      </c>
    </row>
    <row r="10" spans="1:25" ht="18" customHeight="1">
      <c r="A10" s="2490"/>
      <c r="B10" s="3577"/>
      <c r="C10" s="1823"/>
      <c r="D10" s="1820"/>
      <c r="E10" s="61" t="s">
        <v>633</v>
      </c>
      <c r="F10" s="781">
        <f ca="1">INDIRECT("'数据-取费表'!ai"&amp;$G$1)</f>
        <v>0</v>
      </c>
      <c r="G10" s="1588"/>
      <c r="H10" s="2486"/>
      <c r="I10" s="3577"/>
      <c r="J10" s="784"/>
      <c r="K10" s="785"/>
      <c r="L10" s="780" t="s">
        <v>633</v>
      </c>
      <c r="M10" s="781">
        <f ca="1">INDIRECT("'数据-取费表'!ai"&amp;$G$1)</f>
        <v>0</v>
      </c>
    </row>
    <row r="11" spans="1:25" ht="18" customHeight="1">
      <c r="A11" s="782"/>
      <c r="B11" s="3578"/>
      <c r="C11" s="1823"/>
      <c r="D11" s="1820"/>
      <c r="E11" s="61" t="s">
        <v>634</v>
      </c>
      <c r="F11" s="790">
        <f ca="1">INDIRECT("'数据-取费表'!w"&amp;$G$1)</f>
        <v>0</v>
      </c>
      <c r="G11" s="1588"/>
      <c r="H11" s="2502"/>
      <c r="I11" s="3577"/>
      <c r="J11" s="784"/>
      <c r="K11" s="785"/>
      <c r="L11" s="791" t="s">
        <v>634</v>
      </c>
      <c r="M11" s="792">
        <f ca="1">INDIRECT("'数据-取费表'!ab"&amp;$G$1)</f>
        <v>0</v>
      </c>
    </row>
    <row r="12" spans="1:25" ht="18" customHeight="1">
      <c r="A12" s="1827" t="s">
        <v>1818</v>
      </c>
      <c r="B12" s="2491" t="s">
        <v>2454</v>
      </c>
      <c r="C12" s="795">
        <f ca="1">ROUND(IF(F12="押一",C8/12*F13,IF(F12="押二",C8/12*2*F13,IF(F12="押三",C8/12*3*F13,C13*F13))),0)</f>
        <v>0</v>
      </c>
      <c r="D12" s="2498" t="s">
        <v>2971</v>
      </c>
      <c r="E12" s="2495" t="s">
        <v>2459</v>
      </c>
      <c r="F12" s="2618"/>
      <c r="G12" s="1588"/>
      <c r="H12" s="2558" t="s">
        <v>1818</v>
      </c>
      <c r="I12" s="2563" t="s">
        <v>2454</v>
      </c>
      <c r="J12" s="779">
        <f ca="1">ROUND(IF(M12="押一",J8/12*M13,IF(M12="押二",J8/12*2*M13,IF(M12="押三",J8/12*3*M13,J13*M13))),0)</f>
        <v>0</v>
      </c>
      <c r="K12" s="2498" t="s">
        <v>2971</v>
      </c>
      <c r="L12" s="2495" t="s">
        <v>2459</v>
      </c>
      <c r="M12" s="2618"/>
    </row>
    <row r="13" spans="1:25" ht="18" customHeight="1">
      <c r="A13" s="786"/>
      <c r="B13" s="2492" t="s">
        <v>2568</v>
      </c>
      <c r="C13" s="2496"/>
      <c r="D13" s="785"/>
      <c r="E13" s="2495" t="s">
        <v>2451</v>
      </c>
      <c r="F13" s="792">
        <f ca="1">'数据-取费表'!B39</f>
        <v>1.4999999999999999E-2</v>
      </c>
      <c r="G13" s="1588"/>
      <c r="H13" s="2559"/>
      <c r="I13" s="2492" t="s">
        <v>2568</v>
      </c>
      <c r="J13" s="2496"/>
      <c r="K13" s="2560"/>
      <c r="L13" s="2495" t="s">
        <v>2451</v>
      </c>
      <c r="M13" s="2489">
        <f ca="1">'数据-取费表'!B39</f>
        <v>1.4999999999999999E-2</v>
      </c>
    </row>
    <row r="14" spans="1:25" ht="18" customHeight="1" thickBot="1">
      <c r="A14" s="2534" t="s">
        <v>2462</v>
      </c>
      <c r="B14" s="2535" t="s">
        <v>2455</v>
      </c>
      <c r="C14" s="2536"/>
      <c r="D14" s="2537"/>
      <c r="E14" s="2538"/>
      <c r="F14" s="2539"/>
      <c r="G14" s="1588"/>
      <c r="H14" s="2548" t="s">
        <v>2462</v>
      </c>
      <c r="I14" s="2561" t="s">
        <v>2455</v>
      </c>
      <c r="J14" s="2562"/>
      <c r="K14" s="2537"/>
      <c r="L14" s="2538"/>
      <c r="M14" s="2551"/>
    </row>
    <row r="15" spans="1:25" ht="18" customHeight="1" thickTop="1">
      <c r="A15" s="1826" t="s">
        <v>1867</v>
      </c>
      <c r="B15" s="1824" t="s">
        <v>635</v>
      </c>
      <c r="C15" s="788">
        <f ca="1">ROUND(C31*F15,0)</f>
        <v>0</v>
      </c>
      <c r="D15" s="1831" t="s">
        <v>636</v>
      </c>
      <c r="E15" s="791" t="s">
        <v>637</v>
      </c>
      <c r="F15" s="796">
        <f ca="1">INDIRECT("'数据-取费表'!y"&amp;$G$1)</f>
        <v>0</v>
      </c>
      <c r="G15" s="1588"/>
      <c r="H15" s="1826" t="s">
        <v>1819</v>
      </c>
      <c r="I15" s="1824" t="s">
        <v>638</v>
      </c>
      <c r="J15" s="1816">
        <f ca="1">ROUND(J16*J17,0)</f>
        <v>0</v>
      </c>
      <c r="K15" s="1818" t="s">
        <v>636</v>
      </c>
      <c r="L15" s="797"/>
      <c r="M15" s="798"/>
    </row>
    <row r="16" spans="1:25" ht="18" customHeight="1">
      <c r="A16" s="799" t="s">
        <v>1868</v>
      </c>
      <c r="B16" s="780" t="s">
        <v>639</v>
      </c>
      <c r="C16" s="800">
        <f ca="1">INDIRECT("'数据-取费表'!m"&amp;$G$1)+INDIRECT("'数据-取费表'!t"&amp;$G$1)</f>
        <v>0</v>
      </c>
      <c r="D16" s="3176" t="s">
        <v>640</v>
      </c>
      <c r="E16" s="3175"/>
      <c r="F16" s="801"/>
      <c r="G16" s="1588"/>
      <c r="H16" s="799" t="s">
        <v>1817</v>
      </c>
      <c r="I16" s="2228" t="s">
        <v>2820</v>
      </c>
      <c r="J16" s="53">
        <f ca="1">C31</f>
        <v>0</v>
      </c>
      <c r="K16" s="26"/>
      <c r="L16" s="797"/>
      <c r="M16" s="798"/>
    </row>
    <row r="17" spans="1:25" s="2061" customFormat="1" ht="18" customHeight="1">
      <c r="A17" s="799" t="s">
        <v>1842</v>
      </c>
      <c r="B17" s="780" t="s">
        <v>641</v>
      </c>
      <c r="C17" s="53">
        <f ca="1">ROUND(C16*F17,0)</f>
        <v>0</v>
      </c>
      <c r="D17" s="802" t="s">
        <v>642</v>
      </c>
      <c r="E17" s="802" t="s">
        <v>643</v>
      </c>
      <c r="F17" s="803">
        <f>'数据-取费表'!B33</f>
        <v>0.03</v>
      </c>
      <c r="G17" s="1589"/>
      <c r="H17" s="799" t="s">
        <v>1818</v>
      </c>
      <c r="I17" s="780" t="s">
        <v>637</v>
      </c>
      <c r="J17" s="804">
        <f ca="1">INDIRECT("'数据-取费表'!ad"&amp;$G$1)</f>
        <v>0</v>
      </c>
      <c r="K17" s="26"/>
      <c r="L17" s="797"/>
      <c r="M17" s="798"/>
      <c r="N17" s="2060"/>
      <c r="O17" s="2060"/>
      <c r="P17" s="2060"/>
      <c r="Q17" s="2060"/>
      <c r="R17" s="2060"/>
      <c r="S17" s="2060"/>
      <c r="T17" s="2060"/>
      <c r="U17" s="2060"/>
      <c r="V17" s="2060"/>
      <c r="W17" s="2060"/>
      <c r="X17" s="2060"/>
      <c r="Y17" s="2060"/>
    </row>
    <row r="18" spans="1:25" ht="18" customHeight="1">
      <c r="A18" s="799" t="s">
        <v>1843</v>
      </c>
      <c r="B18" s="780" t="s">
        <v>644</v>
      </c>
      <c r="C18" s="53">
        <f ca="1">ROUND(INDIRECT("'数据-取费表'!m"&amp;$G$1)*F18,0)</f>
        <v>0</v>
      </c>
      <c r="D18" s="780" t="s">
        <v>642</v>
      </c>
      <c r="E18" s="780" t="s">
        <v>643</v>
      </c>
      <c r="F18" s="805">
        <f ca="1">IF(INDIRECT("'数据-取费表'!c"&amp;$G$1)="住宅",'数据-取费表'!B34,0)</f>
        <v>0</v>
      </c>
      <c r="G18" s="1588"/>
      <c r="H18" s="793" t="s">
        <v>1820</v>
      </c>
      <c r="I18" s="794" t="s">
        <v>645</v>
      </c>
      <c r="J18" s="795">
        <f ca="1">ROUND(J19+J24+J25+J26,0)</f>
        <v>0</v>
      </c>
      <c r="K18" s="26" t="s">
        <v>646</v>
      </c>
      <c r="L18" s="3184"/>
      <c r="M18" s="56"/>
    </row>
    <row r="19" spans="1:25" s="2061" customFormat="1" ht="18" customHeight="1">
      <c r="A19" s="799" t="s">
        <v>1844</v>
      </c>
      <c r="B19" s="780" t="s">
        <v>647</v>
      </c>
      <c r="C19" s="53">
        <f ca="1">ROUND(F19*(INDIRECT("'数据-取费表'!k"&amp;$G$1)+INDIRECT("'数据-取费表'!S"&amp;$G$1))/10000,0)</f>
        <v>0</v>
      </c>
      <c r="D19" s="780" t="s">
        <v>648</v>
      </c>
      <c r="E19" s="780" t="s">
        <v>649</v>
      </c>
      <c r="F19" s="56">
        <f>'数据-取费表'!B35</f>
        <v>200</v>
      </c>
      <c r="G19" s="1589"/>
      <c r="H19" s="799" t="s">
        <v>1817</v>
      </c>
      <c r="I19" s="780" t="s">
        <v>650</v>
      </c>
      <c r="J19" s="53">
        <f ca="1">ROUND(IF(项目基本情况!B11="自然人",J7*M19,J20+J21+J22),0)</f>
        <v>0</v>
      </c>
      <c r="K19" s="3176" t="s">
        <v>651</v>
      </c>
      <c r="L19" s="3177" t="s">
        <v>652</v>
      </c>
      <c r="M19" s="806">
        <f ca="1">IF(项目基本情况!B11="企业","",IF(INDIRECT("'数据-取费表'!c"&amp;$G$1)="住宅",5%,IF(M8*M9*M10/12/(1+'数据-取费表'!C42)&gt;20000,12%,7%)))</f>
        <v>7.0000000000000007E-2</v>
      </c>
      <c r="N19" s="2060"/>
      <c r="O19" s="2060"/>
      <c r="P19" s="2060"/>
      <c r="Q19" s="2060"/>
      <c r="R19" s="2060"/>
      <c r="S19" s="2060"/>
      <c r="T19" s="2060"/>
      <c r="U19" s="2060"/>
      <c r="V19" s="2060"/>
      <c r="W19" s="2060"/>
      <c r="X19" s="2060"/>
      <c r="Y19" s="2060"/>
    </row>
    <row r="20" spans="1:25" s="2061" customFormat="1" ht="18" customHeight="1">
      <c r="A20" s="799" t="s">
        <v>1845</v>
      </c>
      <c r="B20" s="780" t="s">
        <v>653</v>
      </c>
      <c r="C20" s="53">
        <f ca="1">ROUND(C16*F20,0)</f>
        <v>0</v>
      </c>
      <c r="D20" s="780" t="s">
        <v>642</v>
      </c>
      <c r="E20" s="780" t="s">
        <v>643</v>
      </c>
      <c r="F20" s="805">
        <f>'数据-取费表'!B36</f>
        <v>1.4999999999999999E-2</v>
      </c>
      <c r="G20" s="1589"/>
      <c r="H20" s="799" t="s">
        <v>1824</v>
      </c>
      <c r="I20" s="780" t="s">
        <v>654</v>
      </c>
      <c r="J20" s="53">
        <f ca="1">ROUND(J7*M20/1.05,1)</f>
        <v>0</v>
      </c>
      <c r="K20" s="3177" t="s">
        <v>655</v>
      </c>
      <c r="L20" s="780" t="s">
        <v>643</v>
      </c>
      <c r="M20" s="805">
        <f>'数据-取费表'!B41</f>
        <v>5.6000000000000001E-2</v>
      </c>
      <c r="N20" s="2060"/>
      <c r="O20" s="2060"/>
      <c r="P20" s="2060"/>
      <c r="Q20" s="2060"/>
      <c r="R20" s="2060"/>
      <c r="S20" s="2060"/>
      <c r="T20" s="2060"/>
      <c r="U20" s="2060"/>
      <c r="V20" s="2060"/>
      <c r="W20" s="2060"/>
      <c r="X20" s="2060"/>
      <c r="Y20" s="2060"/>
    </row>
    <row r="21" spans="1:25" ht="18" customHeight="1">
      <c r="A21" s="799" t="s">
        <v>1817</v>
      </c>
      <c r="B21" s="780" t="s">
        <v>656</v>
      </c>
      <c r="C21" s="53">
        <f ca="1">SUM(C16:C20)</f>
        <v>0</v>
      </c>
      <c r="D21" s="260" t="s">
        <v>657</v>
      </c>
      <c r="E21" s="3184"/>
      <c r="F21" s="56"/>
      <c r="G21" s="1588"/>
      <c r="H21" s="1827" t="s">
        <v>1842</v>
      </c>
      <c r="I21" s="780" t="s">
        <v>658</v>
      </c>
      <c r="J21" s="53">
        <f ca="1">IF(K21="按租金收入计税",ROUND(J7*M21,1),ROUND(C31*F35*0.7,1))</f>
        <v>0</v>
      </c>
      <c r="K21" s="807" t="s">
        <v>659</v>
      </c>
      <c r="L21" s="780" t="s">
        <v>643</v>
      </c>
      <c r="M21" s="805">
        <f>IF(K21="按租金收入计税",'数据-取费表'!B51,'数据-取费表'!B50)</f>
        <v>1.2E-2</v>
      </c>
    </row>
    <row r="22" spans="1:25" s="2061" customFormat="1" ht="18" customHeight="1">
      <c r="A22" s="799" t="s">
        <v>1870</v>
      </c>
      <c r="B22" s="780" t="s">
        <v>660</v>
      </c>
      <c r="C22" s="53">
        <f ca="1">ROUND(C21*F22,0)</f>
        <v>0</v>
      </c>
      <c r="D22" s="808" t="s">
        <v>661</v>
      </c>
      <c r="E22" s="780" t="s">
        <v>643</v>
      </c>
      <c r="F22" s="805">
        <f>'数据-取费表'!B37</f>
        <v>0.03</v>
      </c>
      <c r="G22" s="1589"/>
      <c r="H22" s="1829" t="s">
        <v>1843</v>
      </c>
      <c r="I22" s="1819" t="s">
        <v>662</v>
      </c>
      <c r="J22" s="54">
        <f ca="1">ROUND(M22*M23/10000,0)</f>
        <v>0</v>
      </c>
      <c r="K22" s="810" t="s">
        <v>663</v>
      </c>
      <c r="L22" s="780" t="s">
        <v>664</v>
      </c>
      <c r="M22" s="636">
        <f>'数据-取费表'!B52</f>
        <v>1.5</v>
      </c>
      <c r="N22" s="2060"/>
      <c r="O22" s="2060"/>
      <c r="P22" s="2060"/>
      <c r="Q22" s="2060"/>
      <c r="R22" s="2060"/>
      <c r="S22" s="2060"/>
      <c r="T22" s="2060"/>
      <c r="U22" s="2060"/>
      <c r="V22" s="2060"/>
      <c r="W22" s="2060"/>
      <c r="X22" s="2060"/>
      <c r="Y22" s="2060"/>
    </row>
    <row r="23" spans="1:25" s="2061" customFormat="1" ht="18" customHeight="1">
      <c r="A23" s="799" t="s">
        <v>1871</v>
      </c>
      <c r="B23" s="780" t="s">
        <v>665</v>
      </c>
      <c r="C23" s="53" t="s">
        <v>1</v>
      </c>
      <c r="D23" s="808" t="s">
        <v>666</v>
      </c>
      <c r="E23" s="780" t="s">
        <v>667</v>
      </c>
      <c r="F23" s="805">
        <f>'数据-取费表'!B38</f>
        <v>0.03</v>
      </c>
      <c r="G23" s="1589"/>
      <c r="H23" s="1830"/>
      <c r="I23" s="1821"/>
      <c r="J23" s="69"/>
      <c r="K23" s="812"/>
      <c r="L23" s="780" t="s">
        <v>668</v>
      </c>
      <c r="M23" s="781">
        <f ca="1">INDIRECT("'数据-取费表'!r"&amp;$G$1)</f>
        <v>0</v>
      </c>
      <c r="N23" s="2060"/>
      <c r="O23" s="2060"/>
      <c r="P23" s="2060"/>
      <c r="Q23" s="2060"/>
      <c r="R23" s="2060"/>
      <c r="S23" s="2060"/>
      <c r="T23" s="2060"/>
      <c r="U23" s="2060"/>
      <c r="V23" s="2060"/>
      <c r="W23" s="2060"/>
      <c r="X23" s="2060"/>
      <c r="Y23" s="2060"/>
    </row>
    <row r="24" spans="1:25" ht="18" customHeight="1">
      <c r="A24" s="799" t="s">
        <v>1872</v>
      </c>
      <c r="B24" s="780" t="s">
        <v>669</v>
      </c>
      <c r="C24" s="53"/>
      <c r="D24" s="2569" t="str">
        <f>IF(F25&lt;=1,"单利计息。","复利计息。")&amp;"建造成本、管理费用、销售费用产生的利息。"</f>
        <v>复利计息。建造成本、管理费用、销售费用产生的利息。</v>
      </c>
      <c r="E24" s="3184"/>
      <c r="F24" s="56"/>
      <c r="G24" s="1588"/>
      <c r="H24" s="1828" t="s">
        <v>1818</v>
      </c>
      <c r="I24" s="780" t="s">
        <v>670</v>
      </c>
      <c r="J24" s="53">
        <f ca="1">ROUND(J16*M24,0)</f>
        <v>0</v>
      </c>
      <c r="K24" s="3177" t="s">
        <v>671</v>
      </c>
      <c r="L24" s="780" t="s">
        <v>643</v>
      </c>
      <c r="M24" s="813">
        <f ca="1">INDIRECT("'数据-取费表'!Ak"&amp;$G$1)</f>
        <v>0</v>
      </c>
    </row>
    <row r="25" spans="1:25" s="2061" customFormat="1" ht="18" customHeight="1">
      <c r="A25" s="799" t="s">
        <v>1868</v>
      </c>
      <c r="B25" s="780" t="s">
        <v>2432</v>
      </c>
      <c r="C25" s="53">
        <f ca="1">ROUND(IF('数据-取费表'!B22&lt;=1,(C21+C22)*F26*F25/2,(C21+C22)*(POWER((1+F26),F25/2)-1)),0)</f>
        <v>0</v>
      </c>
      <c r="D25" s="2568" t="str">
        <f>IF(F25&lt;=1,"(建造成本+管理费用)×利率×(建设周期÷2)","(建造成本+管理费用)×((1+利率)^(建设周期÷2)-1)")</f>
        <v>(建造成本+管理费用)×((1+利率)^(建设周期÷2)-1)</v>
      </c>
      <c r="E25" s="780" t="s">
        <v>672</v>
      </c>
      <c r="F25" s="636">
        <f>'数据-取费表'!B20</f>
        <v>3</v>
      </c>
      <c r="G25" s="1589"/>
      <c r="H25" s="799" t="s">
        <v>1871</v>
      </c>
      <c r="I25" s="780" t="s">
        <v>673</v>
      </c>
      <c r="J25" s="53">
        <f ca="1">ROUND(J15*M25,0)</f>
        <v>0</v>
      </c>
      <c r="K25" s="3177" t="s">
        <v>674</v>
      </c>
      <c r="L25" s="780" t="s">
        <v>643</v>
      </c>
      <c r="M25" s="814">
        <f ca="1">INDIRECT("'数据-取费表'!Al"&amp;$G$1)</f>
        <v>0</v>
      </c>
      <c r="N25" s="2060"/>
      <c r="O25" s="2060"/>
      <c r="P25" s="2060"/>
      <c r="Q25" s="2060"/>
      <c r="R25" s="2060"/>
      <c r="S25" s="2060"/>
      <c r="T25" s="2060"/>
      <c r="U25" s="2060"/>
      <c r="V25" s="2060"/>
      <c r="W25" s="2060"/>
      <c r="X25" s="2060"/>
      <c r="Y25" s="2060"/>
    </row>
    <row r="26" spans="1:25" s="2061" customFormat="1" ht="18" customHeight="1">
      <c r="A26" s="799" t="s">
        <v>1842</v>
      </c>
      <c r="B26" s="780" t="s">
        <v>675</v>
      </c>
      <c r="C26" s="53">
        <f ca="1">ROUND(IF('数据-取费表'!B22&lt;=1,F23*F26*F25/2,F23*(POWER((1+F26),F25/2)-1)),4)</f>
        <v>2.2000000000000001E-3</v>
      </c>
      <c r="D26" s="2568" t="str">
        <f>IF(F25&lt;=1,"销售费用×利率×(建设周期÷2)","销售费用×((1+利率)^(建设周期÷2)-1)")</f>
        <v>销售费用×((1+利率)^(建设周期÷2)-1)</v>
      </c>
      <c r="E26" s="780" t="s">
        <v>676</v>
      </c>
      <c r="F26" s="815">
        <f ca="1">'数据-取费表'!B40</f>
        <v>4.7500000000000001E-2</v>
      </c>
      <c r="G26" s="1589"/>
      <c r="H26" s="799" t="s">
        <v>1872</v>
      </c>
      <c r="I26" s="780" t="s">
        <v>660</v>
      </c>
      <c r="J26" s="53">
        <f ca="1">ROUND(J7*M26,0)</f>
        <v>0</v>
      </c>
      <c r="K26" s="3177" t="s">
        <v>677</v>
      </c>
      <c r="L26" s="780" t="s">
        <v>643</v>
      </c>
      <c r="M26" s="790">
        <f ca="1">INDIRECT("'数据-取费表'!Am"&amp;$G$1)</f>
        <v>0</v>
      </c>
      <c r="N26" s="2060"/>
      <c r="O26" s="2060"/>
      <c r="P26" s="2060"/>
      <c r="Q26" s="2060"/>
      <c r="R26" s="2060"/>
      <c r="S26" s="2060"/>
      <c r="T26" s="2060"/>
      <c r="U26" s="2060"/>
      <c r="V26" s="2060"/>
      <c r="W26" s="2060"/>
      <c r="X26" s="2060"/>
      <c r="Y26" s="2060"/>
    </row>
    <row r="27" spans="1:25" ht="18" customHeight="1">
      <c r="A27" s="799" t="s">
        <v>1874</v>
      </c>
      <c r="B27" s="780" t="s">
        <v>678</v>
      </c>
      <c r="C27" s="53"/>
      <c r="D27" s="260" t="s">
        <v>679</v>
      </c>
      <c r="E27" s="3184"/>
      <c r="F27" s="56"/>
      <c r="G27" s="1588"/>
      <c r="H27" s="793" t="s">
        <v>1821</v>
      </c>
      <c r="I27" s="3008" t="s">
        <v>2817</v>
      </c>
      <c r="J27" s="795">
        <f ca="1">J7-J18</f>
        <v>0</v>
      </c>
      <c r="K27" s="3176" t="s">
        <v>694</v>
      </c>
      <c r="L27" s="3174"/>
      <c r="M27" s="816"/>
    </row>
    <row r="28" spans="1:25" ht="18" customHeight="1">
      <c r="A28" s="799" t="s">
        <v>1868</v>
      </c>
      <c r="B28" s="780" t="s">
        <v>2433</v>
      </c>
      <c r="C28" s="53">
        <f ca="1">ROUND((C21+C22)*F28,0)</f>
        <v>0</v>
      </c>
      <c r="D28" s="808" t="s">
        <v>695</v>
      </c>
      <c r="E28" s="791" t="s">
        <v>696</v>
      </c>
      <c r="F28" s="790">
        <f ca="1">INDIRECT("'数据-取费表'!q"&amp;$G$1)</f>
        <v>0</v>
      </c>
      <c r="G28" s="1588"/>
      <c r="H28" s="777" t="s">
        <v>1830</v>
      </c>
      <c r="I28" s="778" t="s">
        <v>697</v>
      </c>
      <c r="J28" s="779">
        <f ca="1">IF(J7&lt;&gt;0,ROUND(J27*(1-((1+M30)/(1+M28))^M29)/(M28-M30),0),0)</f>
        <v>0</v>
      </c>
      <c r="K28" s="810" t="s">
        <v>698</v>
      </c>
      <c r="L28" s="780" t="s">
        <v>699</v>
      </c>
      <c r="M28" s="790">
        <f ca="1">INDIRECT("'数据-取费表'!I"&amp;$G$1)</f>
        <v>0</v>
      </c>
    </row>
    <row r="29" spans="1:25" ht="18" customHeight="1">
      <c r="A29" s="799" t="s">
        <v>1842</v>
      </c>
      <c r="B29" s="780" t="s">
        <v>680</v>
      </c>
      <c r="C29" s="53">
        <f ca="1">ROUND(F23*F28,4)</f>
        <v>0</v>
      </c>
      <c r="D29" s="808" t="s">
        <v>700</v>
      </c>
      <c r="E29" s="802"/>
      <c r="F29" s="803"/>
      <c r="G29" s="1588"/>
      <c r="H29" s="782"/>
      <c r="I29" s="783"/>
      <c r="J29" s="784"/>
      <c r="K29" s="817" t="s">
        <v>701</v>
      </c>
      <c r="L29" s="780" t="s">
        <v>702</v>
      </c>
      <c r="M29" s="818">
        <f ca="1">INDIRECT("'数据-取费表'!ag"&amp;$G$1)</f>
        <v>0</v>
      </c>
    </row>
    <row r="30" spans="1:25" s="2061" customFormat="1" ht="18" customHeight="1">
      <c r="A30" s="799" t="s">
        <v>1875</v>
      </c>
      <c r="B30" s="780" t="s">
        <v>681</v>
      </c>
      <c r="C30" s="53">
        <f>ROUND(F30/(1+'数据-取费表'!C42),4)</f>
        <v>5.33E-2</v>
      </c>
      <c r="D30" s="808" t="s">
        <v>703</v>
      </c>
      <c r="E30" s="780" t="s">
        <v>643</v>
      </c>
      <c r="F30" s="805">
        <f>'数据-取费表'!B41</f>
        <v>5.6000000000000001E-2</v>
      </c>
      <c r="G30" s="1589"/>
      <c r="H30" s="786"/>
      <c r="I30" s="787"/>
      <c r="J30" s="788"/>
      <c r="K30" s="812"/>
      <c r="L30" s="780" t="s">
        <v>704</v>
      </c>
      <c r="M30" s="790">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1876</v>
      </c>
      <c r="B31" s="2538" t="s">
        <v>2818</v>
      </c>
      <c r="C31" s="2541">
        <f ca="1">ROUND((C21+C22+C25+C28)/(1-F23-C26-C29-C30),0)</f>
        <v>0</v>
      </c>
      <c r="D31" s="2542"/>
      <c r="E31" s="2543"/>
      <c r="F31" s="2544"/>
      <c r="G31" s="1589"/>
      <c r="H31" s="819" t="s">
        <v>1865</v>
      </c>
      <c r="I31" s="3009" t="s">
        <v>2819</v>
      </c>
      <c r="J31" s="821">
        <f ca="1">ROUND(J28/(1+F45)^F46,0)</f>
        <v>0</v>
      </c>
      <c r="K31" s="822" t="s">
        <v>682</v>
      </c>
      <c r="L31" s="823"/>
      <c r="M31" s="824">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683</v>
      </c>
      <c r="C32" s="788">
        <f ca="1">ROUND(C33+C38+C39+C40,0)</f>
        <v>0</v>
      </c>
      <c r="D32" s="1818" t="s">
        <v>646</v>
      </c>
      <c r="E32" s="3178"/>
      <c r="F32" s="2488"/>
      <c r="G32" s="2059"/>
      <c r="H32" s="2062"/>
      <c r="I32" s="2063"/>
      <c r="J32" s="2064"/>
      <c r="K32" s="2065"/>
      <c r="L32" s="2066"/>
      <c r="M32" s="2067"/>
    </row>
    <row r="33" spans="1:18" ht="18" customHeight="1">
      <c r="A33" s="799" t="s">
        <v>1817</v>
      </c>
      <c r="B33" s="780" t="s">
        <v>650</v>
      </c>
      <c r="C33" s="53">
        <f ca="1">ROUND(IF(项目基本情况!B11="自然人",C7*F33,C34+C35+C36),1)</f>
        <v>0</v>
      </c>
      <c r="D33" s="3176" t="s">
        <v>651</v>
      </c>
      <c r="E33" s="3177" t="s">
        <v>684</v>
      </c>
      <c r="F33" s="806">
        <f ca="1">IF(项目基本情况!B11="企业","",IF(INDIRECT("'数据-取费表'!c"&amp;$G$1)="住宅",5%,IF(F8*F9*F10/12/(1+'数据-取费表'!C42)&gt;20000,12%,7%)))</f>
        <v>7.0000000000000007E-2</v>
      </c>
      <c r="G33" s="2059"/>
      <c r="H33" s="2062"/>
      <c r="I33" s="2063"/>
      <c r="J33" s="2064"/>
      <c r="K33" s="2065"/>
      <c r="L33" s="2066"/>
      <c r="M33" s="2067"/>
    </row>
    <row r="34" spans="1:18" ht="18" customHeight="1">
      <c r="A34" s="799" t="s">
        <v>1868</v>
      </c>
      <c r="B34" s="780" t="s">
        <v>654</v>
      </c>
      <c r="C34" s="53">
        <f ca="1">ROUND(C7*F34/1.05,1)</f>
        <v>0</v>
      </c>
      <c r="D34" s="3177" t="s">
        <v>655</v>
      </c>
      <c r="E34" s="780" t="s">
        <v>643</v>
      </c>
      <c r="F34" s="805">
        <f>'数据-取费表'!B41</f>
        <v>5.6000000000000001E-2</v>
      </c>
      <c r="G34" s="2059"/>
      <c r="H34" s="2068"/>
      <c r="I34" s="2069"/>
      <c r="J34" s="2070"/>
      <c r="K34" s="2071"/>
      <c r="L34" s="2072"/>
      <c r="M34" s="2073"/>
    </row>
    <row r="35" spans="1:18" ht="18" customHeight="1">
      <c r="A35" s="799" t="s">
        <v>1842</v>
      </c>
      <c r="B35" s="780" t="s">
        <v>658</v>
      </c>
      <c r="C35" s="53">
        <f ca="1">IF(D35="按租金收入计税",ROUND(C7*F35,1),IF(D35="按房产原值计税",ROUND(C31*F35*0.7,1),INDIRECT("'数据-取费表'!Aj"&amp;$G$1)))</f>
        <v>0</v>
      </c>
      <c r="D35" s="807" t="s">
        <v>1675</v>
      </c>
      <c r="E35" s="780" t="s">
        <v>643</v>
      </c>
      <c r="F35" s="805">
        <f>IF(D35="按租金收入计税",'数据-取费表'!B51,'数据-取费表'!B50)</f>
        <v>1.2E-2</v>
      </c>
      <c r="G35" s="2059"/>
      <c r="H35" s="2074"/>
      <c r="I35" s="2074"/>
      <c r="J35" s="2074"/>
      <c r="K35" s="2075"/>
      <c r="L35" s="2074"/>
      <c r="M35" s="2074"/>
    </row>
    <row r="36" spans="1:18" ht="18" customHeight="1">
      <c r="A36" s="809" t="s">
        <v>1826</v>
      </c>
      <c r="B36" s="337" t="s">
        <v>662</v>
      </c>
      <c r="C36" s="54">
        <f ca="1">ROUND(F36*F37/10000,1)</f>
        <v>0</v>
      </c>
      <c r="D36" s="810" t="s">
        <v>663</v>
      </c>
      <c r="E36" s="780" t="s">
        <v>664</v>
      </c>
      <c r="F36" s="636">
        <f>'数据-取费表'!B52</f>
        <v>1.5</v>
      </c>
      <c r="G36" s="2059"/>
      <c r="H36" s="2062"/>
      <c r="I36" s="3581"/>
      <c r="J36" s="2076"/>
      <c r="K36" s="2077"/>
      <c r="L36" s="2076"/>
      <c r="M36" s="2076"/>
    </row>
    <row r="37" spans="1:18" ht="18" customHeight="1">
      <c r="A37" s="811"/>
      <c r="B37" s="789"/>
      <c r="C37" s="69"/>
      <c r="D37" s="812"/>
      <c r="E37" s="780" t="s">
        <v>668</v>
      </c>
      <c r="F37" s="781">
        <f ca="1">INDIRECT("'数据-取费表'!r"&amp;$G$1)</f>
        <v>0</v>
      </c>
      <c r="G37" s="2059"/>
      <c r="H37" s="2062"/>
      <c r="I37" s="3581"/>
      <c r="J37" s="2074"/>
      <c r="K37" s="2075"/>
      <c r="L37" s="2074"/>
      <c r="M37" s="2074"/>
    </row>
    <row r="38" spans="1:18" ht="18" customHeight="1">
      <c r="A38" s="799" t="s">
        <v>1870</v>
      </c>
      <c r="B38" s="780" t="s">
        <v>670</v>
      </c>
      <c r="C38" s="53">
        <f ca="1">ROUND(C31*F38,1)</f>
        <v>0</v>
      </c>
      <c r="D38" s="3177" t="s">
        <v>685</v>
      </c>
      <c r="E38" s="780" t="s">
        <v>643</v>
      </c>
      <c r="F38" s="813">
        <f ca="1">INDIRECT("'数据-取费表'!Ak"&amp;$G$1)</f>
        <v>0</v>
      </c>
      <c r="G38" s="2059"/>
      <c r="H38" s="2074"/>
      <c r="I38" s="3183"/>
      <c r="J38" s="1985"/>
      <c r="K38" s="2079"/>
      <c r="L38" s="2074"/>
      <c r="M38" s="2074"/>
    </row>
    <row r="39" spans="1:18" ht="18" customHeight="1">
      <c r="A39" s="799" t="s">
        <v>1871</v>
      </c>
      <c r="B39" s="780" t="s">
        <v>673</v>
      </c>
      <c r="C39" s="53">
        <f ca="1">ROUND(C15*F39,1)</f>
        <v>0</v>
      </c>
      <c r="D39" s="3177" t="s">
        <v>674</v>
      </c>
      <c r="E39" s="780" t="s">
        <v>643</v>
      </c>
      <c r="F39" s="814">
        <f ca="1">INDIRECT("'数据-取费表'!Al"&amp;$G$1)</f>
        <v>0</v>
      </c>
      <c r="G39" s="2059"/>
      <c r="H39" s="2074"/>
      <c r="I39" s="3183"/>
      <c r="J39" s="1985"/>
      <c r="K39" s="2079"/>
      <c r="L39" s="2074"/>
      <c r="M39" s="2074"/>
    </row>
    <row r="40" spans="1:18" ht="18" customHeight="1" thickBot="1">
      <c r="A40" s="2557" t="s">
        <v>1872</v>
      </c>
      <c r="B40" s="2543" t="s">
        <v>660</v>
      </c>
      <c r="C40" s="2541">
        <f ca="1">ROUND(C7*F40,1)</f>
        <v>0</v>
      </c>
      <c r="D40" s="2542" t="s">
        <v>677</v>
      </c>
      <c r="E40" s="2543" t="s">
        <v>643</v>
      </c>
      <c r="F40" s="2539">
        <f ca="1">INDIRECT("'数据-取费表'!Am"&amp;$G$1)</f>
        <v>0</v>
      </c>
      <c r="G40" s="2059"/>
      <c r="H40" s="2074"/>
      <c r="I40" s="3183"/>
      <c r="J40" s="1985"/>
      <c r="K40" s="2080"/>
      <c r="L40" s="2074"/>
      <c r="M40" s="2074"/>
    </row>
    <row r="41" spans="1:18" ht="18" customHeight="1" thickTop="1">
      <c r="A41" s="1826">
        <v>4</v>
      </c>
      <c r="B41" s="1824" t="s">
        <v>686</v>
      </c>
      <c r="C41" s="1349"/>
      <c r="D41" s="1350"/>
      <c r="E41" s="1350"/>
      <c r="F41" s="1351"/>
      <c r="G41" s="2059"/>
      <c r="H41" s="2059"/>
      <c r="I41" s="2059"/>
      <c r="J41" s="2059"/>
      <c r="K41" s="2080"/>
      <c r="L41" s="2059"/>
      <c r="M41" s="2059"/>
    </row>
    <row r="42" spans="1:18" ht="18" customHeight="1">
      <c r="A42" s="799" t="s">
        <v>1817</v>
      </c>
      <c r="B42" s="831" t="s">
        <v>687</v>
      </c>
      <c r="C42" s="825">
        <f ca="1">C7-C32</f>
        <v>0</v>
      </c>
      <c r="D42" s="3176" t="s">
        <v>688</v>
      </c>
      <c r="E42" s="3174"/>
      <c r="F42" s="816"/>
      <c r="G42" s="2059"/>
      <c r="H42" s="2059"/>
      <c r="I42" s="2059"/>
      <c r="J42" s="2059"/>
      <c r="K42" s="2080"/>
      <c r="L42" s="2059"/>
      <c r="M42" s="2059"/>
    </row>
    <row r="43" spans="1:18" ht="18" customHeight="1">
      <c r="A43" s="799" t="s">
        <v>1870</v>
      </c>
      <c r="B43" s="831" t="s">
        <v>705</v>
      </c>
      <c r="C43" s="832">
        <f ca="1">ROUND(C15*F43,0)</f>
        <v>0</v>
      </c>
      <c r="D43" s="1352" t="s">
        <v>706</v>
      </c>
      <c r="E43" s="3117" t="s">
        <v>2959</v>
      </c>
      <c r="F43" s="3118">
        <f ca="1">INDIRECT("'数据-取费表'!j"&amp;$G$1)</f>
        <v>0</v>
      </c>
      <c r="G43" s="2059"/>
      <c r="H43" s="2059"/>
      <c r="I43" s="2059"/>
      <c r="J43" s="2059"/>
      <c r="K43" s="2080"/>
      <c r="L43" s="2059"/>
      <c r="M43" s="2059"/>
    </row>
    <row r="44" spans="1:18" ht="18" customHeight="1">
      <c r="A44" s="799" t="s">
        <v>1871</v>
      </c>
      <c r="B44" s="831" t="s">
        <v>707</v>
      </c>
      <c r="C44" s="1353">
        <f ca="1">C42-C43</f>
        <v>0</v>
      </c>
      <c r="D44" s="459" t="s">
        <v>708</v>
      </c>
      <c r="E44" s="460"/>
      <c r="F44" s="461"/>
      <c r="G44" s="2059"/>
      <c r="H44" s="2059"/>
      <c r="I44" s="2059"/>
      <c r="J44" s="2059"/>
      <c r="K44" s="2080"/>
      <c r="L44" s="2059"/>
      <c r="M44" s="2059"/>
    </row>
    <row r="45" spans="1:18" ht="18" customHeight="1">
      <c r="A45" s="799" t="s">
        <v>1872</v>
      </c>
      <c r="B45" s="1352" t="s">
        <v>709</v>
      </c>
      <c r="C45" s="3032">
        <f ca="1">ROUND(-PV(F45,F46,C44,0),0)</f>
        <v>0</v>
      </c>
      <c r="D45" s="1354" t="s">
        <v>710</v>
      </c>
      <c r="E45" s="802" t="s">
        <v>711</v>
      </c>
      <c r="F45" s="826">
        <f ca="1">INDIRECT("'数据-取费表'!h"&amp;$G$1)</f>
        <v>0</v>
      </c>
      <c r="G45" s="2059"/>
      <c r="H45" s="2059"/>
      <c r="I45" s="2059"/>
      <c r="J45" s="2059"/>
      <c r="K45" s="2080"/>
      <c r="L45" s="2059"/>
      <c r="M45" s="2059"/>
    </row>
    <row r="46" spans="1:18" ht="18" customHeight="1" thickBot="1">
      <c r="A46" s="827"/>
      <c r="B46" s="1355"/>
      <c r="C46" s="1356"/>
      <c r="D46" s="1357"/>
      <c r="E46" s="3119" t="s">
        <v>2962</v>
      </c>
      <c r="F46" s="824">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2338</v>
      </c>
      <c r="J47" s="2376"/>
      <c r="K47" s="2377"/>
      <c r="L47" s="3155" t="str">
        <f ca="1">IF(M48="住宅",0,IF(L49&gt;J52,L61,J61))</f>
        <v>0</v>
      </c>
      <c r="O47" s="2391" t="s">
        <v>2405</v>
      </c>
      <c r="P47" s="1588"/>
      <c r="Q47" s="1600"/>
      <c r="R47" s="1588"/>
    </row>
    <row r="48" spans="1:18" s="2056" customFormat="1" ht="18" customHeight="1" thickBot="1">
      <c r="A48" s="2081"/>
      <c r="C48" s="2084"/>
      <c r="D48" s="2085"/>
      <c r="E48" s="2085"/>
      <c r="F48" s="2086"/>
      <c r="G48" s="2087"/>
      <c r="I48" s="3145" t="s">
        <v>2339</v>
      </c>
      <c r="J48" s="2378"/>
      <c r="K48" s="3152" t="s">
        <v>2344</v>
      </c>
      <c r="L48" s="3156">
        <f ca="1">INDIRECT("'数据-取费表'!d"&amp;$G$1)</f>
        <v>0</v>
      </c>
      <c r="M48" s="3116" t="str">
        <f>IF(ISNUMBER(FIND("住宅",C1)),"住宅","非住宅")</f>
        <v>非住宅</v>
      </c>
      <c r="O48" s="2392" t="s">
        <v>2370</v>
      </c>
      <c r="P48" s="2393" t="s">
        <v>2371</v>
      </c>
      <c r="Q48" s="2394" t="s">
        <v>2372</v>
      </c>
      <c r="R48" s="2393" t="s">
        <v>2373</v>
      </c>
    </row>
    <row r="49" spans="1:18" s="2056" customFormat="1" ht="18" customHeight="1" thickBot="1">
      <c r="A49" s="2081"/>
      <c r="D49" s="2088"/>
      <c r="E49" s="2089"/>
      <c r="F49" s="2086"/>
      <c r="G49" s="2087"/>
      <c r="H49" s="2090"/>
      <c r="I49" s="3121" t="s">
        <v>2340</v>
      </c>
      <c r="J49" s="2379"/>
      <c r="K49" s="3153" t="s">
        <v>2346</v>
      </c>
      <c r="L49" s="1905">
        <f ca="1">INDIRECT("'数据-取费表'!f"&amp;$G$1)</f>
        <v>0</v>
      </c>
      <c r="O49" s="2395" t="s">
        <v>2374</v>
      </c>
      <c r="P49" s="2396" t="s">
        <v>2400</v>
      </c>
      <c r="Q49" s="2397">
        <f ca="1">C41+J31</f>
        <v>0</v>
      </c>
      <c r="R49" s="2396" t="s">
        <v>2375</v>
      </c>
    </row>
    <row r="50" spans="1:18" s="2056" customFormat="1" ht="18" customHeight="1" thickBot="1">
      <c r="A50" s="2081"/>
      <c r="D50" s="2091"/>
      <c r="E50" s="2091"/>
      <c r="F50" s="2085"/>
      <c r="G50" s="2092"/>
      <c r="H50" s="2090"/>
      <c r="I50" s="3121" t="s">
        <v>2341</v>
      </c>
      <c r="J50" s="2380"/>
      <c r="K50" s="3154" t="s">
        <v>2347</v>
      </c>
      <c r="L50" s="2381"/>
      <c r="O50" s="2395" t="s">
        <v>2376</v>
      </c>
      <c r="P50" s="2396" t="s">
        <v>2401</v>
      </c>
      <c r="Q50" s="2397" t="str">
        <f ca="1">J61</f>
        <v>0</v>
      </c>
      <c r="R50" s="2396" t="s">
        <v>2377</v>
      </c>
    </row>
    <row r="51" spans="1:18" s="2056" customFormat="1" ht="18" customHeight="1" thickBot="1">
      <c r="A51" s="2093"/>
      <c r="D51" s="2091"/>
      <c r="E51" s="2091"/>
      <c r="F51" s="2082"/>
      <c r="H51" s="2090"/>
      <c r="I51" s="3121" t="s">
        <v>2342</v>
      </c>
      <c r="J51" s="3149">
        <f>SUMPRODUCT((I64:I66=J48)*(J63:L63=J49)*(J64:L66))</f>
        <v>0</v>
      </c>
      <c r="K51" s="3154" t="s">
        <v>2348</v>
      </c>
      <c r="L51" s="2381"/>
      <c r="O51" s="2398" t="s">
        <v>2378</v>
      </c>
      <c r="P51" s="2396" t="s">
        <v>2402</v>
      </c>
      <c r="Q51" s="2397">
        <f ca="1">C31</f>
        <v>0</v>
      </c>
      <c r="R51" s="2396" t="s">
        <v>2375</v>
      </c>
    </row>
    <row r="52" spans="1:18" s="2056" customFormat="1" ht="18" customHeight="1" thickBot="1">
      <c r="A52" s="2093"/>
      <c r="F52" s="2082"/>
      <c r="I52" s="3146" t="s">
        <v>2343</v>
      </c>
      <c r="J52" s="3150">
        <f>IF(J50="",J51,J50+J51-YEAR('数据-取费表'!B3))</f>
        <v>0</v>
      </c>
      <c r="K52" s="3121" t="s">
        <v>2349</v>
      </c>
      <c r="L52" s="3157">
        <f ca="1">ROUND(-PV(INDIRECT("'数据-取费表'!h"&amp;$G$1),L49,(C40-C14*J36),0),0)</f>
        <v>0</v>
      </c>
      <c r="O52" s="2398" t="s">
        <v>2379</v>
      </c>
      <c r="P52" s="2396" t="s">
        <v>2380</v>
      </c>
      <c r="Q52" s="2399" t="e">
        <f ca="1">J59</f>
        <v>#VALUE!</v>
      </c>
      <c r="R52" s="2400"/>
    </row>
    <row r="53" spans="1:18" s="2056" customFormat="1" ht="18" customHeight="1" thickBot="1">
      <c r="A53" s="2093"/>
      <c r="F53" s="2082"/>
      <c r="I53" s="3147" t="s">
        <v>2416</v>
      </c>
      <c r="J53" s="2382"/>
      <c r="K53" s="3147" t="s">
        <v>2415</v>
      </c>
      <c r="L53" s="2382"/>
      <c r="O53" s="2398" t="s">
        <v>2381</v>
      </c>
      <c r="P53" s="2396" t="s">
        <v>2382</v>
      </c>
      <c r="Q53" s="2399">
        <f>J53</f>
        <v>0</v>
      </c>
      <c r="R53" s="2400"/>
    </row>
    <row r="54" spans="1:18" s="2056" customFormat="1" ht="29.25" thickBot="1">
      <c r="A54" s="2093"/>
      <c r="I54" s="3148" t="s">
        <v>2976</v>
      </c>
      <c r="J54" s="3151">
        <f ca="1">IF(M48="住宅",MAX(J52,L49-'数据-取费表'!B20),MIN(J52,L49-'数据-取费表'!B20))</f>
        <v>-3</v>
      </c>
      <c r="K54" s="3582"/>
      <c r="L54" s="3583"/>
      <c r="O54" s="2398" t="s">
        <v>2383</v>
      </c>
      <c r="P54" s="2396" t="s">
        <v>2384</v>
      </c>
      <c r="Q54" s="2397">
        <f ca="1">J54</f>
        <v>-3</v>
      </c>
      <c r="R54" s="2396" t="s">
        <v>2385</v>
      </c>
    </row>
    <row r="55" spans="1:18" s="2056" customFormat="1" ht="18" customHeight="1" thickBot="1">
      <c r="A55" s="2093"/>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5" t="s">
        <v>2386</v>
      </c>
      <c r="P55" s="2396" t="s">
        <v>2403</v>
      </c>
      <c r="Q55" s="2397">
        <f ca="1">Q49+Q50</f>
        <v>0</v>
      </c>
      <c r="R55" s="2400" t="s">
        <v>2387</v>
      </c>
    </row>
    <row r="56" spans="1:18" s="2056" customFormat="1" ht="16.5" thickBot="1">
      <c r="A56" s="2093"/>
      <c r="B56" s="2094"/>
      <c r="C56" s="2094"/>
      <c r="I56" s="3160" t="s">
        <v>2350</v>
      </c>
      <c r="J56" s="3096" t="e">
        <f ca="1">ROUND(IF(J48="钢混",J58/J51,1-(1-2%)*(J51-J58)/J51),3)</f>
        <v>#VALUE!</v>
      </c>
      <c r="K56" s="3161" t="s">
        <v>2351</v>
      </c>
      <c r="L56" s="2383"/>
      <c r="O56" s="2401" t="s">
        <v>2406</v>
      </c>
      <c r="P56" s="1588"/>
      <c r="Q56" s="1600"/>
      <c r="R56" s="1588"/>
    </row>
    <row r="57" spans="1:18" s="2056" customFormat="1" ht="43.5" thickBot="1">
      <c r="A57" s="2093"/>
      <c r="B57" s="2094"/>
      <c r="C57" s="2094"/>
      <c r="I57" s="3162" t="s">
        <v>2352</v>
      </c>
      <c r="J57" s="3172" t="s">
        <v>1673</v>
      </c>
      <c r="K57" s="3121" t="s">
        <v>2357</v>
      </c>
      <c r="L57" s="1905">
        <f ca="1">IF(L49&lt;J52,"——",L49-J52)</f>
        <v>0</v>
      </c>
      <c r="O57" s="2392" t="s">
        <v>2370</v>
      </c>
      <c r="P57" s="2393" t="s">
        <v>2371</v>
      </c>
      <c r="Q57" s="2394" t="s">
        <v>2372</v>
      </c>
      <c r="R57" s="2393" t="s">
        <v>2373</v>
      </c>
    </row>
    <row r="58" spans="1:18" s="2056" customFormat="1" ht="29.25" thickBot="1">
      <c r="A58" s="2093"/>
      <c r="B58" s="2094"/>
      <c r="C58" s="2094"/>
      <c r="I58" s="3163" t="s">
        <v>2353</v>
      </c>
      <c r="J58" s="3164" t="str">
        <f ca="1">IF(OR(M48="住宅",J52&lt;L49,J57="是"),"——",J52-L49)</f>
        <v>——</v>
      </c>
      <c r="K58" s="3121" t="s">
        <v>2358</v>
      </c>
      <c r="L58" s="1905">
        <f ca="1">IF(L49&lt;J52,"——",IF(L56="比较法",L50,IF(L56="基准地价",L51,L52)))</f>
        <v>0</v>
      </c>
      <c r="O58" s="2395" t="s">
        <v>2374</v>
      </c>
      <c r="P58" s="2396" t="s">
        <v>2400</v>
      </c>
      <c r="Q58" s="2397">
        <f ca="1">C41+J31</f>
        <v>0</v>
      </c>
      <c r="R58" s="2396" t="s">
        <v>2375</v>
      </c>
    </row>
    <row r="59" spans="1:18" s="2056" customFormat="1" ht="29.25" thickBot="1">
      <c r="A59" s="2093"/>
      <c r="B59" s="2094"/>
      <c r="C59" s="2094"/>
      <c r="I59" s="3163" t="s">
        <v>2354</v>
      </c>
      <c r="J59" s="3097" t="e">
        <f ca="1">IF(J56&lt;0.4,0.4,J56)</f>
        <v>#VALUE!</v>
      </c>
      <c r="K59" s="3121" t="s">
        <v>2359</v>
      </c>
      <c r="L59" s="1905">
        <f ca="1">IF(ISERROR(POWER(1+L53,L48-L49)*(POWER(1+L53,L49)-1)/(POWER(1+L53,L48)-1)),0,POWER(1+L53,L48-L49)*(POWER(1+L53,L49)-1)/(POWER(1+L53,L48)-1))</f>
        <v>0</v>
      </c>
      <c r="O59" s="2395" t="s">
        <v>2376</v>
      </c>
      <c r="P59" s="2396" t="s">
        <v>2407</v>
      </c>
      <c r="Q59" s="2397" t="e">
        <f ca="1">L61</f>
        <v>#DIV/0!</v>
      </c>
      <c r="R59" s="2400" t="s">
        <v>2409</v>
      </c>
    </row>
    <row r="60" spans="1:18" s="2056" customFormat="1" ht="29.25" thickBot="1">
      <c r="A60" s="2093"/>
      <c r="B60" s="2094"/>
      <c r="C60" s="2094"/>
      <c r="I60" s="3163" t="s">
        <v>2355</v>
      </c>
      <c r="J60" s="3164" t="str">
        <f ca="1">IF(OR(M48="住宅",J52&lt;L49,J57="是"),"——",ROUND(C30*J59,0))</f>
        <v>——</v>
      </c>
      <c r="K60" s="3121" t="s">
        <v>2360</v>
      </c>
      <c r="L60" s="1905">
        <f ca="1">IF(ISERROR(POWER(1+L53,L48-J52)*(POWER(1+L53,J52)-1)/(POWER(1+L53,L48)-1)),0,POWER(1+L53,L48-J52)*(POWER(1+L53,J52)-1)/(POWER(1+L53,L48)-1))</f>
        <v>0</v>
      </c>
      <c r="O60" s="2398" t="s">
        <v>2378</v>
      </c>
      <c r="P60" s="2396" t="s">
        <v>2408</v>
      </c>
      <c r="Q60" s="2397">
        <f>IF(L56="比较法",L50,IF(L56="基准地价",L51,0))</f>
        <v>0</v>
      </c>
      <c r="R60" s="2396" t="s">
        <v>2375</v>
      </c>
    </row>
    <row r="61" spans="1:18" s="2056" customFormat="1" ht="15.75" thickBot="1">
      <c r="A61" s="2093"/>
      <c r="B61" s="2094"/>
      <c r="C61" s="2094"/>
      <c r="I61" s="3165" t="s">
        <v>2356</v>
      </c>
      <c r="J61" s="3166" t="str">
        <f ca="1">IF(OR(M48="住宅",J52&lt;L49,J57="是"),"0",ROUND(J60/(1+J53)^J54,0))</f>
        <v>0</v>
      </c>
      <c r="K61" s="3167" t="s">
        <v>2361</v>
      </c>
      <c r="L61" s="3166" t="e">
        <f ca="1">IF(OR(M48="住宅",L49&lt;J52),0,ROUND(L58*(L59/L60-1),0))</f>
        <v>#DIV/0!</v>
      </c>
      <c r="O61" s="2398" t="s">
        <v>2379</v>
      </c>
      <c r="P61" s="2396" t="s">
        <v>2388</v>
      </c>
      <c r="Q61" s="2399">
        <f>L53</f>
        <v>0</v>
      </c>
      <c r="R61" s="2400"/>
    </row>
    <row r="62" spans="1:18" s="2056" customFormat="1" ht="20.25" thickBot="1">
      <c r="A62" s="2093"/>
      <c r="B62" s="2094"/>
      <c r="C62" s="2094"/>
      <c r="K62" s="2083"/>
      <c r="O62" s="2398" t="s">
        <v>2381</v>
      </c>
      <c r="P62" s="2396" t="s">
        <v>2389</v>
      </c>
      <c r="Q62" s="2397">
        <f ca="1">L59</f>
        <v>0</v>
      </c>
      <c r="R62" s="2400" t="s">
        <v>2390</v>
      </c>
    </row>
    <row r="63" spans="1:18" s="2056" customFormat="1" ht="20.25" thickBot="1">
      <c r="A63" s="2093"/>
      <c r="B63" s="2094"/>
      <c r="C63" s="2094"/>
      <c r="I63" s="3168" t="s">
        <v>2362</v>
      </c>
      <c r="J63" s="3169" t="s">
        <v>2363</v>
      </c>
      <c r="K63" s="3169" t="s">
        <v>2364</v>
      </c>
      <c r="L63" s="3169" t="s">
        <v>2345</v>
      </c>
      <c r="M63" s="3170" t="s">
        <v>2940</v>
      </c>
      <c r="O63" s="2398" t="s">
        <v>2383</v>
      </c>
      <c r="P63" s="2396" t="s">
        <v>2391</v>
      </c>
      <c r="Q63" s="2397">
        <f ca="1">L60</f>
        <v>0</v>
      </c>
      <c r="R63" s="2400" t="s">
        <v>2392</v>
      </c>
    </row>
    <row r="64" spans="1:18" s="2056" customFormat="1" ht="15.75" thickBot="1">
      <c r="A64" s="2093"/>
      <c r="B64" s="2094"/>
      <c r="C64" s="2094"/>
      <c r="I64" s="3168" t="s">
        <v>2365</v>
      </c>
      <c r="J64" s="3169">
        <v>70</v>
      </c>
      <c r="K64" s="3169">
        <v>50</v>
      </c>
      <c r="L64" s="3169">
        <v>80</v>
      </c>
      <c r="M64" s="3171">
        <v>0.02</v>
      </c>
      <c r="O64" s="2395" t="s">
        <v>2386</v>
      </c>
      <c r="P64" s="2396" t="s">
        <v>2403</v>
      </c>
      <c r="Q64" s="2397" t="e">
        <f ca="1">Q58+Q59</f>
        <v>#DIV/0!</v>
      </c>
      <c r="R64" s="2400" t="s">
        <v>2387</v>
      </c>
    </row>
    <row r="65" spans="1:18" s="2056" customFormat="1" ht="16.5" thickBot="1">
      <c r="A65" s="2093"/>
      <c r="B65" s="2094"/>
      <c r="C65" s="2094"/>
      <c r="I65" s="3168" t="s">
        <v>2366</v>
      </c>
      <c r="J65" s="3169">
        <v>50</v>
      </c>
      <c r="K65" s="3169">
        <v>35</v>
      </c>
      <c r="L65" s="3169">
        <v>60</v>
      </c>
      <c r="M65" s="842">
        <v>0</v>
      </c>
      <c r="O65" s="2401" t="s">
        <v>2410</v>
      </c>
      <c r="P65" s="1588"/>
      <c r="Q65" s="1600"/>
      <c r="R65" s="1588"/>
    </row>
    <row r="66" spans="1:18" s="2056" customFormat="1" ht="15.75" thickBot="1">
      <c r="A66" s="2093"/>
      <c r="B66" s="2094"/>
      <c r="C66" s="2094"/>
      <c r="I66" s="3168" t="s">
        <v>2367</v>
      </c>
      <c r="J66" s="3169">
        <v>40</v>
      </c>
      <c r="K66" s="3169">
        <v>30</v>
      </c>
      <c r="L66" s="3169">
        <v>50</v>
      </c>
      <c r="M66" s="3171">
        <v>0.02</v>
      </c>
      <c r="O66" s="2392" t="s">
        <v>2370</v>
      </c>
      <c r="P66" s="2393" t="s">
        <v>2371</v>
      </c>
      <c r="Q66" s="2394" t="s">
        <v>2372</v>
      </c>
      <c r="R66" s="2393" t="s">
        <v>2373</v>
      </c>
    </row>
    <row r="67" spans="1:18" s="2056" customFormat="1" ht="15.75" thickBot="1">
      <c r="A67" s="2093"/>
      <c r="B67" s="2094"/>
      <c r="C67" s="2094"/>
      <c r="K67" s="2083"/>
      <c r="O67" s="2395" t="s">
        <v>2374</v>
      </c>
      <c r="P67" s="2396" t="s">
        <v>2400</v>
      </c>
      <c r="Q67" s="2397">
        <f ca="1">C41+J31</f>
        <v>0</v>
      </c>
      <c r="R67" s="2396" t="s">
        <v>2375</v>
      </c>
    </row>
    <row r="68" spans="1:18" s="2056" customFormat="1" ht="20.25" thickBot="1">
      <c r="A68" s="2093"/>
      <c r="B68" s="2094"/>
      <c r="C68" s="2094"/>
      <c r="K68" s="2083"/>
      <c r="O68" s="2395" t="s">
        <v>2376</v>
      </c>
      <c r="P68" s="2396" t="s">
        <v>2407</v>
      </c>
      <c r="Q68" s="2397" t="e">
        <f ca="1">L61</f>
        <v>#DIV/0!</v>
      </c>
      <c r="R68" s="2400" t="s">
        <v>2409</v>
      </c>
    </row>
    <row r="69" spans="1:18" s="2056" customFormat="1" ht="21.75" thickBot="1">
      <c r="A69" s="2093"/>
      <c r="B69" s="2094"/>
      <c r="C69" s="2094"/>
      <c r="K69" s="2083"/>
      <c r="O69" s="2398" t="s">
        <v>2378</v>
      </c>
      <c r="P69" s="2396" t="s">
        <v>2408</v>
      </c>
      <c r="Q69" s="2402">
        <f ca="1">L52</f>
        <v>0</v>
      </c>
      <c r="R69" s="2403" t="s">
        <v>2411</v>
      </c>
    </row>
    <row r="70" spans="1:18" s="2056" customFormat="1" ht="20.25" thickBot="1">
      <c r="A70" s="2093"/>
      <c r="B70" s="2094"/>
      <c r="C70" s="2094"/>
      <c r="K70" s="2083"/>
      <c r="O70" s="2398" t="s">
        <v>2379</v>
      </c>
      <c r="P70" s="2404" t="s">
        <v>2393</v>
      </c>
      <c r="Q70" s="2397">
        <f ca="1">ROUND(Q71-Q72*Q73,0)</f>
        <v>0</v>
      </c>
      <c r="R70" s="2400"/>
    </row>
    <row r="71" spans="1:18" s="2056" customFormat="1" ht="15.75" thickBot="1">
      <c r="A71" s="2093"/>
      <c r="B71" s="2094"/>
      <c r="C71" s="2094"/>
      <c r="K71" s="2083"/>
      <c r="O71" s="2398" t="s">
        <v>2394</v>
      </c>
      <c r="P71" s="2404" t="s">
        <v>2395</v>
      </c>
      <c r="Q71" s="2397">
        <f ca="1">C42</f>
        <v>0</v>
      </c>
      <c r="R71" s="2396" t="s">
        <v>2375</v>
      </c>
    </row>
    <row r="72" spans="1:18" s="2056" customFormat="1" ht="15.75" thickBot="1">
      <c r="A72" s="2093"/>
      <c r="B72" s="2094"/>
      <c r="C72" s="2094"/>
      <c r="K72" s="2083"/>
      <c r="O72" s="2398" t="s">
        <v>2396</v>
      </c>
      <c r="P72" s="2404" t="s">
        <v>2397</v>
      </c>
      <c r="Q72" s="2397">
        <f ca="1">C15</f>
        <v>0</v>
      </c>
      <c r="R72" s="2396" t="s">
        <v>2375</v>
      </c>
    </row>
    <row r="73" spans="1:18" s="2056" customFormat="1" ht="15.75" thickBot="1">
      <c r="A73" s="2093"/>
      <c r="B73" s="2094"/>
      <c r="C73" s="2094"/>
      <c r="K73" s="2083"/>
      <c r="O73" s="2398" t="s">
        <v>2398</v>
      </c>
      <c r="P73" s="2404" t="s">
        <v>2399</v>
      </c>
      <c r="Q73" s="2399">
        <f ca="1">F43</f>
        <v>0</v>
      </c>
      <c r="R73" s="2400"/>
    </row>
    <row r="74" spans="1:18" s="2056" customFormat="1" ht="15.75" thickBot="1">
      <c r="A74" s="2093"/>
      <c r="B74" s="2094"/>
      <c r="C74" s="2094"/>
      <c r="K74" s="2083"/>
      <c r="O74" s="2398" t="s">
        <v>2381</v>
      </c>
      <c r="P74" s="2396" t="s">
        <v>2388</v>
      </c>
      <c r="Q74" s="2399">
        <f>L53</f>
        <v>0</v>
      </c>
      <c r="R74" s="2400"/>
    </row>
    <row r="75" spans="1:18" s="2056" customFormat="1" ht="20.25" thickBot="1">
      <c r="A75" s="2093"/>
      <c r="B75" s="2094"/>
      <c r="C75" s="2094"/>
      <c r="K75" s="2083"/>
      <c r="O75" s="2398" t="s">
        <v>2383</v>
      </c>
      <c r="P75" s="2396" t="s">
        <v>2389</v>
      </c>
      <c r="Q75" s="2397">
        <f ca="1">L59</f>
        <v>0</v>
      </c>
      <c r="R75" s="2400" t="s">
        <v>2390</v>
      </c>
    </row>
    <row r="76" spans="1:18" s="2056" customFormat="1" ht="20.25" thickBot="1">
      <c r="A76" s="2093"/>
      <c r="B76" s="2094"/>
      <c r="C76" s="2094"/>
      <c r="K76" s="2083"/>
      <c r="O76" s="2398" t="s">
        <v>2412</v>
      </c>
      <c r="P76" s="2396" t="s">
        <v>2391</v>
      </c>
      <c r="Q76" s="2397">
        <f ca="1">L60</f>
        <v>0</v>
      </c>
      <c r="R76" s="2400" t="s">
        <v>2392</v>
      </c>
    </row>
    <row r="77" spans="1:18" s="2056" customFormat="1" ht="15.75" thickBot="1">
      <c r="A77" s="2093"/>
      <c r="B77" s="2094"/>
      <c r="C77" s="2094"/>
      <c r="K77" s="2083"/>
      <c r="O77" s="2395" t="s">
        <v>2386</v>
      </c>
      <c r="P77" s="2396" t="s">
        <v>2403</v>
      </c>
      <c r="Q77" s="2397" t="e">
        <f ca="1">Q67+Q68</f>
        <v>#DIV/0!</v>
      </c>
      <c r="R77" s="2400" t="s">
        <v>2387</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17" priority="6">
      <formula>$F$12="自定义"</formula>
    </cfRule>
  </conditionalFormatting>
  <conditionalFormatting sqref="J13">
    <cfRule type="expression" dxfId="116" priority="5">
      <formula>$M$10="自定义"</formula>
    </cfRule>
  </conditionalFormatting>
  <conditionalFormatting sqref="K56">
    <cfRule type="expression" dxfId="115" priority="3">
      <formula>$L$48&gt;$J$51</formula>
    </cfRule>
  </conditionalFormatting>
  <conditionalFormatting sqref="I56">
    <cfRule type="expression" dxfId="114" priority="4">
      <formula>$J$51&gt;$L$48</formula>
    </cfRule>
  </conditionalFormatting>
  <conditionalFormatting sqref="I61">
    <cfRule type="expression" dxfId="113" priority="2">
      <formula>$J$51&gt;$L$48</formula>
    </cfRule>
  </conditionalFormatting>
  <conditionalFormatting sqref="K61">
    <cfRule type="expression" dxfId="11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460</v>
      </c>
      <c r="B1" s="2806"/>
      <c r="C1" s="2101"/>
      <c r="D1" s="2101"/>
      <c r="E1" s="2101"/>
      <c r="F1" s="2101"/>
      <c r="G1" s="2101"/>
      <c r="H1" s="2101"/>
      <c r="I1" s="2101"/>
      <c r="J1" s="2101"/>
      <c r="K1" s="418">
        <f>MATCH(B1,'数据-取费表'!A6:A16,0)+5</f>
        <v>12</v>
      </c>
    </row>
    <row r="2" spans="1:31" s="2038" customFormat="1" ht="18" customHeight="1">
      <c r="A2" s="2098" t="s">
        <v>461</v>
      </c>
      <c r="B2" s="2102">
        <f ca="1">C36</f>
        <v>-292300</v>
      </c>
      <c r="C2" s="2101"/>
      <c r="D2" s="2101"/>
      <c r="E2" s="2101"/>
      <c r="F2" s="2101"/>
      <c r="G2" s="2101"/>
      <c r="H2" s="2101"/>
      <c r="I2" s="2101"/>
      <c r="J2" s="2101"/>
      <c r="K2" s="2101"/>
    </row>
    <row r="3" spans="1:31" s="2038" customFormat="1" ht="18" customHeight="1">
      <c r="A3" s="2103" t="s">
        <v>1677</v>
      </c>
      <c r="B3" s="2104">
        <f ca="1">ROUND(B2*10000/IF(B1="",'数据-汇总表'!E3,INDIRECT("'数据-取费表'!K"&amp;$K$1)),0)</f>
        <v>-4117</v>
      </c>
      <c r="C3" s="2101"/>
      <c r="D3" s="2101"/>
      <c r="E3" s="2101"/>
      <c r="F3" s="2101"/>
      <c r="G3" s="2101"/>
      <c r="H3" s="2101"/>
      <c r="I3" s="2101"/>
      <c r="J3" s="2101"/>
      <c r="K3" s="2101"/>
    </row>
    <row r="4" spans="1:31" s="2038" customFormat="1" ht="18" customHeight="1">
      <c r="A4" s="422" t="s">
        <v>462</v>
      </c>
      <c r="B4" s="423">
        <f ca="1">ROUND(B2*10000/IF(B1="",'数据-汇总表'!D3,INDIRECT("'数据-取费表'!R"&amp;$K$1)),0)</f>
        <v>-15969</v>
      </c>
      <c r="C4" s="424"/>
      <c r="D4" s="418"/>
      <c r="E4" s="418"/>
      <c r="F4" s="418"/>
      <c r="G4" s="418"/>
      <c r="H4" s="418"/>
      <c r="I4" s="418"/>
      <c r="J4" s="418"/>
      <c r="K4" s="418"/>
    </row>
    <row r="5" spans="1:31" s="2038" customFormat="1" ht="18" customHeight="1" thickBot="1">
      <c r="A5" s="425"/>
      <c r="B5" s="426">
        <f ca="1">ROUND(B2/(IF(B1="",'数据-汇总表'!D3,INDIRECT("'数据-取费表'!R"&amp;$K$1))/666.67),0)</f>
        <v>-1065</v>
      </c>
      <c r="C5" s="427" t="s">
        <v>463</v>
      </c>
      <c r="D5" s="418"/>
      <c r="E5" s="418"/>
      <c r="F5" s="418"/>
      <c r="G5" s="418"/>
      <c r="H5" s="418"/>
      <c r="I5" s="418"/>
      <c r="J5" s="418"/>
      <c r="K5" s="418"/>
    </row>
    <row r="6" spans="1:31" s="2108" customFormat="1" ht="16.5" customHeight="1">
      <c r="A6" s="2825" t="s">
        <v>1835</v>
      </c>
      <c r="B6" s="2826"/>
      <c r="C6" s="2827">
        <f>SUM(C10:K10)</f>
        <v>0</v>
      </c>
      <c r="D6" s="2826"/>
      <c r="E6" s="2826"/>
      <c r="F6" s="2826"/>
      <c r="G6" s="2826"/>
      <c r="H6" s="2826"/>
      <c r="I6" s="2826"/>
      <c r="J6" s="2826"/>
      <c r="K6" s="2828"/>
    </row>
    <row r="7" spans="1:31" s="2110" customFormat="1" ht="15">
      <c r="A7" s="2829" t="s">
        <v>464</v>
      </c>
      <c r="B7" s="2830" t="s">
        <v>465</v>
      </c>
      <c r="C7" s="432"/>
      <c r="D7" s="432"/>
      <c r="E7" s="432"/>
      <c r="F7" s="432"/>
      <c r="G7" s="432"/>
      <c r="H7" s="432"/>
      <c r="I7" s="432"/>
      <c r="J7" s="432"/>
      <c r="K7" s="433"/>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799" t="s">
        <v>1838</v>
      </c>
      <c r="B8" s="260" t="s">
        <v>466</v>
      </c>
      <c r="C8" s="2831"/>
      <c r="D8" s="2831"/>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799" t="s">
        <v>1839</v>
      </c>
      <c r="B9" s="260" t="s">
        <v>467</v>
      </c>
      <c r="C9" s="437">
        <f>SUMIF('数据-汇总表'!$C19:$C33,'剩余法-待开发'!C7,'数据-汇总表'!$E19:$E33)</f>
        <v>0</v>
      </c>
      <c r="D9" s="437">
        <f>SUMIF('数据-汇总表'!$C19:$C33,'剩余法-待开发'!D7,'数据-汇总表'!$E19:$E33)</f>
        <v>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1840</v>
      </c>
      <c r="B10" s="2819" t="s">
        <v>468</v>
      </c>
      <c r="C10" s="3023"/>
      <c r="D10" s="3023"/>
      <c r="E10" s="3023"/>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1836</v>
      </c>
      <c r="B11" s="2826"/>
      <c r="C11" s="2826"/>
      <c r="D11" s="2826"/>
      <c r="E11" s="2826"/>
      <c r="F11" s="2826"/>
      <c r="G11" s="2826"/>
      <c r="H11" s="2826"/>
      <c r="I11" s="2826"/>
      <c r="J11" s="2826"/>
      <c r="K11" s="2828"/>
    </row>
    <row r="12" spans="1:31" s="2082" customFormat="1" ht="13.5" customHeight="1">
      <c r="A12" s="2837" t="s">
        <v>464</v>
      </c>
      <c r="B12" s="2809" t="s">
        <v>465</v>
      </c>
      <c r="C12" s="2838" t="s">
        <v>469</v>
      </c>
      <c r="D12" s="2805" t="s">
        <v>470</v>
      </c>
      <c r="E12" s="2805" t="s">
        <v>471</v>
      </c>
      <c r="F12" s="2805" t="s">
        <v>472</v>
      </c>
      <c r="G12" s="2809"/>
      <c r="H12" s="2810"/>
      <c r="I12" s="2810"/>
      <c r="J12" s="2810"/>
      <c r="K12" s="2811"/>
    </row>
    <row r="13" spans="1:31" s="2113" customFormat="1" ht="13.5" customHeight="1">
      <c r="A13" s="2839" t="s">
        <v>1841</v>
      </c>
      <c r="B13" s="2840" t="s">
        <v>473</v>
      </c>
      <c r="C13" s="446">
        <f ca="1">IF(B1="",'数据-取费表'!P16,INDIRECT("'数据-取费表'!p"&amp;$K$1)+INDIRECT("'数据-取费表'!t"&amp;$K$1))</f>
        <v>244435</v>
      </c>
      <c r="D13" s="2841"/>
      <c r="E13" s="2842"/>
      <c r="F13" s="2843"/>
      <c r="G13" s="2809"/>
      <c r="H13" s="2810"/>
      <c r="I13" s="2810"/>
      <c r="J13" s="2810"/>
      <c r="K13" s="2811"/>
    </row>
    <row r="14" spans="1:31" s="2113" customFormat="1" ht="13.5" customHeight="1">
      <c r="A14" s="2839" t="s">
        <v>1842</v>
      </c>
      <c r="B14" s="2840" t="s">
        <v>474</v>
      </c>
      <c r="C14" s="53">
        <f ca="1">ROUND(C13*F14,0)</f>
        <v>7333</v>
      </c>
      <c r="D14" s="2841"/>
      <c r="E14" s="2842"/>
      <c r="F14" s="2844">
        <f>'数据-取费表'!B33</f>
        <v>0.03</v>
      </c>
      <c r="G14" s="2809" t="s">
        <v>475</v>
      </c>
      <c r="H14" s="2810"/>
      <c r="I14" s="2810"/>
      <c r="J14" s="2810"/>
      <c r="K14" s="2811"/>
    </row>
    <row r="15" spans="1:31" s="2113" customFormat="1" ht="13.5" customHeight="1">
      <c r="A15" s="2839" t="s">
        <v>1843</v>
      </c>
      <c r="B15" s="2840" t="s">
        <v>476</v>
      </c>
      <c r="C15" s="53">
        <f ca="1">ROUND(IF(B1="",SUMIF('数据-取费表'!C:C,"住宅",'数据-取费表'!P:P)*F15,IF(INDIRECT("'数据-取费表'!c"&amp;$K$1)="住宅",INDIRECT("'数据-取费表'!P"&amp;$K$1)*F15,0)),0)</f>
        <v>27660</v>
      </c>
      <c r="D15" s="2841"/>
      <c r="E15" s="2842"/>
      <c r="F15" s="2844">
        <f>'数据-取费表'!B34</f>
        <v>0.15</v>
      </c>
      <c r="G15" s="2809" t="s">
        <v>477</v>
      </c>
      <c r="H15" s="2810"/>
      <c r="I15" s="2810"/>
      <c r="J15" s="2810"/>
      <c r="K15" s="2811"/>
    </row>
    <row r="16" spans="1:31" s="2114" customFormat="1" ht="13.5" customHeight="1">
      <c r="A16" s="2839" t="s">
        <v>1844</v>
      </c>
      <c r="B16" s="2840" t="s">
        <v>478</v>
      </c>
      <c r="C16" s="53">
        <f ca="1">ROUND(D16*E16/10000,0)</f>
        <v>14198</v>
      </c>
      <c r="D16" s="2841">
        <f ca="1">IF(B1="",'数据-汇总表'!E3,INDIRECT("'数据-取费表'!K"&amp;$K$1)+INDIRECT("'数据-取费表'!S"&amp;$K$1))</f>
        <v>709912</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1845</v>
      </c>
      <c r="B17" s="2840" t="s">
        <v>479</v>
      </c>
      <c r="C17" s="2845">
        <f ca="1">ROUND(C13*F17,0)</f>
        <v>3667</v>
      </c>
      <c r="D17" s="471"/>
      <c r="E17" s="2845"/>
      <c r="F17" s="2846">
        <f>'数据-取费表'!B36</f>
        <v>1.4999999999999999E-2</v>
      </c>
      <c r="G17" s="260" t="s">
        <v>480</v>
      </c>
      <c r="H17" s="2812"/>
      <c r="I17" s="2812"/>
      <c r="J17" s="2812"/>
      <c r="K17" s="275"/>
    </row>
    <row r="18" spans="1:14" s="2113" customFormat="1" ht="13.5" customHeight="1">
      <c r="A18" s="2847" t="s">
        <v>1846</v>
      </c>
      <c r="B18" s="2848" t="s">
        <v>481</v>
      </c>
      <c r="C18" s="2849">
        <f ca="1">SUM(C13:C17)</f>
        <v>297293</v>
      </c>
      <c r="D18" s="2850"/>
      <c r="E18" s="464"/>
      <c r="F18" s="464"/>
      <c r="G18" s="2813" t="s">
        <v>2425</v>
      </c>
      <c r="H18" s="2814"/>
      <c r="I18" s="2814"/>
      <c r="J18" s="2814"/>
      <c r="K18" s="2815"/>
    </row>
    <row r="19" spans="1:14" s="2113" customFormat="1" ht="13.5" customHeight="1">
      <c r="A19" s="2847" t="s">
        <v>1847</v>
      </c>
      <c r="B19" s="2848" t="s">
        <v>482</v>
      </c>
      <c r="C19" s="2805">
        <f ca="1">ROUND(D19*E19/10000,0)</f>
        <v>0</v>
      </c>
      <c r="D19" s="2851">
        <f ca="1">D16</f>
        <v>709912</v>
      </c>
      <c r="E19" s="2805">
        <f>'数据-取费表'!B32</f>
        <v>0</v>
      </c>
      <c r="F19" s="464"/>
      <c r="G19" s="2809" t="s">
        <v>483</v>
      </c>
      <c r="H19" s="2810"/>
      <c r="I19" s="2814"/>
      <c r="J19" s="2814"/>
      <c r="K19" s="2815"/>
    </row>
    <row r="20" spans="1:14" s="2113" customFormat="1" ht="13.5" customHeight="1">
      <c r="A20" s="2847" t="s">
        <v>1848</v>
      </c>
      <c r="B20" s="2848" t="s">
        <v>484</v>
      </c>
      <c r="C20" s="2805">
        <f ca="1">C21+C22-IF(B1="",'数据-取费表'!B29,IF(G20="已全部缴纳",C21+C22,H20))</f>
        <v>12463</v>
      </c>
      <c r="D20" s="2851"/>
      <c r="E20" s="2805"/>
      <c r="F20" s="2852"/>
      <c r="G20" s="3083"/>
      <c r="H20" s="2807"/>
      <c r="I20" s="2808" t="s">
        <v>2646</v>
      </c>
      <c r="J20" s="2814"/>
      <c r="K20" s="2815"/>
    </row>
    <row r="21" spans="1:14" s="2113" customFormat="1" ht="13.5" customHeight="1">
      <c r="A21" s="2839" t="s">
        <v>1849</v>
      </c>
      <c r="B21" s="2840" t="s">
        <v>485</v>
      </c>
      <c r="C21" s="53">
        <f ca="1">ROUND(D21*E21/10000,0)</f>
        <v>6942</v>
      </c>
      <c r="D21" s="2841">
        <f ca="1">IF(B1="",'数据-汇总表'!E5,IF(INDIRECT("'数据-取费表'!c"&amp;$K$1)="住宅",INDIRECT("'数据-取费表'!k"&amp;$K$1),0))</f>
        <v>433886</v>
      </c>
      <c r="E21" s="53">
        <f>'数据-取费表'!B27</f>
        <v>160</v>
      </c>
      <c r="F21" s="2844"/>
      <c r="G21" s="26"/>
      <c r="H21" s="51"/>
      <c r="I21" s="51"/>
      <c r="J21" s="51"/>
      <c r="K21" s="2816"/>
    </row>
    <row r="22" spans="1:14" s="2113" customFormat="1" ht="13.5" customHeight="1">
      <c r="A22" s="2839" t="s">
        <v>1850</v>
      </c>
      <c r="B22" s="2840" t="s">
        <v>486</v>
      </c>
      <c r="C22" s="53">
        <f ca="1">ROUND(D22*E22/10000,0)</f>
        <v>5521</v>
      </c>
      <c r="D22" s="2841">
        <f ca="1">IF(B1="",'数据-汇总表'!E6,IF(INDIRECT("'数据-取费表'!c"&amp;$K$1)="住宅",INDIRECT("'数据-取费表'!s"&amp;$K$1),INDIRECT("'数据-取费表'!k"&amp;$K$1)+INDIRECT("'数据-取费表'!s"&amp;$K$1)))</f>
        <v>276026</v>
      </c>
      <c r="E22" s="53">
        <f>'数据-取费表'!B28</f>
        <v>200</v>
      </c>
      <c r="F22" s="2844"/>
      <c r="G22" s="26"/>
      <c r="H22" s="51"/>
      <c r="I22" s="51"/>
      <c r="J22" s="51"/>
      <c r="K22" s="2816"/>
    </row>
    <row r="23" spans="1:14" s="2113" customFormat="1" ht="13.5" customHeight="1">
      <c r="A23" s="2847" t="s">
        <v>1851</v>
      </c>
      <c r="B23" s="3029" t="s">
        <v>2829</v>
      </c>
      <c r="C23" s="2849">
        <f ca="1">ROUND((C18+C19+C20)*F23,0)</f>
        <v>9293</v>
      </c>
      <c r="D23" s="464"/>
      <c r="E23" s="464"/>
      <c r="F23" s="2853">
        <f>'数据-取费表'!B37</f>
        <v>0.03</v>
      </c>
      <c r="G23" s="2809" t="s">
        <v>2426</v>
      </c>
      <c r="H23" s="2810"/>
      <c r="I23" s="2810"/>
      <c r="J23" s="2810"/>
      <c r="K23" s="2811"/>
      <c r="L23" s="2115"/>
      <c r="M23" s="2115"/>
      <c r="N23" s="2115"/>
    </row>
    <row r="24" spans="1:14" s="2113" customFormat="1" ht="13.5" customHeight="1">
      <c r="A24" s="2847" t="s">
        <v>1852</v>
      </c>
      <c r="B24" s="3029" t="s">
        <v>2832</v>
      </c>
      <c r="C24" s="2849">
        <f>ROUND(C6*F24,0)</f>
        <v>0</v>
      </c>
      <c r="D24" s="471"/>
      <c r="E24" s="469"/>
      <c r="F24" s="2853">
        <f>'数据-取费表'!B38</f>
        <v>0.03</v>
      </c>
      <c r="G24" s="2818" t="s">
        <v>493</v>
      </c>
      <c r="H24" s="2812"/>
      <c r="I24" s="2812"/>
      <c r="J24" s="2812"/>
      <c r="K24" s="275"/>
      <c r="L24" s="2115"/>
      <c r="M24" s="2115"/>
      <c r="N24" s="2115"/>
    </row>
    <row r="25" spans="1:14" s="2116" customFormat="1" ht="13.5" customHeight="1">
      <c r="A25" s="2847" t="s">
        <v>1853</v>
      </c>
      <c r="B25" s="3029" t="s">
        <v>2830</v>
      </c>
      <c r="C25" s="463">
        <f>ROUND(F25/(1+'数据-取费表'!C42),4)</f>
        <v>2.9000000000000001E-2</v>
      </c>
      <c r="D25" s="458" t="s">
        <v>2824</v>
      </c>
      <c r="E25" s="465"/>
      <c r="F25" s="2853">
        <f>'数据-取费表'!B48+'数据-取费表'!B49</f>
        <v>3.0499999999999999E-2</v>
      </c>
      <c r="G25" s="2817" t="s">
        <v>2284</v>
      </c>
      <c r="H25" s="2810"/>
      <c r="I25" s="2810"/>
      <c r="J25" s="2810"/>
      <c r="K25" s="2811"/>
    </row>
    <row r="26" spans="1:14" s="2115" customFormat="1" ht="13.5" customHeight="1">
      <c r="A26" s="2847" t="s">
        <v>1854</v>
      </c>
      <c r="B26" s="3030" t="s">
        <v>2831</v>
      </c>
      <c r="C26" s="2854">
        <f ca="1">C28</f>
        <v>23000</v>
      </c>
      <c r="D26" s="463">
        <f ca="1">C27</f>
        <v>0.1537</v>
      </c>
      <c r="E26" s="465" t="s">
        <v>489</v>
      </c>
      <c r="F26" s="467">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799" t="s">
        <v>1849</v>
      </c>
      <c r="B27" s="2855" t="s">
        <v>490</v>
      </c>
      <c r="C27" s="2856">
        <f ca="1">ROUND(IF('数据-取费表'!B22&lt;=1,(1+C25)*F26*'数据-取费表'!B24,(1+C25)*(POWER((1+F26),'数据-取费表'!B24)-1)),4)</f>
        <v>0.1537</v>
      </c>
      <c r="D27" s="468"/>
      <c r="E27" s="469"/>
      <c r="F27" s="470"/>
      <c r="G27" s="2569" t="str">
        <f>IF('数据-取费表'!B22&lt;=1,"（1+取得税费率/(1+5%)）×年利率×建设期","（1+取得税费率）/(1+5%)×((1+年利率)^建设期-1)")</f>
        <v>（1+取得税费率）/(1+5%)×((1+年利率)^建设期-1)</v>
      </c>
      <c r="H27" s="2812"/>
      <c r="I27" s="2812"/>
      <c r="J27" s="2812"/>
      <c r="K27" s="275"/>
    </row>
    <row r="28" spans="1:14" s="2117" customFormat="1" ht="13.5" customHeight="1">
      <c r="A28" s="799" t="s">
        <v>1850</v>
      </c>
      <c r="B28" s="2855" t="s">
        <v>2833</v>
      </c>
      <c r="C28" s="2857">
        <f ca="1">ROUND(IF('数据-取费表'!B22&lt;=1,(C18+C19+C20+C23+C24)*F26*'数据-取费表'!B24/2,(C18+C19+C20+C23+C24)*(POWER((1+F26),'数据-取费表'!B24/2)-1)),0)</f>
        <v>23000</v>
      </c>
      <c r="D28" s="468"/>
      <c r="E28" s="469"/>
      <c r="F28" s="470"/>
      <c r="G28" s="2569" t="str">
        <f>IF('数据-取费表'!B22&lt;=1,"（1）-（4）项×年利率×建设期÷2","（1）-（4）项×((1+年利率)^(建设期÷2)-1)")</f>
        <v>（1）-（4）项×((1+年利率)^(建设期÷2)-1)</v>
      </c>
      <c r="H28" s="2812"/>
      <c r="I28" s="2812"/>
      <c r="J28" s="2812"/>
      <c r="K28" s="275"/>
    </row>
    <row r="29" spans="1:14" s="2117" customFormat="1" ht="13.5" customHeight="1">
      <c r="A29" s="2858" t="s">
        <v>1855</v>
      </c>
      <c r="B29" s="2848" t="s">
        <v>491</v>
      </c>
      <c r="C29" s="2849">
        <f>ROUND(C6*F29/(1+'数据-取费表'!C42),0)</f>
        <v>0</v>
      </c>
      <c r="D29" s="464"/>
      <c r="E29" s="464"/>
      <c r="F29" s="3031">
        <f>'数据-取费表'!B41</f>
        <v>5.6000000000000001E-2</v>
      </c>
      <c r="G29" s="2818" t="s">
        <v>492</v>
      </c>
      <c r="H29" s="2810"/>
      <c r="I29" s="2810"/>
      <c r="J29" s="2810"/>
      <c r="K29" s="2811"/>
    </row>
    <row r="30" spans="1:14" s="2118" customFormat="1" ht="13.5" customHeight="1">
      <c r="A30" s="1631" t="s">
        <v>1856</v>
      </c>
      <c r="B30" s="2859" t="s">
        <v>494</v>
      </c>
      <c r="C30" s="2854">
        <f ca="1">C31</f>
        <v>342049</v>
      </c>
      <c r="D30" s="473">
        <f ca="1">C32</f>
        <v>0.1827</v>
      </c>
      <c r="E30" s="465" t="s">
        <v>489</v>
      </c>
      <c r="F30" s="467"/>
      <c r="G30" s="2817" t="s">
        <v>2969</v>
      </c>
      <c r="H30" s="2810"/>
      <c r="I30" s="2810"/>
      <c r="J30" s="2810"/>
      <c r="K30" s="2811"/>
    </row>
    <row r="31" spans="1:14" s="2117" customFormat="1" ht="13.5" customHeight="1">
      <c r="A31" s="799" t="s">
        <v>1849</v>
      </c>
      <c r="B31" s="2855"/>
      <c r="C31" s="446">
        <f ca="1">C18+C19+C20+C23+C24+C26+C29</f>
        <v>342049</v>
      </c>
      <c r="D31" s="468"/>
      <c r="E31" s="469"/>
      <c r="F31" s="470"/>
      <c r="G31" s="260"/>
      <c r="H31" s="2812"/>
      <c r="I31" s="2812"/>
      <c r="J31" s="2812"/>
      <c r="K31" s="275"/>
    </row>
    <row r="32" spans="1:14" s="2117" customFormat="1" ht="13.5" customHeight="1">
      <c r="A32" s="799" t="s">
        <v>1850</v>
      </c>
      <c r="B32" s="2855"/>
      <c r="C32" s="53">
        <f ca="1">ROUND(C25+D26,4)</f>
        <v>0.1827</v>
      </c>
      <c r="D32" s="468"/>
      <c r="E32" s="469"/>
      <c r="F32" s="470"/>
      <c r="G32" s="260"/>
      <c r="H32" s="2812"/>
      <c r="I32" s="2812"/>
      <c r="J32" s="2812"/>
      <c r="K32" s="275"/>
    </row>
    <row r="33" spans="1:11" s="2119" customFormat="1" ht="13.5" customHeight="1">
      <c r="A33" s="3028" t="s">
        <v>2828</v>
      </c>
      <c r="B33" s="3026" t="s">
        <v>2826</v>
      </c>
      <c r="C33" s="474">
        <f ca="1">C35</f>
        <v>63810</v>
      </c>
      <c r="D33" s="463">
        <f ca="1">C34</f>
        <v>0.20580000000000001</v>
      </c>
      <c r="E33" s="465" t="s">
        <v>489</v>
      </c>
      <c r="F33" s="475">
        <f ca="1">IF(B1="",'数据-取费表'!Q16,INDIRECT("'数据-取费表'!q"&amp;$K$1))</f>
        <v>0.2</v>
      </c>
      <c r="G33" s="2813"/>
      <c r="H33" s="2814"/>
      <c r="I33" s="2814"/>
      <c r="J33" s="2814"/>
      <c r="K33" s="2815"/>
    </row>
    <row r="34" spans="1:11" s="2120" customFormat="1" ht="13.5" customHeight="1">
      <c r="A34" s="371" t="s">
        <v>1849</v>
      </c>
      <c r="B34" s="2860" t="s">
        <v>495</v>
      </c>
      <c r="C34" s="468">
        <f ca="1">ROUND((1+C25)*F33,4)</f>
        <v>0.20580000000000001</v>
      </c>
      <c r="D34" s="468"/>
      <c r="E34" s="469"/>
      <c r="F34" s="476"/>
      <c r="G34" s="260" t="s">
        <v>2285</v>
      </c>
      <c r="H34" s="2812"/>
      <c r="I34" s="2812"/>
      <c r="J34" s="2812"/>
      <c r="K34" s="275"/>
    </row>
    <row r="35" spans="1:11" s="2120" customFormat="1" ht="13.5" customHeight="1" thickBot="1">
      <c r="A35" s="1632" t="s">
        <v>1850</v>
      </c>
      <c r="B35" s="3027" t="s">
        <v>2834</v>
      </c>
      <c r="C35" s="1624">
        <f ca="1">ROUND((C18+C19+C20+C23+C24)*F33,0)</f>
        <v>63810</v>
      </c>
      <c r="D35" s="1625"/>
      <c r="E35" s="2861"/>
      <c r="F35" s="1626"/>
      <c r="G35" s="2819"/>
      <c r="H35" s="2820"/>
      <c r="I35" s="2820"/>
      <c r="J35" s="2820"/>
      <c r="K35" s="2821"/>
    </row>
    <row r="36" spans="1:11" s="2082" customFormat="1" ht="13.5" customHeight="1" thickBot="1">
      <c r="A36" s="280" t="s">
        <v>1837</v>
      </c>
      <c r="B36" s="2823"/>
      <c r="C36" s="2862">
        <f ca="1">ROUND((C6-C30-C33)/(1+D30+D33),0)</f>
        <v>-292300</v>
      </c>
      <c r="D36" s="2823"/>
      <c r="E36" s="2823"/>
      <c r="F36" s="2823"/>
      <c r="G36" s="2822" t="s">
        <v>2835</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7" t="s">
        <v>460</v>
      </c>
      <c r="B1" s="2806"/>
      <c r="C1" s="2101"/>
      <c r="D1" s="2101"/>
      <c r="E1" s="2101"/>
      <c r="F1" s="2101"/>
      <c r="G1" s="2101"/>
      <c r="H1" s="2101"/>
      <c r="I1" s="2101"/>
      <c r="J1" s="2101"/>
      <c r="K1" s="418">
        <f>MATCH(B1,'数据-取费表'!A6:A16,0)+5</f>
        <v>12</v>
      </c>
    </row>
    <row r="2" spans="1:41" s="2038" customFormat="1" ht="18" customHeight="1">
      <c r="A2" s="419" t="s">
        <v>461</v>
      </c>
      <c r="B2" s="420">
        <f ca="1">C32</f>
        <v>0</v>
      </c>
      <c r="C2" s="2101"/>
      <c r="D2" s="2101"/>
      <c r="E2" s="2101"/>
      <c r="F2" s="2101"/>
      <c r="G2" s="2101"/>
      <c r="H2" s="2101"/>
      <c r="I2" s="2101"/>
      <c r="J2" s="2101"/>
      <c r="K2" s="2101"/>
    </row>
    <row r="3" spans="1:41" s="2038" customFormat="1" ht="18" customHeight="1">
      <c r="A3" s="1375" t="s">
        <v>1677</v>
      </c>
      <c r="B3" s="421">
        <f ca="1">ROUND(B2*10000/IF(B1="",'数据-汇总表'!E3,INDIRECT("'数据-取费表'!K"&amp;$K$1)),0)</f>
        <v>0</v>
      </c>
      <c r="C3" s="2101"/>
      <c r="D3" s="2101"/>
      <c r="E3" s="2101"/>
      <c r="F3" s="2101"/>
      <c r="G3" s="2101"/>
      <c r="H3" s="2101"/>
      <c r="I3" s="2101"/>
      <c r="J3" s="2101"/>
      <c r="K3" s="2101"/>
    </row>
    <row r="4" spans="1:41" s="2038" customFormat="1" ht="18" customHeight="1">
      <c r="A4" s="422" t="s">
        <v>462</v>
      </c>
      <c r="B4" s="423">
        <f ca="1">ROUND(B2*10000/IF(B1="",'数据-汇总表'!D3,INDIRECT("'数据-取费表'!R"&amp;$K$1)),0)</f>
        <v>0</v>
      </c>
      <c r="C4" s="2058"/>
      <c r="D4" s="2101"/>
      <c r="E4" s="2101"/>
      <c r="F4" s="2101"/>
      <c r="G4" s="2101"/>
      <c r="H4" s="2101"/>
      <c r="I4" s="2101"/>
      <c r="J4" s="2101"/>
      <c r="K4" s="2101"/>
    </row>
    <row r="5" spans="1:41" s="2038" customFormat="1" ht="18" customHeight="1" thickBot="1">
      <c r="A5" s="425"/>
      <c r="B5" s="426">
        <f ca="1">ROUND(B2/(IF(B1="",'数据-汇总表'!D3,INDIRECT("'数据-取费表'!R"&amp;$K$1))/666.67),0)</f>
        <v>0</v>
      </c>
      <c r="C5" s="427" t="s">
        <v>463</v>
      </c>
      <c r="D5" s="2101"/>
      <c r="E5" s="2101"/>
      <c r="F5" s="2101"/>
      <c r="G5" s="2101"/>
      <c r="H5" s="2101"/>
      <c r="I5" s="2101"/>
      <c r="J5" s="2101"/>
      <c r="K5" s="2101"/>
    </row>
    <row r="6" spans="1:41" s="2108" customFormat="1" ht="16.5" customHeight="1">
      <c r="A6" s="428" t="s">
        <v>2647</v>
      </c>
      <c r="B6" s="429"/>
      <c r="C6" s="1619">
        <f>SUM(C10:K10)</f>
        <v>0</v>
      </c>
      <c r="D6" s="2106"/>
      <c r="E6" s="2106"/>
      <c r="F6" s="2106"/>
      <c r="G6" s="2106"/>
      <c r="H6" s="2106"/>
      <c r="I6" s="2106"/>
      <c r="J6" s="2106"/>
      <c r="K6" s="2107"/>
    </row>
    <row r="7" spans="1:41" s="2110" customFormat="1" ht="15">
      <c r="A7" s="430" t="s">
        <v>464</v>
      </c>
      <c r="B7" s="431" t="s">
        <v>465</v>
      </c>
      <c r="C7" s="432"/>
      <c r="D7" s="432"/>
      <c r="E7" s="432"/>
      <c r="F7" s="432"/>
      <c r="G7" s="432"/>
      <c r="H7" s="432"/>
      <c r="I7" s="432"/>
      <c r="J7" s="432"/>
      <c r="K7" s="433"/>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1838</v>
      </c>
      <c r="B8" s="434" t="s">
        <v>466</v>
      </c>
      <c r="C8" s="435"/>
      <c r="D8" s="435"/>
      <c r="E8" s="435"/>
      <c r="F8" s="435"/>
      <c r="G8" s="435"/>
      <c r="H8" s="435"/>
      <c r="I8" s="435"/>
      <c r="J8" s="435"/>
      <c r="K8" s="436"/>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1839</v>
      </c>
      <c r="B9" s="434" t="s">
        <v>467</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1840</v>
      </c>
      <c r="B10" s="1620" t="s">
        <v>468</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1857</v>
      </c>
      <c r="B11" s="1617"/>
      <c r="C11" s="1617"/>
      <c r="D11" s="1617"/>
      <c r="E11" s="1617"/>
      <c r="F11" s="1617"/>
      <c r="G11" s="1617"/>
      <c r="H11" s="1617"/>
      <c r="I11" s="1617"/>
      <c r="J11" s="1617"/>
      <c r="K11" s="1618"/>
    </row>
    <row r="12" spans="1:41" s="2082" customFormat="1" ht="13.5" customHeight="1">
      <c r="A12" s="430" t="s">
        <v>464</v>
      </c>
      <c r="B12" s="440" t="s">
        <v>465</v>
      </c>
      <c r="C12" s="441" t="s">
        <v>469</v>
      </c>
      <c r="D12" s="442" t="s">
        <v>470</v>
      </c>
      <c r="E12" s="442" t="s">
        <v>471</v>
      </c>
      <c r="F12" s="442" t="s">
        <v>472</v>
      </c>
      <c r="G12" s="440"/>
      <c r="H12" s="443"/>
      <c r="I12" s="443"/>
      <c r="J12" s="443"/>
      <c r="K12" s="444"/>
    </row>
    <row r="13" spans="1:41" s="2113" customFormat="1" ht="13.5" customHeight="1">
      <c r="A13" s="1629" t="s">
        <v>1841</v>
      </c>
      <c r="B13" s="445" t="s">
        <v>473</v>
      </c>
      <c r="C13" s="446">
        <f ca="1">IF(B1="",'数据-取费表'!M16,INDIRECT("'数据-取费表'!M"&amp;$K$1)+INDIRECT("'数据-取费表'!t"&amp;$K$1))</f>
        <v>244435</v>
      </c>
      <c r="D13" s="447"/>
      <c r="E13" s="361"/>
      <c r="F13" s="448"/>
      <c r="G13" s="440"/>
      <c r="H13" s="443"/>
      <c r="I13" s="443"/>
      <c r="J13" s="443"/>
      <c r="K13" s="444"/>
    </row>
    <row r="14" spans="1:41" s="2113" customFormat="1" ht="13.5" customHeight="1">
      <c r="A14" s="1629" t="s">
        <v>1842</v>
      </c>
      <c r="B14" s="445" t="s">
        <v>474</v>
      </c>
      <c r="C14" s="53">
        <f ca="1">ROUND(C13*F14,0)</f>
        <v>7333</v>
      </c>
      <c r="D14" s="447"/>
      <c r="E14" s="361"/>
      <c r="F14" s="449">
        <f>'数据-取费表'!B33</f>
        <v>0.03</v>
      </c>
      <c r="G14" s="440" t="s">
        <v>496</v>
      </c>
      <c r="H14" s="443"/>
      <c r="I14" s="443"/>
      <c r="J14" s="443"/>
      <c r="K14" s="444"/>
    </row>
    <row r="15" spans="1:41" s="2113" customFormat="1" ht="13.5" customHeight="1">
      <c r="A15" s="1629" t="s">
        <v>1843</v>
      </c>
      <c r="B15" s="445" t="s">
        <v>476</v>
      </c>
      <c r="C15" s="53">
        <f ca="1">ROUND(IF(B1="",SUMIF('数据-取费表'!C:C,"住宅",'数据-取费表'!M:M)*F15,IF(INDIRECT("'数据-取费表'!c"&amp;$K$1)="住宅",INDIRECT("'数据-取费表'!M"&amp;$K$1)*F15,0)),0)</f>
        <v>27660</v>
      </c>
      <c r="D15" s="447"/>
      <c r="E15" s="361"/>
      <c r="F15" s="449">
        <f>'数据-取费表'!B34</f>
        <v>0.15</v>
      </c>
      <c r="G15" s="440" t="s">
        <v>496</v>
      </c>
      <c r="H15" s="443"/>
      <c r="I15" s="443"/>
      <c r="J15" s="443"/>
      <c r="K15" s="444"/>
    </row>
    <row r="16" spans="1:41" s="2114" customFormat="1" ht="13.5" customHeight="1">
      <c r="A16" s="1629" t="s">
        <v>1844</v>
      </c>
      <c r="B16" s="445" t="s">
        <v>478</v>
      </c>
      <c r="C16" s="53">
        <f ca="1">ROUND(D16*E16/10000,0)</f>
        <v>14198</v>
      </c>
      <c r="D16" s="447">
        <f ca="1">IF(B1="",'数据-汇总表'!E3,INDIRECT("'数据-取费表'!K"&amp;$K$1)+INDIRECT("'数据-取费表'!S"&amp;$K$1))</f>
        <v>709912</v>
      </c>
      <c r="E16" s="53">
        <f>'数据-取费表'!B35</f>
        <v>200</v>
      </c>
      <c r="F16" s="449"/>
      <c r="G16" s="440"/>
      <c r="H16" s="443"/>
      <c r="I16" s="443"/>
      <c r="J16" s="443"/>
      <c r="K16" s="444"/>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1845</v>
      </c>
      <c r="B17" s="445" t="s">
        <v>479</v>
      </c>
      <c r="C17" s="450">
        <f ca="1">ROUND(C13*F17,0)</f>
        <v>3667</v>
      </c>
      <c r="D17" s="451"/>
      <c r="E17" s="450"/>
      <c r="F17" s="452">
        <f>'数据-取费表'!B36</f>
        <v>1.4999999999999999E-2</v>
      </c>
      <c r="G17" s="440" t="s">
        <v>496</v>
      </c>
      <c r="H17" s="453"/>
      <c r="I17" s="453"/>
      <c r="J17" s="453"/>
      <c r="K17" s="454"/>
    </row>
    <row r="18" spans="1:14" s="2116" customFormat="1" ht="13.5" customHeight="1">
      <c r="A18" s="1630" t="s">
        <v>1846</v>
      </c>
      <c r="B18" s="455" t="s">
        <v>481</v>
      </c>
      <c r="C18" s="456">
        <f ca="1">SUM(C13:C17)</f>
        <v>297293</v>
      </c>
      <c r="D18" s="457"/>
      <c r="E18" s="458"/>
      <c r="F18" s="458"/>
      <c r="G18" s="1323" t="s">
        <v>2427</v>
      </c>
      <c r="H18" s="443"/>
      <c r="I18" s="443"/>
      <c r="J18" s="443"/>
      <c r="K18" s="444"/>
    </row>
    <row r="19" spans="1:14" s="2116" customFormat="1" ht="13.5" customHeight="1">
      <c r="A19" s="1630" t="s">
        <v>1847</v>
      </c>
      <c r="B19" s="455" t="s">
        <v>487</v>
      </c>
      <c r="C19" s="456">
        <f ca="1">ROUND(C18*F19,0)</f>
        <v>8919</v>
      </c>
      <c r="D19" s="458"/>
      <c r="E19" s="458"/>
      <c r="F19" s="462">
        <f>'数据-取费表'!B37</f>
        <v>0.03</v>
      </c>
      <c r="G19" s="440" t="s">
        <v>497</v>
      </c>
      <c r="H19" s="443"/>
      <c r="I19" s="443"/>
      <c r="J19" s="443"/>
      <c r="K19" s="444"/>
      <c r="L19" s="2118"/>
      <c r="M19" s="2118"/>
      <c r="N19" s="2118"/>
    </row>
    <row r="20" spans="1:14" s="2116" customFormat="1" ht="13.5" customHeight="1">
      <c r="A20" s="1630" t="s">
        <v>1848</v>
      </c>
      <c r="B20" s="455" t="s">
        <v>498</v>
      </c>
      <c r="C20" s="3024">
        <f>F20</f>
        <v>0.03</v>
      </c>
      <c r="D20" s="465" t="s">
        <v>499</v>
      </c>
      <c r="E20" s="465"/>
      <c r="F20" s="482">
        <f>'数据-取费表'!B38</f>
        <v>0.03</v>
      </c>
      <c r="G20" s="1323" t="s">
        <v>500</v>
      </c>
      <c r="H20" s="443"/>
      <c r="I20" s="443"/>
      <c r="J20" s="443"/>
      <c r="K20" s="444"/>
      <c r="L20" s="2118"/>
      <c r="M20" s="2118"/>
      <c r="N20" s="2118"/>
    </row>
    <row r="21" spans="1:14" s="2118" customFormat="1" ht="13.5" customHeight="1">
      <c r="A21" s="1630" t="s">
        <v>1851</v>
      </c>
      <c r="B21" s="457" t="s">
        <v>488</v>
      </c>
      <c r="C21" s="466">
        <f ca="1">C22</f>
        <v>22075</v>
      </c>
      <c r="D21" s="463">
        <f ca="1">C23</f>
        <v>2.2000000000000001E-3</v>
      </c>
      <c r="E21" s="465" t="s">
        <v>501</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5" t="s">
        <v>2449</v>
      </c>
    </row>
    <row r="22" spans="1:14" s="2117" customFormat="1" ht="13.5" customHeight="1">
      <c r="A22" s="1629" t="s">
        <v>1841</v>
      </c>
      <c r="B22" s="1324" t="s">
        <v>2430</v>
      </c>
      <c r="C22" s="483">
        <f ca="1">ROUND(IF('数据-取费表'!B22&lt;=1,(C18+C19)*F21*'数据-取费表'!B20/2,(C18+C19)*(POWER((1+F21),'数据-取费表'!B20/2)-1)),0)</f>
        <v>22075</v>
      </c>
      <c r="D22" s="468"/>
      <c r="E22" s="469"/>
      <c r="F22" s="470"/>
      <c r="G22" s="2564" t="str">
        <f>IF('数据-取费表'!B22&lt;=1,"((1)+(2))×年利率×建设期÷2","((1)+(2))×((1+年利率)^(建设期÷2)-1)")</f>
        <v>((1)+(2))×((1+年利率)^(建设期÷2)-1)</v>
      </c>
      <c r="H22" s="453"/>
      <c r="I22" s="453"/>
      <c r="J22" s="453"/>
      <c r="K22" s="454"/>
    </row>
    <row r="23" spans="1:14" s="2117" customFormat="1" ht="13.5" customHeight="1">
      <c r="A23" s="1629" t="s">
        <v>1842</v>
      </c>
      <c r="B23" s="1324" t="s">
        <v>502</v>
      </c>
      <c r="C23" s="484">
        <f ca="1">ROUND(IF('数据-取费表'!B22&lt;=1,F20*F21*'数据-取费表'!B20/2,F20*(POWER((1+F21),'数据-取费表'!B20/2)-1)),4)</f>
        <v>2.2000000000000001E-3</v>
      </c>
      <c r="D23" s="468"/>
      <c r="E23" s="469"/>
      <c r="F23" s="470"/>
      <c r="G23" s="2564" t="str">
        <f>IF('数据-取费表'!B22&lt;=1,"销售费用率×年利率×建设期÷2","销售费用率×((1+年利率)^(建设期÷2)-1)")</f>
        <v>销售费用率×((1+年利率)^(建设期÷2)-1)</v>
      </c>
      <c r="H23" s="453"/>
      <c r="I23" s="453"/>
      <c r="J23" s="453"/>
      <c r="K23" s="454"/>
    </row>
    <row r="24" spans="1:14" s="2117" customFormat="1" ht="13.5" customHeight="1">
      <c r="A24" s="1630" t="s">
        <v>1852</v>
      </c>
      <c r="B24" s="3026" t="s">
        <v>2827</v>
      </c>
      <c r="C24" s="474">
        <f ca="1">C25</f>
        <v>61242</v>
      </c>
      <c r="D24" s="485">
        <f ca="1">C26</f>
        <v>6.0000000000000001E-3</v>
      </c>
      <c r="E24" s="465" t="s">
        <v>501</v>
      </c>
      <c r="F24" s="475">
        <f ca="1">IF(B1="",'数据-取费表'!Q16,INDIRECT("'数据-取费表'!q"&amp;$K$1))</f>
        <v>0.2</v>
      </c>
      <c r="G24" s="440"/>
      <c r="H24" s="443"/>
      <c r="I24" s="443"/>
      <c r="J24" s="443"/>
      <c r="K24" s="444"/>
    </row>
    <row r="25" spans="1:14" s="2117" customFormat="1" ht="13.5" customHeight="1">
      <c r="A25" s="1629" t="s">
        <v>1841</v>
      </c>
      <c r="B25" s="1324" t="s">
        <v>2431</v>
      </c>
      <c r="C25" s="486">
        <f ca="1">ROUND((C18+C19)*F24,0)</f>
        <v>61242</v>
      </c>
      <c r="D25" s="468"/>
      <c r="E25" s="469"/>
      <c r="F25" s="476"/>
      <c r="G25" s="1322" t="s">
        <v>2428</v>
      </c>
      <c r="H25" s="453"/>
      <c r="I25" s="453"/>
      <c r="J25" s="453"/>
      <c r="K25" s="454"/>
    </row>
    <row r="26" spans="1:14" s="2117" customFormat="1" ht="13.5" customHeight="1">
      <c r="A26" s="1629" t="s">
        <v>1842</v>
      </c>
      <c r="B26" s="1324" t="s">
        <v>503</v>
      </c>
      <c r="C26" s="487">
        <f ca="1">ROUND(F20*F24,4)</f>
        <v>6.0000000000000001E-3</v>
      </c>
      <c r="D26" s="468"/>
      <c r="E26" s="477"/>
      <c r="F26" s="476"/>
      <c r="G26" s="1322" t="s">
        <v>504</v>
      </c>
      <c r="H26" s="453"/>
      <c r="I26" s="453"/>
      <c r="J26" s="453"/>
      <c r="K26" s="454"/>
    </row>
    <row r="27" spans="1:14" s="2117" customFormat="1" ht="13.5" customHeight="1">
      <c r="A27" s="1633" t="s">
        <v>1860</v>
      </c>
      <c r="B27" s="455" t="s">
        <v>505</v>
      </c>
      <c r="C27" s="3025">
        <f>ROUND(F27/(1+'数据-取费表'!C42),4)</f>
        <v>5.33E-2</v>
      </c>
      <c r="D27" s="458" t="s">
        <v>2825</v>
      </c>
      <c r="E27" s="458"/>
      <c r="F27" s="462">
        <f>'数据-取费表'!B41</f>
        <v>5.6000000000000001E-2</v>
      </c>
      <c r="G27" s="1957" t="s">
        <v>2286</v>
      </c>
      <c r="H27" s="443"/>
      <c r="I27" s="443"/>
      <c r="J27" s="443"/>
      <c r="K27" s="444"/>
    </row>
    <row r="28" spans="1:14" s="2118" customFormat="1" ht="13.5" customHeight="1">
      <c r="A28" s="1633" t="s">
        <v>1861</v>
      </c>
      <c r="B28" s="472" t="s">
        <v>506</v>
      </c>
      <c r="C28" s="466">
        <f ca="1">ROUND((C18+C19+C21+C24)/(1-C20-D21-D24-C27),0)</f>
        <v>428761</v>
      </c>
      <c r="D28" s="473"/>
      <c r="E28" s="465"/>
      <c r="F28" s="467"/>
      <c r="G28" s="1323" t="s">
        <v>2429</v>
      </c>
      <c r="H28" s="443"/>
      <c r="I28" s="443"/>
      <c r="J28" s="443"/>
      <c r="K28" s="444"/>
    </row>
    <row r="29" spans="1:14" s="2118" customFormat="1" ht="13.5" customHeight="1">
      <c r="A29" s="1633" t="s">
        <v>1862</v>
      </c>
      <c r="B29" s="472" t="s">
        <v>507</v>
      </c>
      <c r="C29" s="488">
        <f ca="1">IF(B1="",'数据-取费表'!N16,INDIRECT("'数据-取费表'!N"&amp;$K$1))</f>
        <v>0</v>
      </c>
      <c r="D29" s="489"/>
      <c r="E29" s="490"/>
      <c r="F29" s="491"/>
      <c r="G29" s="440"/>
      <c r="H29" s="443"/>
      <c r="I29" s="443"/>
      <c r="J29" s="443"/>
      <c r="K29" s="444"/>
    </row>
    <row r="30" spans="1:14" s="2118" customFormat="1" ht="13.5" customHeight="1">
      <c r="A30" s="439">
        <v>2</v>
      </c>
      <c r="B30" s="472" t="s">
        <v>508</v>
      </c>
      <c r="C30" s="493">
        <f ca="1">ROUND(C28*C29,0)</f>
        <v>0</v>
      </c>
      <c r="D30" s="489"/>
      <c r="E30" s="494"/>
      <c r="F30" s="495"/>
      <c r="G30" s="1325" t="s">
        <v>509</v>
      </c>
      <c r="H30" s="492"/>
      <c r="I30" s="492"/>
      <c r="J30" s="443"/>
      <c r="K30" s="444"/>
    </row>
    <row r="31" spans="1:14" s="2123" customFormat="1" ht="13.5" customHeight="1">
      <c r="A31" s="2479" t="s">
        <v>1858</v>
      </c>
      <c r="B31" s="1326"/>
      <c r="C31" s="496">
        <f>ROUND(C6*F31/(1+'数据-取费表'!C42),0)</f>
        <v>0</v>
      </c>
      <c r="D31" s="1327"/>
      <c r="E31" s="1327"/>
      <c r="F31" s="497">
        <f>'数据-取费表'!B41</f>
        <v>5.6000000000000001E-2</v>
      </c>
      <c r="G31" s="1328"/>
      <c r="H31" s="1328"/>
      <c r="I31" s="1328"/>
      <c r="J31" s="1329"/>
      <c r="K31" s="1330"/>
    </row>
    <row r="32" spans="1:14" s="2082" customFormat="1" ht="13.5" customHeight="1" thickBot="1">
      <c r="A32" s="478" t="s">
        <v>1859</v>
      </c>
      <c r="B32" s="479"/>
      <c r="C32" s="480">
        <f ca="1">IF('数据-取费表'!B20&lt;=1,(C6-C30-C31)/(1+F21*'数据-取费表'!B20+F24)/(1+'数据-取费表'!B48+'数据-取费表'!B49),(C6-C30-C31)/(1+(POWER((1+F21),'数据-取费表'!B20)-1)+F24)/(1+'数据-取费表'!B48+'数据-取费表'!B49))</f>
        <v>0</v>
      </c>
      <c r="D32" s="479"/>
      <c r="E32" s="479"/>
      <c r="F32" s="479"/>
      <c r="G32" s="2480" t="s">
        <v>2970</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C129" sqref="C129:F134"/>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510</v>
      </c>
      <c r="B1" s="499"/>
      <c r="C1" s="500" t="s">
        <v>511</v>
      </c>
      <c r="D1" s="501" t="s">
        <v>512</v>
      </c>
      <c r="E1" s="502"/>
      <c r="F1" s="424"/>
      <c r="G1" s="502"/>
      <c r="H1" s="502"/>
      <c r="I1" s="502"/>
      <c r="J1" s="502"/>
      <c r="K1" s="503"/>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19" t="s">
        <v>461</v>
      </c>
      <c r="B2" s="504" t="e">
        <f>F68</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c r="A3" s="1375" t="s">
        <v>1677</v>
      </c>
      <c r="B3" s="506" t="e">
        <f>ROUND(B2*10000/'数据-汇总表'!E3,0)</f>
        <v>#DIV/0!</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4"/>
    </row>
    <row r="4" spans="1:30" s="1332" customFormat="1" ht="28.5" customHeight="1">
      <c r="A4" s="507" t="s">
        <v>514</v>
      </c>
      <c r="B4" s="423" t="e">
        <f>IF(B48="单位面积地价",C50,ROUND(B2*10000/'数据-汇总表'!D3,0))</f>
        <v>#DIV/0!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4"/>
    </row>
    <row r="5" spans="1:30" s="1332" customFormat="1" ht="28.5" customHeight="1" thickBot="1">
      <c r="A5" s="425"/>
      <c r="B5" s="426" t="e">
        <f>ROUND(B2/('数据-汇总表'!D3/666.67),0)</f>
        <v>#DIV/0!</v>
      </c>
      <c r="C5" s="427" t="s">
        <v>463</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4"/>
    </row>
    <row r="6" spans="1:30" ht="20.25">
      <c r="A6" s="508" t="s">
        <v>515</v>
      </c>
      <c r="B6" s="509"/>
      <c r="C6" s="3552" t="s">
        <v>516</v>
      </c>
      <c r="D6" s="3553"/>
      <c r="E6" s="3552" t="s">
        <v>517</v>
      </c>
      <c r="F6" s="3553"/>
      <c r="G6" s="3552" t="s">
        <v>518</v>
      </c>
      <c r="H6" s="3553"/>
      <c r="I6" s="3552" t="s">
        <v>519</v>
      </c>
      <c r="J6" s="3553"/>
      <c r="K6" s="510" t="s">
        <v>520</v>
      </c>
      <c r="L6" s="2130"/>
      <c r="M6" s="2129"/>
      <c r="N6" s="2129"/>
      <c r="O6" s="2131"/>
      <c r="P6" s="3556" t="s">
        <v>521</v>
      </c>
      <c r="Q6" s="3557"/>
      <c r="R6" s="3539" t="s">
        <v>517</v>
      </c>
      <c r="S6" s="3540"/>
      <c r="T6" s="3539" t="s">
        <v>518</v>
      </c>
      <c r="U6" s="3540"/>
      <c r="V6" s="3564" t="s">
        <v>519</v>
      </c>
      <c r="W6" s="3564"/>
      <c r="X6" s="1563"/>
      <c r="Y6" s="3539" t="s">
        <v>521</v>
      </c>
      <c r="Z6" s="3540"/>
      <c r="AA6" s="3534" t="s">
        <v>517</v>
      </c>
      <c r="AB6" s="3535" t="s">
        <v>518</v>
      </c>
      <c r="AC6" s="3534" t="s">
        <v>519</v>
      </c>
    </row>
    <row r="7" spans="1:30" ht="20.25">
      <c r="A7" s="511"/>
      <c r="B7" s="512"/>
      <c r="C7" s="3589" t="s">
        <v>2925</v>
      </c>
      <c r="D7" s="3546"/>
      <c r="E7" s="3589" t="s">
        <v>2926</v>
      </c>
      <c r="F7" s="3546"/>
      <c r="G7" s="3589" t="s">
        <v>2927</v>
      </c>
      <c r="H7" s="3546"/>
      <c r="I7" s="3589" t="s">
        <v>2928</v>
      </c>
      <c r="J7" s="3546"/>
      <c r="K7" s="510"/>
      <c r="L7" s="2130"/>
      <c r="M7" s="2129"/>
      <c r="N7" s="2129"/>
      <c r="O7" s="2131"/>
      <c r="P7" s="3558"/>
      <c r="Q7" s="3559"/>
      <c r="R7" s="3541"/>
      <c r="S7" s="3542"/>
      <c r="T7" s="3541"/>
      <c r="U7" s="3542"/>
      <c r="V7" s="3564"/>
      <c r="W7" s="3564"/>
      <c r="X7" s="1563"/>
      <c r="Y7" s="3541"/>
      <c r="Z7" s="3542"/>
      <c r="AA7" s="3535"/>
      <c r="AB7" s="3535"/>
      <c r="AC7" s="3535"/>
    </row>
    <row r="8" spans="1:30" ht="21" thickBot="1">
      <c r="A8" s="511"/>
      <c r="B8" s="512"/>
      <c r="C8" s="3590" t="s">
        <v>2929</v>
      </c>
      <c r="D8" s="3591"/>
      <c r="E8" s="3590" t="s">
        <v>2929</v>
      </c>
      <c r="F8" s="3591"/>
      <c r="G8" s="3547" t="s">
        <v>2929</v>
      </c>
      <c r="H8" s="3548"/>
      <c r="I8" s="3547" t="s">
        <v>2929</v>
      </c>
      <c r="J8" s="3548"/>
      <c r="K8" s="510" t="s">
        <v>522</v>
      </c>
      <c r="L8" s="2130"/>
      <c r="M8" s="2129"/>
      <c r="N8" s="2129"/>
      <c r="O8" s="2131"/>
      <c r="P8" s="3560"/>
      <c r="Q8" s="3561"/>
      <c r="R8" s="3541"/>
      <c r="S8" s="3542"/>
      <c r="T8" s="3562"/>
      <c r="U8" s="3563"/>
      <c r="V8" s="3564"/>
      <c r="W8" s="3564"/>
      <c r="X8" s="1563"/>
      <c r="Y8" s="3562"/>
      <c r="Z8" s="3563"/>
      <c r="AA8" s="3536"/>
      <c r="AB8" s="3536"/>
      <c r="AC8" s="3536"/>
    </row>
    <row r="9" spans="1:30" s="1216" customFormat="1" ht="21" thickBot="1">
      <c r="A9" s="2909"/>
      <c r="B9" s="2916" t="s">
        <v>523</v>
      </c>
      <c r="C9" s="2908">
        <f>'数据-取费表'!B2</f>
        <v>43388</v>
      </c>
      <c r="D9" s="516">
        <v>100</v>
      </c>
      <c r="E9" s="517"/>
      <c r="F9" s="518">
        <f>SUMIF(72:72,YEAR(E9)&amp;"-"&amp;INT((MONTH(E9)+2)/3),73:73)</f>
        <v>0</v>
      </c>
      <c r="G9" s="519"/>
      <c r="H9" s="516">
        <f>SUMIF(72:72,YEAR(G9)&amp;"-"&amp;INT((MONTH(G9)+2)/3),73:73)</f>
        <v>0</v>
      </c>
      <c r="I9" s="519"/>
      <c r="J9" s="516">
        <f>SUMIF(72:72,YEAR(I9)&amp;"-"&amp;INT((MONTH(I9)+2)/3),73:73)</f>
        <v>0</v>
      </c>
      <c r="K9" s="520"/>
      <c r="L9" s="2132"/>
      <c r="M9" s="2129"/>
      <c r="N9" s="2129"/>
      <c r="O9" s="2133"/>
      <c r="P9" s="3537" t="s">
        <v>524</v>
      </c>
      <c r="Q9" s="3565"/>
      <c r="R9" s="1564" t="s">
        <v>8</v>
      </c>
      <c r="S9" s="1565">
        <f t="shared" ref="S9:S17" si="0">F9</f>
        <v>0</v>
      </c>
      <c r="T9" s="1564" t="s">
        <v>8</v>
      </c>
      <c r="U9" s="1565">
        <f t="shared" ref="U9:U17" si="1">H9</f>
        <v>0</v>
      </c>
      <c r="V9" s="1564" t="s">
        <v>8</v>
      </c>
      <c r="W9" s="1565">
        <f t="shared" ref="W9:W17" si="2">J9</f>
        <v>0</v>
      </c>
      <c r="X9" s="1566"/>
      <c r="Y9" s="3537" t="s">
        <v>524</v>
      </c>
      <c r="Z9" s="3538"/>
      <c r="AA9" s="1567" t="e">
        <f>D9/F9</f>
        <v>#DIV/0!</v>
      </c>
      <c r="AB9" s="1567" t="e">
        <f>D9/H9</f>
        <v>#DIV/0!</v>
      </c>
      <c r="AC9" s="1567" t="e">
        <f>D9/J9</f>
        <v>#DIV/0!</v>
      </c>
    </row>
    <row r="10" spans="1:30" s="1216" customFormat="1" ht="21" thickBot="1">
      <c r="A10" s="2910"/>
      <c r="B10" s="2917" t="s">
        <v>525</v>
      </c>
      <c r="C10" s="852" t="s">
        <v>526</v>
      </c>
      <c r="D10" s="516">
        <v>100</v>
      </c>
      <c r="E10" s="521"/>
      <c r="F10" s="518">
        <f>SUMIF(75:75,E10,76:76)-SUMIF(75:75,C10,76:76)+100</f>
        <v>0</v>
      </c>
      <c r="G10" s="521"/>
      <c r="H10" s="516">
        <f>SUMIF(75:75,G10,76:76)-SUMIF(75:75,C10,76:76)+100</f>
        <v>0</v>
      </c>
      <c r="I10" s="521"/>
      <c r="J10" s="516">
        <f>SUMIF(75:75,I10,76:76)-SUMIF(75:75,C10,76:76)+100</f>
        <v>0</v>
      </c>
      <c r="K10" s="520"/>
      <c r="L10" s="2132"/>
      <c r="M10" s="2129"/>
      <c r="N10" s="2129"/>
      <c r="O10" s="2133"/>
      <c r="P10" s="3537" t="s">
        <v>527</v>
      </c>
      <c r="Q10" s="3538"/>
      <c r="R10" s="1564" t="s">
        <v>8</v>
      </c>
      <c r="S10" s="1565">
        <f t="shared" si="0"/>
        <v>0</v>
      </c>
      <c r="T10" s="1564" t="s">
        <v>8</v>
      </c>
      <c r="U10" s="1565">
        <f t="shared" si="1"/>
        <v>0</v>
      </c>
      <c r="V10" s="1564" t="s">
        <v>8</v>
      </c>
      <c r="W10" s="1565">
        <f t="shared" si="2"/>
        <v>0</v>
      </c>
      <c r="X10" s="1566"/>
      <c r="Y10" s="3537" t="s">
        <v>527</v>
      </c>
      <c r="Z10" s="3538"/>
      <c r="AA10" s="1567" t="e">
        <f t="shared" ref="AA10:AA47" si="3">D10/F10</f>
        <v>#DIV/0!</v>
      </c>
      <c r="AB10" s="1567" t="e">
        <f t="shared" ref="AB10:AB47" si="4">D10/H10</f>
        <v>#DIV/0!</v>
      </c>
      <c r="AC10" s="1567" t="e">
        <f t="shared" ref="AC10:AC47" si="5">D10/J10</f>
        <v>#DIV/0!</v>
      </c>
    </row>
    <row r="11" spans="1:30" s="1216" customFormat="1" ht="20.25">
      <c r="A11" s="2911"/>
      <c r="B11" s="2918" t="s">
        <v>2751</v>
      </c>
      <c r="C11" s="2905"/>
      <c r="D11" s="253">
        <v>100</v>
      </c>
      <c r="E11" s="522"/>
      <c r="F11" s="253">
        <f>SUMIF(77:77,E11,78:78)-SUMIF(77:77,C11,78:78)+100</f>
        <v>100</v>
      </c>
      <c r="G11" s="522"/>
      <c r="H11" s="253">
        <f>SUMIF(77:77,G11,78:78)-SUMIF(77:77,C11,78:78)+100</f>
        <v>100</v>
      </c>
      <c r="I11" s="522"/>
      <c r="J11" s="253">
        <f>SUMIF(77:77,I11,78:78)-SUMIF(77:77,C11,78:78)+100</f>
        <v>100</v>
      </c>
      <c r="K11" s="520"/>
      <c r="L11" s="2132"/>
      <c r="M11" s="2129"/>
      <c r="N11" s="2129"/>
      <c r="O11" s="2134"/>
      <c r="P11" s="3551" t="s">
        <v>529</v>
      </c>
      <c r="Q11" s="1147" t="str">
        <f t="shared" ref="Q11:Q17" si="6">B11</f>
        <v>用途</v>
      </c>
      <c r="R11" s="1564" t="s">
        <v>8</v>
      </c>
      <c r="S11" s="1565">
        <f t="shared" si="0"/>
        <v>100</v>
      </c>
      <c r="T11" s="1564" t="s">
        <v>8</v>
      </c>
      <c r="U11" s="1565">
        <f t="shared" si="1"/>
        <v>100</v>
      </c>
      <c r="V11" s="1564" t="s">
        <v>8</v>
      </c>
      <c r="W11" s="1565">
        <f t="shared" si="2"/>
        <v>100</v>
      </c>
      <c r="X11" s="1566"/>
      <c r="Y11" s="3489" t="s">
        <v>530</v>
      </c>
      <c r="Z11" s="1146" t="str">
        <f t="shared" ref="Z11:Z17" si="7">Q11</f>
        <v>用途</v>
      </c>
      <c r="AA11" s="1567">
        <f t="shared" si="3"/>
        <v>1</v>
      </c>
      <c r="AB11" s="1567">
        <f t="shared" si="4"/>
        <v>1</v>
      </c>
      <c r="AC11" s="1567">
        <f t="shared" si="5"/>
        <v>1</v>
      </c>
    </row>
    <row r="12" spans="1:30" s="1334" customFormat="1" ht="27">
      <c r="A12" s="2912"/>
      <c r="B12" s="2917" t="s">
        <v>2752</v>
      </c>
      <c r="C12" s="906"/>
      <c r="D12" s="254">
        <v>100</v>
      </c>
      <c r="E12" s="525"/>
      <c r="F12" s="254">
        <f>ROUND(100/'数据-取费表'!G16,0)</f>
        <v>100</v>
      </c>
      <c r="G12" s="526"/>
      <c r="H12" s="254">
        <f>ROUND(100/'数据-取费表'!G16,0)</f>
        <v>100</v>
      </c>
      <c r="I12" s="526"/>
      <c r="J12" s="254">
        <f>ROUND(100/'数据-取费表'!G16,0)</f>
        <v>100</v>
      </c>
      <c r="K12" s="527"/>
      <c r="L12" s="2135"/>
      <c r="M12" s="2129"/>
      <c r="N12" s="2129"/>
      <c r="O12" s="2136"/>
      <c r="P12" s="3551"/>
      <c r="Q12" s="1147" t="str">
        <f t="shared" si="6"/>
        <v>土地使用年限（年）</v>
      </c>
      <c r="R12" s="1564" t="s">
        <v>8</v>
      </c>
      <c r="S12" s="1565">
        <f t="shared" si="0"/>
        <v>100</v>
      </c>
      <c r="T12" s="1564" t="s">
        <v>8</v>
      </c>
      <c r="U12" s="1565">
        <f t="shared" si="1"/>
        <v>100</v>
      </c>
      <c r="V12" s="1564" t="s">
        <v>8</v>
      </c>
      <c r="W12" s="1565">
        <f t="shared" si="2"/>
        <v>100</v>
      </c>
      <c r="X12" s="1566"/>
      <c r="Y12" s="3489"/>
      <c r="Z12" s="1146" t="str">
        <f t="shared" si="7"/>
        <v>土地使用年限（年）</v>
      </c>
      <c r="AA12" s="1567">
        <f t="shared" si="3"/>
        <v>1</v>
      </c>
      <c r="AB12" s="1567">
        <f t="shared" si="4"/>
        <v>1</v>
      </c>
      <c r="AC12" s="1567">
        <f t="shared" si="5"/>
        <v>1</v>
      </c>
    </row>
    <row r="13" spans="1:30" ht="20.25">
      <c r="A13" s="2913"/>
      <c r="B13" s="2917" t="s">
        <v>2753</v>
      </c>
      <c r="C13" s="530"/>
      <c r="D13" s="254">
        <v>100</v>
      </c>
      <c r="E13" s="529"/>
      <c r="F13" s="254" t="e">
        <f>LOOKUP(E13,82:82,83:83)-LOOKUP(C13,82:82,83:83)+100</f>
        <v>#N/A</v>
      </c>
      <c r="G13" s="530"/>
      <c r="H13" s="254" t="e">
        <f>LOOKUP(G13,82:82,83:83)-LOOKUP(C13,82:82,83:83)+100</f>
        <v>#N/A</v>
      </c>
      <c r="I13" s="529"/>
      <c r="J13" s="254" t="e">
        <f>LOOKUP(I13,82:82,83:83)-LOOKUP(C13,82:82,83:83)+100</f>
        <v>#N/A</v>
      </c>
      <c r="K13" s="531"/>
      <c r="L13" s="2137"/>
      <c r="M13" s="2129"/>
      <c r="N13" s="2129"/>
      <c r="O13" s="2138"/>
      <c r="P13" s="3551"/>
      <c r="Q13" s="1147" t="str">
        <f t="shared" si="6"/>
        <v>容积率</v>
      </c>
      <c r="R13" s="1564" t="s">
        <v>8</v>
      </c>
      <c r="S13" s="1565" t="e">
        <f t="shared" si="0"/>
        <v>#N/A</v>
      </c>
      <c r="T13" s="1564" t="s">
        <v>8</v>
      </c>
      <c r="U13" s="1565" t="e">
        <f t="shared" si="1"/>
        <v>#N/A</v>
      </c>
      <c r="V13" s="1564" t="s">
        <v>8</v>
      </c>
      <c r="W13" s="1565" t="e">
        <f t="shared" si="2"/>
        <v>#N/A</v>
      </c>
      <c r="X13" s="1566"/>
      <c r="Y13" s="3489"/>
      <c r="Z13" s="1146" t="str">
        <f t="shared" si="7"/>
        <v>容积率</v>
      </c>
      <c r="AA13" s="1567" t="e">
        <f t="shared" si="3"/>
        <v>#N/A</v>
      </c>
      <c r="AB13" s="1567" t="e">
        <f t="shared" si="4"/>
        <v>#N/A</v>
      </c>
      <c r="AC13" s="1567" t="e">
        <f t="shared" si="5"/>
        <v>#N/A</v>
      </c>
    </row>
    <row r="14" spans="1:30" s="1216" customFormat="1" ht="20.25">
      <c r="A14" s="2910"/>
      <c r="B14" s="2919" t="s">
        <v>2754</v>
      </c>
      <c r="C14" s="2906"/>
      <c r="D14" s="534">
        <v>100</v>
      </c>
      <c r="E14" s="1370"/>
      <c r="F14" s="254">
        <f>SUMIF(84:84,E14,85:85)-SUMIF(84:84,C14,85:85)+100</f>
        <v>100</v>
      </c>
      <c r="G14" s="526"/>
      <c r="H14" s="254">
        <f>SUMIF(84:84,G14,85:85)-SUMIF(84:84,C14,85:85)+100</f>
        <v>100</v>
      </c>
      <c r="I14" s="525"/>
      <c r="J14" s="254">
        <f>SUMIF(84:84,I14,85:85)-SUMIF(84:84,C14,85:85)+100</f>
        <v>100</v>
      </c>
      <c r="K14" s="527"/>
      <c r="L14" s="2132"/>
      <c r="M14" s="2129"/>
      <c r="N14" s="2129"/>
      <c r="O14" s="2134"/>
      <c r="P14" s="3551"/>
      <c r="Q14" s="1147" t="str">
        <f t="shared" si="6"/>
        <v>配建</v>
      </c>
      <c r="R14" s="1564" t="s">
        <v>8</v>
      </c>
      <c r="S14" s="1565">
        <f t="shared" si="0"/>
        <v>100</v>
      </c>
      <c r="T14" s="1564" t="s">
        <v>8</v>
      </c>
      <c r="U14" s="1565">
        <f t="shared" si="1"/>
        <v>100</v>
      </c>
      <c r="V14" s="1564" t="s">
        <v>8</v>
      </c>
      <c r="W14" s="1565">
        <f t="shared" si="2"/>
        <v>100</v>
      </c>
      <c r="X14" s="1566"/>
      <c r="Y14" s="3489"/>
      <c r="Z14" s="1146" t="str">
        <f t="shared" si="7"/>
        <v>配建</v>
      </c>
      <c r="AA14" s="1567">
        <f>D14/F14</f>
        <v>1</v>
      </c>
      <c r="AB14" s="1567">
        <f>D14/H14</f>
        <v>1</v>
      </c>
      <c r="AC14" s="1567">
        <f>D14/J14</f>
        <v>1</v>
      </c>
    </row>
    <row r="15" spans="1:30" ht="20.25">
      <c r="A15" s="2914"/>
      <c r="B15" s="2920">
        <v>111</v>
      </c>
      <c r="C15" s="908"/>
      <c r="D15" s="536">
        <v>100</v>
      </c>
      <c r="E15" s="537"/>
      <c r="F15" s="254">
        <f>SUMIF(86:86,E15,87:87)-SUMIF(86:86,C15,87:87)+100</f>
        <v>100</v>
      </c>
      <c r="G15" s="538"/>
      <c r="H15" s="536">
        <f>SUMIF(86:86,G15,87:87)-SUMIF(86:86,C15,87:87)+100</f>
        <v>100</v>
      </c>
      <c r="I15" s="538"/>
      <c r="J15" s="536">
        <f>SUMIF(86:86,I15,87:87)-SUMIF(86:86,C15,87:87)+100</f>
        <v>100</v>
      </c>
      <c r="K15" s="527"/>
      <c r="L15" s="2139"/>
      <c r="M15" s="2129"/>
      <c r="N15" s="2129"/>
      <c r="O15" s="2138"/>
      <c r="P15" s="3551"/>
      <c r="Q15" s="1147">
        <f t="shared" si="6"/>
        <v>111</v>
      </c>
      <c r="R15" s="1564" t="s">
        <v>8</v>
      </c>
      <c r="S15" s="1565">
        <f t="shared" si="0"/>
        <v>100</v>
      </c>
      <c r="T15" s="1564" t="s">
        <v>8</v>
      </c>
      <c r="U15" s="1565">
        <f t="shared" si="1"/>
        <v>100</v>
      </c>
      <c r="V15" s="1564" t="s">
        <v>8</v>
      </c>
      <c r="W15" s="1565">
        <f t="shared" si="2"/>
        <v>100</v>
      </c>
      <c r="X15" s="1566"/>
      <c r="Y15" s="3489"/>
      <c r="Z15" s="1146">
        <f t="shared" si="7"/>
        <v>111</v>
      </c>
      <c r="AA15" s="1567">
        <f>D15/F15</f>
        <v>1</v>
      </c>
      <c r="AB15" s="1567">
        <f>D15/H15</f>
        <v>1</v>
      </c>
      <c r="AC15" s="1567">
        <f>D15/J15</f>
        <v>1</v>
      </c>
    </row>
    <row r="16" spans="1:30" ht="21" thickBot="1">
      <c r="A16" s="2915"/>
      <c r="B16" s="2921">
        <v>111</v>
      </c>
      <c r="C16" s="911"/>
      <c r="D16" s="542">
        <v>100</v>
      </c>
      <c r="E16" s="537"/>
      <c r="F16" s="542">
        <f>SUMIF(88:88,E16,89:89)-SUMIF(88:88,C16,89:89)+100</f>
        <v>100</v>
      </c>
      <c r="G16" s="538"/>
      <c r="H16" s="542">
        <f>SUMIF(88:88,G16,89:89)-SUMIF(88:88,C16,89:89)+100</f>
        <v>100</v>
      </c>
      <c r="I16" s="538"/>
      <c r="J16" s="542">
        <f>SUMIF(88:88,I16,89:89)-SUMIF(88:88,C16,89:89)+100</f>
        <v>100</v>
      </c>
      <c r="K16" s="527"/>
      <c r="L16" s="2139"/>
      <c r="M16" s="2129"/>
      <c r="N16" s="2129"/>
      <c r="O16" s="2138"/>
      <c r="P16" s="3551"/>
      <c r="Q16" s="1147">
        <f t="shared" si="6"/>
        <v>111</v>
      </c>
      <c r="R16" s="1564" t="s">
        <v>8</v>
      </c>
      <c r="S16" s="1565">
        <f t="shared" si="0"/>
        <v>100</v>
      </c>
      <c r="T16" s="1564" t="s">
        <v>8</v>
      </c>
      <c r="U16" s="1565">
        <f t="shared" si="1"/>
        <v>100</v>
      </c>
      <c r="V16" s="1564" t="s">
        <v>8</v>
      </c>
      <c r="W16" s="1565">
        <f t="shared" si="2"/>
        <v>100</v>
      </c>
      <c r="X16" s="1566"/>
      <c r="Y16" s="3489"/>
      <c r="Z16" s="1146">
        <f t="shared" si="7"/>
        <v>111</v>
      </c>
      <c r="AA16" s="1567">
        <f>D16/F16</f>
        <v>1</v>
      </c>
      <c r="AB16" s="1567">
        <f>D16/H16</f>
        <v>1</v>
      </c>
      <c r="AC16" s="1567">
        <f>D16/J16</f>
        <v>1</v>
      </c>
    </row>
    <row r="17" spans="1:29" ht="99.75">
      <c r="A17" s="2907" t="s">
        <v>2749</v>
      </c>
      <c r="B17" s="574" t="s">
        <v>289</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39"/>
      <c r="M17" s="2129"/>
      <c r="N17" s="2129"/>
      <c r="O17" s="2138"/>
      <c r="P17" s="3570" t="s">
        <v>534</v>
      </c>
      <c r="Q17" s="1568" t="str">
        <f t="shared" si="6"/>
        <v>居住社区成熟度</v>
      </c>
      <c r="R17" s="1569" t="s">
        <v>8</v>
      </c>
      <c r="S17" s="1570">
        <f t="shared" si="0"/>
        <v>100</v>
      </c>
      <c r="T17" s="1569" t="s">
        <v>8</v>
      </c>
      <c r="U17" s="1570">
        <f t="shared" si="1"/>
        <v>100</v>
      </c>
      <c r="V17" s="1569" t="s">
        <v>8</v>
      </c>
      <c r="W17" s="1570">
        <f t="shared" si="2"/>
        <v>100</v>
      </c>
      <c r="X17" s="1563"/>
      <c r="Y17" s="3570" t="s">
        <v>534</v>
      </c>
      <c r="Z17" s="1571" t="str">
        <f t="shared" si="7"/>
        <v>居住社区成熟度</v>
      </c>
      <c r="AA17" s="1572">
        <f t="shared" si="3"/>
        <v>1</v>
      </c>
      <c r="AB17" s="1572">
        <f t="shared" si="4"/>
        <v>1</v>
      </c>
      <c r="AC17" s="1572">
        <f t="shared" si="5"/>
        <v>1</v>
      </c>
    </row>
    <row r="18" spans="1:29" ht="20.25">
      <c r="A18" s="528"/>
      <c r="B18" s="549"/>
      <c r="C18" s="550"/>
      <c r="D18" s="553"/>
      <c r="E18" s="554"/>
      <c r="F18" s="551"/>
      <c r="G18" s="552"/>
      <c r="H18" s="555"/>
      <c r="I18" s="554"/>
      <c r="J18" s="551"/>
      <c r="K18" s="527"/>
      <c r="L18" s="2139"/>
      <c r="M18" s="2129"/>
      <c r="N18" s="2129"/>
      <c r="O18" s="2138"/>
      <c r="P18" s="3571"/>
      <c r="Q18" s="1568"/>
      <c r="R18" s="1569"/>
      <c r="S18" s="1570"/>
      <c r="T18" s="1569"/>
      <c r="U18" s="1570"/>
      <c r="V18" s="1569"/>
      <c r="W18" s="1570"/>
      <c r="X18" s="1563"/>
      <c r="Y18" s="3571"/>
      <c r="Z18" s="1571"/>
      <c r="AA18" s="1572">
        <v>1</v>
      </c>
      <c r="AB18" s="1572">
        <v>1</v>
      </c>
      <c r="AC18" s="1572">
        <v>1</v>
      </c>
    </row>
    <row r="19" spans="1:29" ht="71.25">
      <c r="A19" s="528"/>
      <c r="B19" s="556" t="s">
        <v>535</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9"/>
      <c r="M19" s="2129"/>
      <c r="N19" s="2129"/>
      <c r="O19" s="2138"/>
      <c r="P19" s="3571"/>
      <c r="Q19" s="1568" t="str">
        <f>B19</f>
        <v>商业繁华度</v>
      </c>
      <c r="R19" s="1569" t="s">
        <v>8</v>
      </c>
      <c r="S19" s="1570">
        <f>F19</f>
        <v>100</v>
      </c>
      <c r="T19" s="1569" t="s">
        <v>8</v>
      </c>
      <c r="U19" s="1570">
        <f>H19</f>
        <v>100</v>
      </c>
      <c r="V19" s="1569" t="s">
        <v>8</v>
      </c>
      <c r="W19" s="1570">
        <f>J19</f>
        <v>100</v>
      </c>
      <c r="X19" s="1563"/>
      <c r="Y19" s="3571"/>
      <c r="Z19" s="1571" t="str">
        <f>Q19</f>
        <v>商业繁华度</v>
      </c>
      <c r="AA19" s="1572">
        <f t="shared" si="3"/>
        <v>1</v>
      </c>
      <c r="AB19" s="1572">
        <f t="shared" si="4"/>
        <v>1</v>
      </c>
      <c r="AC19" s="1572">
        <f t="shared" si="5"/>
        <v>1</v>
      </c>
    </row>
    <row r="20" spans="1:29" ht="20.25">
      <c r="A20" s="528"/>
      <c r="B20" s="562"/>
      <c r="C20" s="563"/>
      <c r="D20" s="559"/>
      <c r="E20" s="565"/>
      <c r="F20" s="555"/>
      <c r="G20" s="564"/>
      <c r="H20" s="551"/>
      <c r="I20" s="565"/>
      <c r="J20" s="551"/>
      <c r="K20" s="527"/>
      <c r="L20" s="2139"/>
      <c r="M20" s="2129"/>
      <c r="N20" s="2129"/>
      <c r="O20" s="2138"/>
      <c r="P20" s="3571"/>
      <c r="Q20" s="1568"/>
      <c r="R20" s="1569"/>
      <c r="S20" s="1570"/>
      <c r="T20" s="1569"/>
      <c r="U20" s="1570"/>
      <c r="V20" s="1569"/>
      <c r="W20" s="1570"/>
      <c r="X20" s="1563"/>
      <c r="Y20" s="3571"/>
      <c r="Z20" s="1571"/>
      <c r="AA20" s="1572">
        <v>1</v>
      </c>
      <c r="AB20" s="1572">
        <v>1</v>
      </c>
      <c r="AC20" s="1572">
        <v>1</v>
      </c>
    </row>
    <row r="21" spans="1:29" ht="71.25">
      <c r="A21" s="528"/>
      <c r="B21" s="556" t="s">
        <v>536</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9"/>
      <c r="M21" s="2129"/>
      <c r="N21" s="2129"/>
      <c r="O21" s="2138"/>
      <c r="P21" s="3571"/>
      <c r="Q21" s="1568" t="str">
        <f>B21</f>
        <v>办公集聚程度</v>
      </c>
      <c r="R21" s="1569" t="s">
        <v>8</v>
      </c>
      <c r="S21" s="1570">
        <f>F21</f>
        <v>100</v>
      </c>
      <c r="T21" s="1569" t="s">
        <v>8</v>
      </c>
      <c r="U21" s="1570">
        <f>H21</f>
        <v>100</v>
      </c>
      <c r="V21" s="1569" t="s">
        <v>8</v>
      </c>
      <c r="W21" s="1570">
        <f>J21</f>
        <v>100</v>
      </c>
      <c r="X21" s="1563"/>
      <c r="Y21" s="3571"/>
      <c r="Z21" s="1571" t="str">
        <f>Q21</f>
        <v>办公集聚程度</v>
      </c>
      <c r="AA21" s="1572">
        <f t="shared" si="3"/>
        <v>1</v>
      </c>
      <c r="AB21" s="1572">
        <f t="shared" si="4"/>
        <v>1</v>
      </c>
      <c r="AC21" s="1572">
        <f t="shared" si="5"/>
        <v>1</v>
      </c>
    </row>
    <row r="22" spans="1:29" ht="20.25">
      <c r="A22" s="528"/>
      <c r="B22" s="562"/>
      <c r="C22" s="550"/>
      <c r="D22" s="553"/>
      <c r="E22" s="554"/>
      <c r="F22" s="551"/>
      <c r="G22" s="552"/>
      <c r="H22" s="551"/>
      <c r="I22" s="554"/>
      <c r="J22" s="551"/>
      <c r="K22" s="527"/>
      <c r="L22" s="2139"/>
      <c r="M22" s="2129"/>
      <c r="N22" s="2129"/>
      <c r="O22" s="2138"/>
      <c r="P22" s="3571"/>
      <c r="Q22" s="1568"/>
      <c r="R22" s="1569"/>
      <c r="S22" s="1570"/>
      <c r="T22" s="1569"/>
      <c r="U22" s="1570"/>
      <c r="V22" s="1569"/>
      <c r="W22" s="1570"/>
      <c r="X22" s="1563"/>
      <c r="Y22" s="3571"/>
      <c r="Z22" s="1571"/>
      <c r="AA22" s="1572">
        <v>1</v>
      </c>
      <c r="AB22" s="1572">
        <v>1</v>
      </c>
      <c r="AC22" s="1572">
        <v>1</v>
      </c>
    </row>
    <row r="23" spans="1:29" ht="85.5">
      <c r="A23" s="528"/>
      <c r="B23" s="556" t="s">
        <v>537</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9"/>
      <c r="M23" s="2129"/>
      <c r="N23" s="2129"/>
      <c r="O23" s="2138"/>
      <c r="P23" s="3571"/>
      <c r="Q23" s="1568" t="str">
        <f>B23</f>
        <v>交通便捷度</v>
      </c>
      <c r="R23" s="1569" t="s">
        <v>8</v>
      </c>
      <c r="S23" s="1570">
        <f>F23</f>
        <v>100</v>
      </c>
      <c r="T23" s="1569" t="s">
        <v>8</v>
      </c>
      <c r="U23" s="1570">
        <f>H23</f>
        <v>100</v>
      </c>
      <c r="V23" s="1569" t="s">
        <v>8</v>
      </c>
      <c r="W23" s="1570">
        <f>J23</f>
        <v>100</v>
      </c>
      <c r="X23" s="1563"/>
      <c r="Y23" s="3571"/>
      <c r="Z23" s="1571" t="str">
        <f>Q23</f>
        <v>交通便捷度</v>
      </c>
      <c r="AA23" s="1572">
        <f t="shared" si="3"/>
        <v>1</v>
      </c>
      <c r="AB23" s="1572">
        <f t="shared" si="4"/>
        <v>1</v>
      </c>
      <c r="AC23" s="1572">
        <f t="shared" si="5"/>
        <v>1</v>
      </c>
    </row>
    <row r="24" spans="1:29" ht="20.25">
      <c r="A24" s="528"/>
      <c r="B24" s="574"/>
      <c r="C24" s="550"/>
      <c r="D24" s="553"/>
      <c r="E24" s="554"/>
      <c r="F24" s="551"/>
      <c r="G24" s="552"/>
      <c r="H24" s="551"/>
      <c r="I24" s="554"/>
      <c r="J24" s="551"/>
      <c r="K24" s="527"/>
      <c r="L24" s="2139"/>
      <c r="M24" s="2129"/>
      <c r="N24" s="2129"/>
      <c r="O24" s="2138"/>
      <c r="P24" s="3571"/>
      <c r="Q24" s="1568"/>
      <c r="R24" s="1569"/>
      <c r="S24" s="1570"/>
      <c r="T24" s="1569"/>
      <c r="U24" s="1570"/>
      <c r="V24" s="1569"/>
      <c r="W24" s="1570"/>
      <c r="X24" s="1563"/>
      <c r="Y24" s="3571"/>
      <c r="Z24" s="1571"/>
      <c r="AA24" s="1572">
        <v>1</v>
      </c>
      <c r="AB24" s="1572">
        <v>1</v>
      </c>
      <c r="AC24" s="1572">
        <v>1</v>
      </c>
    </row>
    <row r="25" spans="1:29" ht="27">
      <c r="A25" s="511"/>
      <c r="B25" s="258" t="s">
        <v>538</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9"/>
      <c r="M25" s="2129"/>
      <c r="N25" s="2129"/>
      <c r="O25" s="2138"/>
      <c r="P25" s="3571"/>
      <c r="Q25" s="1568" t="str">
        <f t="shared" ref="Q25:Q39" si="8">B25</f>
        <v>区域土地利用方向</v>
      </c>
      <c r="R25" s="1569" t="s">
        <v>8</v>
      </c>
      <c r="S25" s="1570">
        <f>F25</f>
        <v>100</v>
      </c>
      <c r="T25" s="1569" t="s">
        <v>8</v>
      </c>
      <c r="U25" s="1570">
        <f>H25</f>
        <v>100</v>
      </c>
      <c r="V25" s="1569" t="s">
        <v>8</v>
      </c>
      <c r="W25" s="1570">
        <f>J25</f>
        <v>100</v>
      </c>
      <c r="X25" s="1563"/>
      <c r="Y25" s="3571"/>
      <c r="Z25" s="1571" t="str">
        <f>Q25</f>
        <v>区域土地利用方向</v>
      </c>
      <c r="AA25" s="1572">
        <f t="shared" si="3"/>
        <v>1</v>
      </c>
      <c r="AB25" s="1572">
        <f t="shared" si="4"/>
        <v>1</v>
      </c>
      <c r="AC25" s="1572">
        <f t="shared" si="5"/>
        <v>1</v>
      </c>
    </row>
    <row r="26" spans="1:29" ht="20.25">
      <c r="A26" s="511"/>
      <c r="B26" s="1003"/>
      <c r="C26" s="550"/>
      <c r="D26" s="553"/>
      <c r="E26" s="554"/>
      <c r="F26" s="551"/>
      <c r="G26" s="552"/>
      <c r="H26" s="551"/>
      <c r="I26" s="554"/>
      <c r="J26" s="551"/>
      <c r="K26" s="527"/>
      <c r="L26" s="2139"/>
      <c r="M26" s="2129"/>
      <c r="N26" s="2129"/>
      <c r="O26" s="2138"/>
      <c r="P26" s="3571"/>
      <c r="Q26" s="1568"/>
      <c r="R26" s="1569"/>
      <c r="S26" s="1570"/>
      <c r="T26" s="1569"/>
      <c r="U26" s="1570"/>
      <c r="V26" s="1569"/>
      <c r="W26" s="1570"/>
      <c r="X26" s="1563"/>
      <c r="Y26" s="3571"/>
      <c r="Z26" s="1571"/>
      <c r="AA26" s="1572"/>
      <c r="AB26" s="1572"/>
      <c r="AC26" s="1572"/>
    </row>
    <row r="27" spans="1:29" ht="57">
      <c r="A27" s="511"/>
      <c r="B27" s="574" t="s">
        <v>539</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9"/>
      <c r="M27" s="2129"/>
      <c r="N27" s="2129"/>
      <c r="O27" s="2138"/>
      <c r="P27" s="3571"/>
      <c r="Q27" s="1568" t="str">
        <f t="shared" si="8"/>
        <v>自然及人文环境状况</v>
      </c>
      <c r="R27" s="1569" t="s">
        <v>8</v>
      </c>
      <c r="S27" s="1570">
        <f>F27</f>
        <v>100</v>
      </c>
      <c r="T27" s="1569" t="s">
        <v>8</v>
      </c>
      <c r="U27" s="1570">
        <f>H27</f>
        <v>100</v>
      </c>
      <c r="V27" s="1569" t="s">
        <v>8</v>
      </c>
      <c r="W27" s="1570">
        <f>J27</f>
        <v>100</v>
      </c>
      <c r="X27" s="1563"/>
      <c r="Y27" s="3571"/>
      <c r="Z27" s="1571" t="str">
        <f>Q27</f>
        <v>自然及人文环境状况</v>
      </c>
      <c r="AA27" s="1572">
        <f t="shared" si="3"/>
        <v>1</v>
      </c>
      <c r="AB27" s="1572">
        <f t="shared" si="4"/>
        <v>1</v>
      </c>
      <c r="AC27" s="1572">
        <f t="shared" si="5"/>
        <v>1</v>
      </c>
    </row>
    <row r="28" spans="1:29" ht="20.25">
      <c r="A28" s="511"/>
      <c r="B28" s="562"/>
      <c r="C28" s="550"/>
      <c r="D28" s="553"/>
      <c r="E28" s="572"/>
      <c r="F28" s="551"/>
      <c r="G28" s="550"/>
      <c r="H28" s="551"/>
      <c r="I28" s="572"/>
      <c r="J28" s="551"/>
      <c r="K28" s="527"/>
      <c r="L28" s="2139"/>
      <c r="M28" s="2129"/>
      <c r="N28" s="2129"/>
      <c r="O28" s="2138"/>
      <c r="P28" s="3571"/>
      <c r="Q28" s="1568"/>
      <c r="R28" s="1569"/>
      <c r="S28" s="1570"/>
      <c r="T28" s="1569"/>
      <c r="U28" s="1570"/>
      <c r="V28" s="1569"/>
      <c r="W28" s="1570"/>
      <c r="X28" s="1563"/>
      <c r="Y28" s="3571"/>
      <c r="Z28" s="1571"/>
      <c r="AA28" s="1572">
        <v>1</v>
      </c>
      <c r="AB28" s="1572">
        <v>1</v>
      </c>
      <c r="AC28" s="1572">
        <v>1</v>
      </c>
    </row>
    <row r="29" spans="1:29" s="1216" customFormat="1" ht="42.75">
      <c r="A29" s="573"/>
      <c r="B29" s="2588" t="s">
        <v>2543</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32"/>
      <c r="M29" s="2129"/>
      <c r="N29" s="2129"/>
      <c r="O29" s="2134"/>
      <c r="P29" s="3571"/>
      <c r="Q29" s="1147" t="str">
        <f t="shared" si="8"/>
        <v>公共配套设施</v>
      </c>
      <c r="R29" s="1564" t="s">
        <v>8</v>
      </c>
      <c r="S29" s="1565">
        <f>F29</f>
        <v>100</v>
      </c>
      <c r="T29" s="1564" t="s">
        <v>8</v>
      </c>
      <c r="U29" s="1565">
        <f>H29</f>
        <v>100</v>
      </c>
      <c r="V29" s="1564" t="s">
        <v>8</v>
      </c>
      <c r="W29" s="1565">
        <f>J29</f>
        <v>100</v>
      </c>
      <c r="X29" s="1566"/>
      <c r="Y29" s="3571"/>
      <c r="Z29" s="1146" t="str">
        <f>Q29</f>
        <v>公共配套设施</v>
      </c>
      <c r="AA29" s="1572">
        <f>D29/F29</f>
        <v>1</v>
      </c>
      <c r="AB29" s="1572">
        <f>D29/H29</f>
        <v>1</v>
      </c>
      <c r="AC29" s="1572">
        <f>D29/J29</f>
        <v>1</v>
      </c>
    </row>
    <row r="30" spans="1:29" s="1216" customFormat="1" ht="20.25">
      <c r="A30" s="573"/>
      <c r="B30" s="562"/>
      <c r="C30" s="575"/>
      <c r="D30" s="553"/>
      <c r="E30" s="572"/>
      <c r="F30" s="551"/>
      <c r="G30" s="550"/>
      <c r="H30" s="551"/>
      <c r="I30" s="572"/>
      <c r="J30" s="551"/>
      <c r="K30" s="527"/>
      <c r="L30" s="2132"/>
      <c r="M30" s="2129"/>
      <c r="N30" s="2129"/>
      <c r="O30" s="2134"/>
      <c r="P30" s="3571"/>
      <c r="Q30" s="1147"/>
      <c r="R30" s="1564"/>
      <c r="S30" s="1565"/>
      <c r="T30" s="1564"/>
      <c r="U30" s="1565"/>
      <c r="V30" s="1564"/>
      <c r="W30" s="1565"/>
      <c r="X30" s="1566"/>
      <c r="Y30" s="3571"/>
      <c r="Z30" s="1146"/>
      <c r="AA30" s="1572">
        <v>1</v>
      </c>
      <c r="AB30" s="1572">
        <v>1</v>
      </c>
      <c r="AC30" s="1572">
        <v>1</v>
      </c>
    </row>
    <row r="31" spans="1:29" s="1216" customFormat="1" ht="28.5">
      <c r="A31" s="573"/>
      <c r="B31" s="2588" t="s">
        <v>2544</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32"/>
      <c r="M31" s="2129"/>
      <c r="N31" s="2129"/>
      <c r="O31" s="2134"/>
      <c r="P31" s="3571"/>
      <c r="Q31" s="2575" t="str">
        <f t="shared" ref="Q31" si="9">B31</f>
        <v>基础设施水平</v>
      </c>
      <c r="R31" s="1564" t="s">
        <v>8</v>
      </c>
      <c r="S31" s="1565">
        <f>F31</f>
        <v>100</v>
      </c>
      <c r="T31" s="1564" t="s">
        <v>8</v>
      </c>
      <c r="U31" s="1565">
        <f>H31</f>
        <v>100</v>
      </c>
      <c r="V31" s="1564" t="s">
        <v>8</v>
      </c>
      <c r="W31" s="1565">
        <f>J31</f>
        <v>100</v>
      </c>
      <c r="X31" s="1566"/>
      <c r="Y31" s="3571"/>
      <c r="Z31" s="2572" t="str">
        <f>Q31</f>
        <v>基础设施水平</v>
      </c>
      <c r="AA31" s="1572">
        <f>D31/F31</f>
        <v>1</v>
      </c>
      <c r="AB31" s="1572">
        <f>D31/H31</f>
        <v>1</v>
      </c>
      <c r="AC31" s="1572">
        <f>D31/J31</f>
        <v>1</v>
      </c>
    </row>
    <row r="32" spans="1:29" s="1216" customFormat="1" ht="20.25">
      <c r="A32" s="573"/>
      <c r="B32" s="562"/>
      <c r="C32" s="575"/>
      <c r="D32" s="553"/>
      <c r="E32" s="2589"/>
      <c r="F32" s="551"/>
      <c r="G32" s="575"/>
      <c r="H32" s="551"/>
      <c r="I32" s="575"/>
      <c r="J32" s="551"/>
      <c r="K32" s="527"/>
      <c r="L32" s="2132"/>
      <c r="M32" s="2129"/>
      <c r="N32" s="2129"/>
      <c r="O32" s="2134"/>
      <c r="P32" s="3571"/>
      <c r="Q32" s="2575"/>
      <c r="R32" s="1564"/>
      <c r="S32" s="1565"/>
      <c r="T32" s="1564"/>
      <c r="U32" s="1565"/>
      <c r="V32" s="1564"/>
      <c r="W32" s="1565"/>
      <c r="X32" s="1566"/>
      <c r="Y32" s="3571"/>
      <c r="Z32" s="2572"/>
      <c r="AA32" s="1572">
        <v>1</v>
      </c>
      <c r="AB32" s="1572">
        <v>1</v>
      </c>
      <c r="AC32" s="1572">
        <v>1</v>
      </c>
    </row>
    <row r="33" spans="1:29" ht="20.25">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9"/>
      <c r="M33" s="2129"/>
      <c r="N33" s="2129"/>
      <c r="O33" s="2138"/>
      <c r="P33" s="3571"/>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71"/>
      <c r="Z33" s="1571" t="str">
        <f t="shared" ref="Z33:Z47" si="13">Q33</f>
        <v>临街状况</v>
      </c>
      <c r="AA33" s="1572">
        <f t="shared" si="3"/>
        <v>1</v>
      </c>
      <c r="AB33" s="1572">
        <f t="shared" si="4"/>
        <v>1</v>
      </c>
      <c r="AC33" s="1572">
        <f t="shared" si="5"/>
        <v>1</v>
      </c>
    </row>
    <row r="34" spans="1:29" ht="27">
      <c r="A34" s="528"/>
      <c r="B34" s="574" t="s">
        <v>542</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9"/>
      <c r="M34" s="2129"/>
      <c r="N34" s="2129"/>
      <c r="O34" s="2138"/>
      <c r="P34" s="3571"/>
      <c r="Q34" s="1568" t="str">
        <f t="shared" si="8"/>
        <v>毗邻道路的类型与等级</v>
      </c>
      <c r="R34" s="1569" t="s">
        <v>8</v>
      </c>
      <c r="S34" s="1570">
        <f t="shared" si="10"/>
        <v>100</v>
      </c>
      <c r="T34" s="1569" t="s">
        <v>8</v>
      </c>
      <c r="U34" s="1570">
        <f t="shared" si="11"/>
        <v>100</v>
      </c>
      <c r="V34" s="1569" t="s">
        <v>8</v>
      </c>
      <c r="W34" s="1570">
        <f t="shared" si="12"/>
        <v>100</v>
      </c>
      <c r="X34" s="1563"/>
      <c r="Y34" s="3571"/>
      <c r="Z34" s="1571" t="str">
        <f t="shared" si="13"/>
        <v>毗邻道路的类型与等级</v>
      </c>
      <c r="AA34" s="1572">
        <f t="shared" si="3"/>
        <v>1</v>
      </c>
      <c r="AB34" s="1572">
        <f t="shared" si="4"/>
        <v>1</v>
      </c>
      <c r="AC34" s="1572">
        <f t="shared" si="5"/>
        <v>1</v>
      </c>
    </row>
    <row r="35" spans="1:29" ht="20.25">
      <c r="A35" s="528"/>
      <c r="B35" s="562"/>
      <c r="C35" s="550"/>
      <c r="D35" s="553"/>
      <c r="E35" s="572"/>
      <c r="F35" s="551"/>
      <c r="G35" s="550"/>
      <c r="H35" s="551"/>
      <c r="I35" s="572"/>
      <c r="J35" s="551"/>
      <c r="K35" s="577"/>
      <c r="L35" s="2139"/>
      <c r="M35" s="2129"/>
      <c r="N35" s="2129"/>
      <c r="O35" s="2138"/>
      <c r="P35" s="3571"/>
      <c r="Q35" s="1568"/>
      <c r="R35" s="1569"/>
      <c r="S35" s="1570"/>
      <c r="T35" s="1569"/>
      <c r="U35" s="1570"/>
      <c r="V35" s="1569"/>
      <c r="W35" s="1570"/>
      <c r="X35" s="1563"/>
      <c r="Y35" s="3571"/>
      <c r="Z35" s="1571"/>
      <c r="AA35" s="1572">
        <v>1</v>
      </c>
      <c r="AB35" s="1572">
        <v>1</v>
      </c>
      <c r="AC35" s="1572">
        <v>1</v>
      </c>
    </row>
    <row r="36" spans="1:29" ht="20.25">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9"/>
      <c r="M36" s="2129"/>
      <c r="N36" s="2129"/>
      <c r="O36" s="2138"/>
      <c r="P36" s="3571"/>
      <c r="Q36" s="1568" t="str">
        <f t="shared" si="8"/>
        <v>土地级别</v>
      </c>
      <c r="R36" s="1569" t="s">
        <v>8</v>
      </c>
      <c r="S36" s="1570">
        <f t="shared" si="10"/>
        <v>100</v>
      </c>
      <c r="T36" s="1569" t="s">
        <v>8</v>
      </c>
      <c r="U36" s="1570">
        <f t="shared" si="11"/>
        <v>100</v>
      </c>
      <c r="V36" s="1569" t="s">
        <v>8</v>
      </c>
      <c r="W36" s="1570">
        <f t="shared" si="12"/>
        <v>100</v>
      </c>
      <c r="X36" s="1563"/>
      <c r="Y36" s="3571"/>
      <c r="Z36" s="1571" t="str">
        <f t="shared" si="13"/>
        <v>土地级别</v>
      </c>
      <c r="AA36" s="1572">
        <f t="shared" si="3"/>
        <v>1</v>
      </c>
      <c r="AB36" s="1572">
        <f t="shared" si="4"/>
        <v>1</v>
      </c>
      <c r="AC36" s="1572">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9"/>
      <c r="M37" s="2129"/>
      <c r="N37" s="2129"/>
      <c r="O37" s="2138"/>
      <c r="P37" s="3571"/>
      <c r="Q37" s="1568">
        <f t="shared" si="8"/>
        <v>111</v>
      </c>
      <c r="R37" s="1569" t="s">
        <v>8</v>
      </c>
      <c r="S37" s="1570">
        <f t="shared" si="10"/>
        <v>100</v>
      </c>
      <c r="T37" s="1569" t="s">
        <v>8</v>
      </c>
      <c r="U37" s="1570">
        <f t="shared" si="11"/>
        <v>100</v>
      </c>
      <c r="V37" s="1569" t="s">
        <v>8</v>
      </c>
      <c r="W37" s="1570">
        <f t="shared" si="12"/>
        <v>100</v>
      </c>
      <c r="X37" s="1563"/>
      <c r="Y37" s="3571"/>
      <c r="Z37" s="1571">
        <f t="shared" si="13"/>
        <v>111</v>
      </c>
      <c r="AA37" s="1572">
        <f t="shared" si="3"/>
        <v>1</v>
      </c>
      <c r="AB37" s="1572">
        <f t="shared" si="4"/>
        <v>1</v>
      </c>
      <c r="AC37" s="1572">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9"/>
      <c r="M38" s="2129"/>
      <c r="N38" s="2129"/>
      <c r="O38" s="2138"/>
      <c r="P38" s="3572" t="s">
        <v>544</v>
      </c>
      <c r="Q38" s="1568">
        <f t="shared" si="8"/>
        <v>111</v>
      </c>
      <c r="R38" s="1569" t="s">
        <v>8</v>
      </c>
      <c r="S38" s="1570">
        <f t="shared" si="10"/>
        <v>100</v>
      </c>
      <c r="T38" s="1569" t="s">
        <v>8</v>
      </c>
      <c r="U38" s="1570">
        <f t="shared" si="11"/>
        <v>100</v>
      </c>
      <c r="V38" s="1569" t="s">
        <v>8</v>
      </c>
      <c r="W38" s="1570">
        <f t="shared" si="12"/>
        <v>100</v>
      </c>
      <c r="X38" s="1563"/>
      <c r="Y38" s="3573" t="s">
        <v>544</v>
      </c>
      <c r="Z38" s="1571">
        <f t="shared" si="13"/>
        <v>111</v>
      </c>
      <c r="AA38" s="1572">
        <f t="shared" si="3"/>
        <v>1</v>
      </c>
      <c r="AB38" s="1572">
        <f t="shared" si="4"/>
        <v>1</v>
      </c>
      <c r="AC38" s="1572">
        <f t="shared" si="5"/>
        <v>1</v>
      </c>
    </row>
    <row r="39" spans="1:29" s="1335"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7"/>
      <c r="M39" s="2129"/>
      <c r="N39" s="2129"/>
      <c r="O39" s="2140"/>
      <c r="P39" s="3573"/>
      <c r="Q39" s="1568">
        <f t="shared" si="8"/>
        <v>111</v>
      </c>
      <c r="R39" s="1573" t="s">
        <v>8</v>
      </c>
      <c r="S39" s="1574">
        <f t="shared" si="10"/>
        <v>100</v>
      </c>
      <c r="T39" s="1573" t="s">
        <v>8</v>
      </c>
      <c r="U39" s="1574">
        <f t="shared" si="11"/>
        <v>100</v>
      </c>
      <c r="V39" s="1573" t="s">
        <v>8</v>
      </c>
      <c r="W39" s="1574">
        <f t="shared" si="12"/>
        <v>100</v>
      </c>
      <c r="X39" s="1575"/>
      <c r="Y39" s="3573"/>
      <c r="Z39" s="1576">
        <f t="shared" si="13"/>
        <v>111</v>
      </c>
      <c r="AA39" s="1572">
        <f t="shared" si="3"/>
        <v>1</v>
      </c>
      <c r="AB39" s="1572">
        <f t="shared" si="4"/>
        <v>1</v>
      </c>
      <c r="AC39" s="1572">
        <f t="shared" si="5"/>
        <v>1</v>
      </c>
    </row>
    <row r="40" spans="1:29" ht="20.25">
      <c r="A40" s="2904" t="s">
        <v>2750</v>
      </c>
      <c r="B40" s="591" t="s">
        <v>546</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9"/>
      <c r="M40" s="2129"/>
      <c r="N40" s="2129"/>
      <c r="O40" s="2138"/>
      <c r="P40" s="3573"/>
      <c r="Q40" s="1568" t="str">
        <f>B40</f>
        <v>宗地面积</v>
      </c>
      <c r="R40" s="1569" t="s">
        <v>8</v>
      </c>
      <c r="S40" s="1570" t="e">
        <f t="shared" si="10"/>
        <v>#N/A</v>
      </c>
      <c r="T40" s="1569" t="s">
        <v>8</v>
      </c>
      <c r="U40" s="1570" t="e">
        <f t="shared" si="11"/>
        <v>#N/A</v>
      </c>
      <c r="V40" s="1569" t="s">
        <v>8</v>
      </c>
      <c r="W40" s="1570" t="e">
        <f t="shared" si="12"/>
        <v>#N/A</v>
      </c>
      <c r="X40" s="1563"/>
      <c r="Y40" s="3573"/>
      <c r="Z40" s="1571" t="str">
        <f t="shared" si="13"/>
        <v>宗地面积</v>
      </c>
      <c r="AA40" s="1572" t="e">
        <f t="shared" si="3"/>
        <v>#N/A</v>
      </c>
      <c r="AB40" s="1572" t="e">
        <f t="shared" si="4"/>
        <v>#N/A</v>
      </c>
      <c r="AC40" s="1572" t="e">
        <f t="shared" si="5"/>
        <v>#N/A</v>
      </c>
    </row>
    <row r="41" spans="1:29" ht="20.25">
      <c r="A41" s="590"/>
      <c r="B41" s="523" t="s">
        <v>547</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9"/>
      <c r="M41" s="2129"/>
      <c r="N41" s="2129"/>
      <c r="O41" s="2138"/>
      <c r="P41" s="3573"/>
      <c r="Q41" s="1568" t="str">
        <f t="shared" ref="Q41:Q47" si="14">B41</f>
        <v>宗地形状</v>
      </c>
      <c r="R41" s="1569" t="s">
        <v>8</v>
      </c>
      <c r="S41" s="1570">
        <f t="shared" si="10"/>
        <v>100</v>
      </c>
      <c r="T41" s="1569" t="s">
        <v>8</v>
      </c>
      <c r="U41" s="1570">
        <f t="shared" si="11"/>
        <v>100</v>
      </c>
      <c r="V41" s="1569" t="s">
        <v>8</v>
      </c>
      <c r="W41" s="1570">
        <f t="shared" si="12"/>
        <v>100</v>
      </c>
      <c r="X41" s="1563"/>
      <c r="Y41" s="3573"/>
      <c r="Z41" s="1571" t="str">
        <f t="shared" si="13"/>
        <v>宗地形状</v>
      </c>
      <c r="AA41" s="1572">
        <f t="shared" si="3"/>
        <v>1</v>
      </c>
      <c r="AB41" s="1572">
        <f t="shared" si="4"/>
        <v>1</v>
      </c>
      <c r="AC41" s="1572">
        <f t="shared" si="5"/>
        <v>1</v>
      </c>
    </row>
    <row r="42" spans="1:29" ht="20.25">
      <c r="A42" s="590"/>
      <c r="B42" s="523"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9"/>
      <c r="M42" s="2129"/>
      <c r="N42" s="2129"/>
      <c r="O42" s="2138"/>
      <c r="P42" s="3573"/>
      <c r="Q42" s="1568" t="str">
        <f t="shared" si="14"/>
        <v>临街宽度及深度</v>
      </c>
      <c r="R42" s="1569" t="s">
        <v>8</v>
      </c>
      <c r="S42" s="1570">
        <f t="shared" si="10"/>
        <v>100</v>
      </c>
      <c r="T42" s="1569" t="s">
        <v>8</v>
      </c>
      <c r="U42" s="1570">
        <f t="shared" si="11"/>
        <v>100</v>
      </c>
      <c r="V42" s="1569" t="s">
        <v>8</v>
      </c>
      <c r="W42" s="1570">
        <f t="shared" si="12"/>
        <v>100</v>
      </c>
      <c r="X42" s="1563"/>
      <c r="Y42" s="3573"/>
      <c r="Z42" s="1571" t="str">
        <f t="shared" si="13"/>
        <v>临街宽度及深度</v>
      </c>
      <c r="AA42" s="1572">
        <f t="shared" si="3"/>
        <v>1</v>
      </c>
      <c r="AB42" s="1572">
        <f t="shared" si="4"/>
        <v>1</v>
      </c>
      <c r="AC42" s="1572">
        <f t="shared" si="5"/>
        <v>1</v>
      </c>
    </row>
    <row r="43" spans="1:29" s="1216" customFormat="1" ht="20.25">
      <c r="A43" s="596"/>
      <c r="B43" s="1892" t="s">
        <v>2419</v>
      </c>
      <c r="C43" s="597"/>
      <c r="D43" s="254">
        <v>100</v>
      </c>
      <c r="E43" s="597"/>
      <c r="F43" s="536">
        <f>SUMIF(125:125,E43,126:126)-SUMIF(125:125,C43,126:126)+100</f>
        <v>100</v>
      </c>
      <c r="G43" s="597"/>
      <c r="H43" s="536">
        <f>SUMIF(125:125,G43,126:126)-SUMIF(125:125,C43,126:126)+100</f>
        <v>100</v>
      </c>
      <c r="I43" s="597"/>
      <c r="J43" s="536">
        <f>SUMIF(125:125,I43,126:126)-SUMIF(125:125,C43,126:126)+100</f>
        <v>100</v>
      </c>
      <c r="K43" s="580"/>
      <c r="L43" s="2132"/>
      <c r="M43" s="2129"/>
      <c r="N43" s="2129"/>
      <c r="O43" s="2134"/>
      <c r="P43" s="3573"/>
      <c r="Q43" s="1568" t="str">
        <f t="shared" si="14"/>
        <v>宗地开发程度</v>
      </c>
      <c r="R43" s="1564" t="s">
        <v>8</v>
      </c>
      <c r="S43" s="1565">
        <f t="shared" si="10"/>
        <v>100</v>
      </c>
      <c r="T43" s="1564" t="s">
        <v>8</v>
      </c>
      <c r="U43" s="1565">
        <f t="shared" si="11"/>
        <v>100</v>
      </c>
      <c r="V43" s="1564" t="s">
        <v>8</v>
      </c>
      <c r="W43" s="1565">
        <f t="shared" si="12"/>
        <v>100</v>
      </c>
      <c r="X43" s="1566"/>
      <c r="Y43" s="3573"/>
      <c r="Z43" s="1146" t="str">
        <f t="shared" si="13"/>
        <v>宗地开发程度</v>
      </c>
      <c r="AA43" s="1567">
        <f t="shared" si="3"/>
        <v>1</v>
      </c>
      <c r="AB43" s="1567">
        <f t="shared" si="4"/>
        <v>1</v>
      </c>
      <c r="AC43" s="1567">
        <f t="shared" si="5"/>
        <v>1</v>
      </c>
    </row>
    <row r="44" spans="1:29" ht="20.25">
      <c r="A44" s="590"/>
      <c r="B44" s="523" t="s">
        <v>549</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9"/>
      <c r="M44" s="2129"/>
      <c r="N44" s="2129"/>
      <c r="O44" s="2138"/>
      <c r="P44" s="3573" t="s">
        <v>544</v>
      </c>
      <c r="Q44" s="1568" t="str">
        <f t="shared" si="14"/>
        <v>工程地质条件</v>
      </c>
      <c r="R44" s="1569" t="s">
        <v>8</v>
      </c>
      <c r="S44" s="1570">
        <f t="shared" si="10"/>
        <v>100</v>
      </c>
      <c r="T44" s="1569" t="s">
        <v>8</v>
      </c>
      <c r="U44" s="1570">
        <f t="shared" si="11"/>
        <v>100</v>
      </c>
      <c r="V44" s="1569" t="s">
        <v>8</v>
      </c>
      <c r="W44" s="1570">
        <f t="shared" si="12"/>
        <v>100</v>
      </c>
      <c r="X44" s="1563"/>
      <c r="Y44" s="3573" t="s">
        <v>544</v>
      </c>
      <c r="Z44" s="1571" t="str">
        <f t="shared" si="13"/>
        <v>工程地质条件</v>
      </c>
      <c r="AA44" s="1572">
        <f t="shared" si="3"/>
        <v>1</v>
      </c>
      <c r="AB44" s="1572">
        <f t="shared" si="4"/>
        <v>1</v>
      </c>
      <c r="AC44" s="1572">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9"/>
      <c r="M45" s="2129"/>
      <c r="N45" s="2129"/>
      <c r="O45" s="2138"/>
      <c r="P45" s="3573"/>
      <c r="Q45" s="1568">
        <f t="shared" si="14"/>
        <v>111</v>
      </c>
      <c r="R45" s="1569" t="s">
        <v>8</v>
      </c>
      <c r="S45" s="1570">
        <f t="shared" si="10"/>
        <v>100</v>
      </c>
      <c r="T45" s="1569" t="s">
        <v>8</v>
      </c>
      <c r="U45" s="1570">
        <f t="shared" si="11"/>
        <v>100</v>
      </c>
      <c r="V45" s="1569" t="s">
        <v>8</v>
      </c>
      <c r="W45" s="1570">
        <f t="shared" si="12"/>
        <v>100</v>
      </c>
      <c r="X45" s="1563"/>
      <c r="Y45" s="3573"/>
      <c r="Z45" s="1571">
        <f t="shared" si="13"/>
        <v>111</v>
      </c>
      <c r="AA45" s="1572">
        <f t="shared" si="3"/>
        <v>1</v>
      </c>
      <c r="AB45" s="1572">
        <f t="shared" si="4"/>
        <v>1</v>
      </c>
      <c r="AC45" s="1572">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9"/>
      <c r="M46" s="2129"/>
      <c r="N46" s="2129"/>
      <c r="O46" s="2138"/>
      <c r="P46" s="3573"/>
      <c r="Q46" s="1568">
        <f t="shared" si="14"/>
        <v>111</v>
      </c>
      <c r="R46" s="1569" t="s">
        <v>8</v>
      </c>
      <c r="S46" s="1570">
        <f t="shared" si="10"/>
        <v>100</v>
      </c>
      <c r="T46" s="1569" t="s">
        <v>8</v>
      </c>
      <c r="U46" s="1570">
        <f t="shared" si="11"/>
        <v>100</v>
      </c>
      <c r="V46" s="1569" t="s">
        <v>8</v>
      </c>
      <c r="W46" s="1570">
        <f t="shared" si="12"/>
        <v>100</v>
      </c>
      <c r="X46" s="1563"/>
      <c r="Y46" s="3573"/>
      <c r="Z46" s="1571">
        <f t="shared" si="13"/>
        <v>111</v>
      </c>
      <c r="AA46" s="1572">
        <f t="shared" si="3"/>
        <v>1</v>
      </c>
      <c r="AB46" s="1572">
        <f t="shared" si="4"/>
        <v>1</v>
      </c>
      <c r="AC46" s="1572">
        <f t="shared" si="5"/>
        <v>1</v>
      </c>
    </row>
    <row r="47" spans="1:29" s="1335"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7"/>
      <c r="M47" s="2129"/>
      <c r="N47" s="2129"/>
      <c r="O47" s="2140"/>
      <c r="P47" s="3573"/>
      <c r="Q47" s="1568">
        <f t="shared" si="14"/>
        <v>111</v>
      </c>
      <c r="R47" s="1573" t="s">
        <v>8</v>
      </c>
      <c r="S47" s="1574">
        <f t="shared" si="10"/>
        <v>100</v>
      </c>
      <c r="T47" s="1573" t="s">
        <v>8</v>
      </c>
      <c r="U47" s="1574">
        <f t="shared" si="11"/>
        <v>100</v>
      </c>
      <c r="V47" s="1573" t="s">
        <v>8</v>
      </c>
      <c r="W47" s="1574">
        <f t="shared" si="12"/>
        <v>100</v>
      </c>
      <c r="X47" s="1575"/>
      <c r="Y47" s="3573"/>
      <c r="Z47" s="1576">
        <f t="shared" si="13"/>
        <v>111</v>
      </c>
      <c r="AA47" s="1572">
        <f t="shared" si="3"/>
        <v>1</v>
      </c>
      <c r="AB47" s="1572">
        <f t="shared" si="4"/>
        <v>1</v>
      </c>
      <c r="AC47" s="1572">
        <f t="shared" si="5"/>
        <v>1</v>
      </c>
    </row>
    <row r="48" spans="1:29" ht="20.25">
      <c r="A48" s="603" t="s">
        <v>550</v>
      </c>
      <c r="B48" s="604" t="s">
        <v>2930</v>
      </c>
      <c r="C48" s="605" t="s">
        <v>1</v>
      </c>
      <c r="D48" s="606"/>
      <c r="E48" s="607"/>
      <c r="F48" s="608"/>
      <c r="G48" s="609"/>
      <c r="H48" s="610"/>
      <c r="I48" s="607"/>
      <c r="J48" s="610"/>
      <c r="K48" s="1336"/>
      <c r="L48" s="2141"/>
      <c r="M48" s="2129"/>
      <c r="N48" s="2129"/>
      <c r="O48" s="2142"/>
      <c r="P48" s="3551" t="str">
        <f>A48</f>
        <v>成交单价</v>
      </c>
      <c r="Q48" s="3551"/>
      <c r="R48" s="3564">
        <f>E48</f>
        <v>0</v>
      </c>
      <c r="S48" s="3564"/>
      <c r="T48" s="3564">
        <f>G48</f>
        <v>0</v>
      </c>
      <c r="U48" s="3564"/>
      <c r="V48" s="3564">
        <f>I48</f>
        <v>0</v>
      </c>
      <c r="W48" s="3564"/>
      <c r="X48" s="1555"/>
      <c r="Y48" s="1577"/>
      <c r="Z48" s="1555"/>
      <c r="AA48" s="1555"/>
      <c r="AB48" s="1555"/>
      <c r="AC48" s="1555"/>
    </row>
    <row r="49" spans="1:29" ht="21" thickBot="1">
      <c r="A49" s="611" t="s">
        <v>2688</v>
      </c>
      <c r="B49" s="612"/>
      <c r="C49" s="613" t="e">
        <f>R50</f>
        <v>#DIV/0!</v>
      </c>
      <c r="D49" s="614"/>
      <c r="E49" s="613" t="e">
        <f>R49</f>
        <v>#DIV/0!</v>
      </c>
      <c r="F49" s="615"/>
      <c r="G49" s="616" t="e">
        <f>T49</f>
        <v>#DIV/0!</v>
      </c>
      <c r="H49" s="614"/>
      <c r="I49" s="613" t="e">
        <f>V49</f>
        <v>#DIV/0!</v>
      </c>
      <c r="J49" s="614"/>
      <c r="K49" s="1337"/>
      <c r="L49" s="2141"/>
      <c r="M49" s="2129"/>
      <c r="N49" s="2129"/>
      <c r="O49" s="2142"/>
      <c r="P49" s="3551" t="str">
        <f>A49</f>
        <v>比较价格（元/平方米）</v>
      </c>
      <c r="Q49" s="3551"/>
      <c r="R49" s="3593" t="e">
        <f>ROUND(PRODUCT(R48,AA9:AA47),0)</f>
        <v>#DIV/0!</v>
      </c>
      <c r="S49" s="3593"/>
      <c r="T49" s="3593" t="e">
        <f>ROUND(PRODUCT(T48,AB9:AB47),0)</f>
        <v>#DIV/0!</v>
      </c>
      <c r="U49" s="3593"/>
      <c r="V49" s="3593" t="e">
        <f>ROUND(PRODUCT(V48,AC9:AC47),0)</f>
        <v>#DIV/0!</v>
      </c>
      <c r="W49" s="3593"/>
      <c r="X49" s="1555"/>
      <c r="Y49" s="1555"/>
      <c r="Z49" s="1555"/>
      <c r="AA49" s="1555"/>
      <c r="AB49" s="1555"/>
      <c r="AC49" s="1555"/>
    </row>
    <row r="50" spans="1:29" ht="21" thickBot="1">
      <c r="A50" s="617" t="s">
        <v>2931</v>
      </c>
      <c r="B50" s="618"/>
      <c r="C50" s="619" t="e">
        <f>R50</f>
        <v>#DIV/0!</v>
      </c>
      <c r="D50" s="619"/>
      <c r="E50" s="619"/>
      <c r="F50" s="619"/>
      <c r="G50" s="619"/>
      <c r="H50" s="619"/>
      <c r="I50" s="619"/>
      <c r="J50" s="619"/>
      <c r="K50" s="1338"/>
      <c r="L50" s="2141"/>
      <c r="M50" s="2129"/>
      <c r="N50" s="2129"/>
      <c r="O50" s="2142"/>
      <c r="P50" s="3566" t="str">
        <f>A50</f>
        <v>估价对象XX用房的比较价格（楼面单价，元/平方米）</v>
      </c>
      <c r="Q50" s="3567"/>
      <c r="R50" s="3592" t="e">
        <f>ROUND(AVERAGE(R49:V49),0)</f>
        <v>#DIV/0!</v>
      </c>
      <c r="S50" s="3592"/>
      <c r="T50" s="3592"/>
      <c r="U50" s="3592"/>
      <c r="V50" s="3592"/>
      <c r="W50" s="3592"/>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5" t="s">
        <v>554</v>
      </c>
      <c r="B57" s="626" t="s">
        <v>555</v>
      </c>
      <c r="C57" s="1556" t="s">
        <v>1717</v>
      </c>
      <c r="D57" s="2224" t="s">
        <v>2288</v>
      </c>
      <c r="E57" s="627" t="s">
        <v>556</v>
      </c>
      <c r="F57" s="628" t="s">
        <v>557</v>
      </c>
      <c r="G57" s="3584" t="s">
        <v>2276</v>
      </c>
      <c r="H57" s="3585"/>
      <c r="I57" s="1551" t="s">
        <v>1715</v>
      </c>
      <c r="J57" s="1551">
        <f>项目基本情况!F41</f>
        <v>0</v>
      </c>
      <c r="K57" s="2151" t="s">
        <v>1716</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2.75">
      <c r="A58" s="629" t="s">
        <v>558</v>
      </c>
      <c r="B58" s="630" t="e">
        <f>C50</f>
        <v>#DIV/0!</v>
      </c>
      <c r="C58" s="631">
        <v>1</v>
      </c>
      <c r="D58" s="2225">
        <v>1</v>
      </c>
      <c r="E58" s="631">
        <f>'数据-汇总表'!E8+'数据-汇总表'!E9</f>
        <v>457459</v>
      </c>
      <c r="F58" s="632" t="e">
        <f t="shared" ref="F58:F67" si="15">ROUND(B58*E58/10000,0)</f>
        <v>#DIV/0!</v>
      </c>
      <c r="G58" s="3586"/>
      <c r="H58" s="3587"/>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3" t="s">
        <v>559</v>
      </c>
      <c r="B59" s="634" t="e">
        <f>ROUND($C$50*C59*D59,0)</f>
        <v>#DIV/0!</v>
      </c>
      <c r="C59" s="374">
        <f t="shared" ref="C59:C67" si="16">IF($C$57="北京市系数",I59,J59)</f>
        <v>0.6</v>
      </c>
      <c r="D59" s="2226">
        <v>0.25</v>
      </c>
      <c r="E59" s="635">
        <v>0</v>
      </c>
      <c r="F59" s="632" t="e">
        <f t="shared" si="15"/>
        <v>#DIV/0!</v>
      </c>
      <c r="G59" s="3588" t="s">
        <v>2277</v>
      </c>
      <c r="H59" s="1945" t="str">
        <f>项目基本情况!B43</f>
        <v>九级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3" t="s">
        <v>560</v>
      </c>
      <c r="B60" s="634" t="e">
        <f t="shared" ref="B60:B67" si="17">ROUND($C$50*C60*D60,0)</f>
        <v>#DIV/0!</v>
      </c>
      <c r="C60" s="374">
        <f t="shared" si="16"/>
        <v>0.3</v>
      </c>
      <c r="D60" s="2226">
        <v>0.25</v>
      </c>
      <c r="E60" s="635">
        <v>0</v>
      </c>
      <c r="F60" s="632" t="e">
        <f t="shared" si="15"/>
        <v>#DIV/0!</v>
      </c>
      <c r="G60" s="3588"/>
      <c r="H60" s="1945" t="str">
        <f>项目基本情况!B43</f>
        <v>九级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3" t="s">
        <v>561</v>
      </c>
      <c r="B61" s="634" t="e">
        <f t="shared" si="17"/>
        <v>#DIV/0!</v>
      </c>
      <c r="C61" s="374">
        <f t="shared" si="16"/>
        <v>0.2</v>
      </c>
      <c r="D61" s="2226">
        <v>0.25</v>
      </c>
      <c r="E61" s="635">
        <v>0</v>
      </c>
      <c r="F61" s="632" t="e">
        <f t="shared" si="15"/>
        <v>#DIV/0!</v>
      </c>
      <c r="G61" s="3588"/>
      <c r="H61" s="1945" t="str">
        <f>项目基本情况!B43</f>
        <v>九级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2.75">
      <c r="A62" s="633" t="s">
        <v>562</v>
      </c>
      <c r="B62" s="634" t="e">
        <f t="shared" si="17"/>
        <v>#DIV/0!</v>
      </c>
      <c r="C62" s="374">
        <f t="shared" si="16"/>
        <v>0.2</v>
      </c>
      <c r="D62" s="2226">
        <v>0.25</v>
      </c>
      <c r="E62" s="635">
        <v>0</v>
      </c>
      <c r="F62" s="632" t="e">
        <f t="shared" si="15"/>
        <v>#DIV/0!</v>
      </c>
      <c r="G62" s="3588"/>
      <c r="H62" s="1945" t="str">
        <f>项目基本情况!B43</f>
        <v>九级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2.75">
      <c r="A63" s="2328" t="s">
        <v>2323</v>
      </c>
      <c r="B63" s="634" t="e">
        <f t="shared" si="17"/>
        <v>#DIV/0!</v>
      </c>
      <c r="C63" s="374">
        <f t="shared" si="16"/>
        <v>0.2</v>
      </c>
      <c r="D63" s="2226">
        <v>0.25</v>
      </c>
      <c r="E63" s="637">
        <f>'数据-汇总表'!E11</f>
        <v>0</v>
      </c>
      <c r="F63" s="632" t="e">
        <f t="shared" si="15"/>
        <v>#DIV/0!</v>
      </c>
      <c r="G63" s="1942" t="s">
        <v>2278</v>
      </c>
      <c r="H63" s="1945" t="str">
        <f>项目基本情况!C43</f>
        <v>九级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2.75">
      <c r="A64" s="633" t="s">
        <v>563</v>
      </c>
      <c r="B64" s="634" t="e">
        <f t="shared" si="17"/>
        <v>#DIV/0!</v>
      </c>
      <c r="C64" s="374">
        <f t="shared" si="16"/>
        <v>0.2</v>
      </c>
      <c r="D64" s="2226">
        <v>0.25</v>
      </c>
      <c r="E64" s="637">
        <f>'数据-汇总表'!E12</f>
        <v>32261</v>
      </c>
      <c r="F64" s="632" t="e">
        <f t="shared" si="15"/>
        <v>#DIV/0!</v>
      </c>
      <c r="G64" s="1943" t="s">
        <v>1672</v>
      </c>
      <c r="H64" s="1941" t="str">
        <f>IF(G64="商业",项目基本情况!B43,IF(G64="办公",项目基本情况!C43,IF(G64="住宅",项目基本情况!D43,项目基本情况!E43)))</f>
        <v>九级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2.75">
      <c r="A65" s="633" t="s">
        <v>564</v>
      </c>
      <c r="B65" s="634" t="e">
        <f t="shared" si="17"/>
        <v>#DIV/0!</v>
      </c>
      <c r="C65" s="374">
        <f t="shared" si="16"/>
        <v>0.15</v>
      </c>
      <c r="D65" s="2226">
        <v>0.25</v>
      </c>
      <c r="E65" s="637">
        <f>'数据-汇总表'!E13</f>
        <v>0</v>
      </c>
      <c r="F65" s="632" t="e">
        <f t="shared" si="15"/>
        <v>#DIV/0!</v>
      </c>
      <c r="G65" s="1943" t="s">
        <v>917</v>
      </c>
      <c r="H65" s="1941" t="str">
        <f>IF(G65="商业",项目基本情况!B43,IF(G65="办公",项目基本情况!C43,IF(G65="住宅",项目基本情况!D43,项目基本情况!E43)))</f>
        <v>九级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2.75">
      <c r="A66" s="633" t="s">
        <v>565</v>
      </c>
      <c r="B66" s="634" t="e">
        <f t="shared" si="17"/>
        <v>#DIV/0!</v>
      </c>
      <c r="C66" s="374">
        <f t="shared" si="16"/>
        <v>0.15</v>
      </c>
      <c r="D66" s="2226">
        <v>0.25</v>
      </c>
      <c r="E66" s="637">
        <f>'数据-汇总表'!E14</f>
        <v>115688.44</v>
      </c>
      <c r="F66" s="632" t="e">
        <f t="shared" si="15"/>
        <v>#DIV/0!</v>
      </c>
      <c r="G66" s="1942" t="s">
        <v>2277</v>
      </c>
      <c r="H66" s="1945" t="str">
        <f>项目基本情况!B43</f>
        <v>九级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ht="13.5" thickBot="1">
      <c r="A67" s="633" t="s">
        <v>566</v>
      </c>
      <c r="B67" s="634" t="e">
        <f t="shared" si="17"/>
        <v>#DIV/0!</v>
      </c>
      <c r="C67" s="374">
        <f t="shared" si="16"/>
        <v>0.15</v>
      </c>
      <c r="D67" s="2226">
        <v>0.25</v>
      </c>
      <c r="E67" s="637">
        <f>'数据-汇总表'!E15</f>
        <v>0</v>
      </c>
      <c r="F67" s="632" t="e">
        <f t="shared" si="15"/>
        <v>#DIV/0!</v>
      </c>
      <c r="G67" s="1944" t="s">
        <v>2278</v>
      </c>
      <c r="H67" s="1946" t="str">
        <f>项目基本情况!C43</f>
        <v>九级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ht="13.5" thickBot="1">
      <c r="A68" s="638" t="s">
        <v>567</v>
      </c>
      <c r="B68" s="639" t="s">
        <v>17</v>
      </c>
      <c r="C68" s="639" t="s">
        <v>18</v>
      </c>
      <c r="D68" s="639" t="s">
        <v>2289</v>
      </c>
      <c r="E68" s="639">
        <f>IF(B48="楼面地价",SUM(E58:E67),'数据-汇总表'!D3)</f>
        <v>183040.85</v>
      </c>
      <c r="F68" s="640" t="e">
        <f>IF(B48="楼面地价",SUM(F58:F67),ROUND(C50*E68/10000,0))</f>
        <v>#DIV/0!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0" t="s">
        <v>568</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5">
      <c r="A72" s="2565" t="s">
        <v>2527</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2642</v>
      </c>
      <c r="B73" s="475" t="str">
        <f>"北京市平均增长率"&amp;TEXT(SUMIF(基准地价!N21:N25,A73,基准地价!P21:P25),"0.00%")</f>
        <v>北京市平均增长率2.19%</v>
      </c>
      <c r="C73" s="890">
        <v>100</v>
      </c>
      <c r="D73" s="726"/>
      <c r="E73" s="726"/>
      <c r="F73" s="726"/>
      <c r="G73" s="726"/>
      <c r="H73" s="726"/>
      <c r="I73" s="726"/>
      <c r="J73" s="726"/>
      <c r="K73" s="726"/>
      <c r="L73" s="726"/>
      <c r="M73" s="2789"/>
      <c r="N73" s="2790"/>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2641</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5">
      <c r="A75" s="655" t="s">
        <v>525</v>
      </c>
      <c r="B75" s="644"/>
      <c r="C75" s="656" t="s">
        <v>570</v>
      </c>
      <c r="D75" s="657"/>
      <c r="E75" s="657"/>
      <c r="F75" s="657"/>
      <c r="G75" s="657"/>
      <c r="H75" s="657"/>
      <c r="I75" s="657"/>
      <c r="J75" s="657"/>
      <c r="K75" s="657"/>
      <c r="L75" s="658"/>
      <c r="M75" s="659"/>
      <c r="N75" s="2159"/>
      <c r="O75" s="2159"/>
      <c r="P75" s="2160"/>
      <c r="Q75" s="2155"/>
      <c r="R75" s="1990"/>
      <c r="S75" s="1990"/>
      <c r="T75" s="1990"/>
      <c r="U75" s="1990"/>
      <c r="V75" s="1990"/>
      <c r="W75" s="1990"/>
      <c r="X75" s="1990"/>
      <c r="Y75" s="1990"/>
      <c r="Z75" s="1990"/>
      <c r="AA75" s="1990"/>
      <c r="AB75" s="1990"/>
      <c r="AC75" s="1990"/>
    </row>
    <row r="76" spans="1:29" s="1216" customFormat="1" ht="15.75" thickBot="1">
      <c r="A76" s="655"/>
      <c r="B76" s="644"/>
      <c r="C76" s="645">
        <v>100</v>
      </c>
      <c r="D76" s="646"/>
      <c r="E76" s="646"/>
      <c r="F76" s="646"/>
      <c r="G76" s="646"/>
      <c r="H76" s="646"/>
      <c r="I76" s="646"/>
      <c r="J76" s="646"/>
      <c r="K76" s="646"/>
      <c r="L76" s="646"/>
      <c r="M76" s="648"/>
      <c r="N76" s="2159"/>
      <c r="O76" s="2159"/>
      <c r="P76" s="2155"/>
      <c r="Q76" s="2155"/>
      <c r="R76" s="1990"/>
      <c r="S76" s="1990"/>
      <c r="T76" s="1990"/>
      <c r="U76" s="1990"/>
      <c r="V76" s="1990"/>
      <c r="W76" s="1990"/>
      <c r="X76" s="1990"/>
      <c r="Y76" s="1990"/>
      <c r="Z76" s="1990"/>
      <c r="AA76" s="1990"/>
      <c r="AB76" s="1990"/>
      <c r="AC76" s="1990"/>
    </row>
    <row r="77" spans="1:29">
      <c r="A77" s="660" t="s">
        <v>571</v>
      </c>
      <c r="B77" s="661" t="s">
        <v>528</v>
      </c>
      <c r="C77" s="594"/>
      <c r="D77" s="594"/>
      <c r="E77" s="594"/>
      <c r="F77" s="594"/>
      <c r="G77" s="594"/>
      <c r="H77" s="594"/>
      <c r="I77" s="594"/>
      <c r="J77" s="594"/>
      <c r="K77" s="662"/>
      <c r="L77" s="663"/>
      <c r="M77" s="664"/>
      <c r="N77" s="2161"/>
      <c r="O77" s="2161"/>
      <c r="P77" s="2162"/>
      <c r="Q77" s="2155"/>
      <c r="R77" s="2142"/>
      <c r="S77" s="2142"/>
      <c r="T77" s="2142"/>
      <c r="U77" s="2142"/>
      <c r="V77" s="2142"/>
      <c r="W77" s="2142"/>
      <c r="X77" s="2142"/>
      <c r="Y77" s="2142"/>
      <c r="Z77" s="2142"/>
      <c r="AA77" s="2142"/>
      <c r="AB77" s="2142"/>
      <c r="AC77" s="2142"/>
    </row>
    <row r="78" spans="1:29" ht="15.75" thickBot="1">
      <c r="A78" s="665"/>
      <c r="B78" s="666"/>
      <c r="C78" s="667"/>
      <c r="D78" s="667"/>
      <c r="E78" s="667"/>
      <c r="F78" s="667"/>
      <c r="G78" s="667"/>
      <c r="H78" s="667"/>
      <c r="I78" s="667"/>
      <c r="J78" s="667"/>
      <c r="K78" s="667"/>
      <c r="L78" s="667"/>
      <c r="M78" s="668"/>
      <c r="N78" s="2163"/>
      <c r="O78" s="2163"/>
      <c r="P78" s="2162"/>
      <c r="Q78" s="2155"/>
      <c r="R78" s="2142"/>
      <c r="S78" s="2142"/>
      <c r="T78" s="2142"/>
      <c r="U78" s="2142"/>
      <c r="V78" s="2142"/>
      <c r="W78" s="2142"/>
      <c r="X78" s="2142"/>
      <c r="Y78" s="2142"/>
      <c r="Z78" s="2142"/>
      <c r="AA78" s="2142"/>
      <c r="AB78" s="2142"/>
      <c r="AC78" s="2142"/>
    </row>
    <row r="79" spans="1:29" ht="27.75" thickTop="1">
      <c r="A79" s="665"/>
      <c r="B79" s="669" t="s">
        <v>531</v>
      </c>
      <c r="C79" s="670"/>
      <c r="D79" s="670"/>
      <c r="E79" s="670"/>
      <c r="F79" s="670"/>
      <c r="G79" s="670"/>
      <c r="H79" s="670"/>
      <c r="I79" s="670"/>
      <c r="J79" s="670"/>
      <c r="K79" s="671"/>
      <c r="L79" s="672"/>
      <c r="M79" s="673"/>
      <c r="N79" s="2161"/>
      <c r="O79" s="2161"/>
      <c r="P79" s="2162"/>
      <c r="Q79" s="2155"/>
      <c r="R79" s="2142"/>
      <c r="S79" s="2142"/>
      <c r="T79" s="2142"/>
      <c r="U79" s="2142"/>
      <c r="V79" s="2142"/>
      <c r="W79" s="2142"/>
      <c r="X79" s="2142"/>
      <c r="Y79" s="2142"/>
      <c r="Z79" s="2142"/>
      <c r="AA79" s="2142"/>
      <c r="AB79" s="2142"/>
      <c r="AC79" s="2142"/>
    </row>
    <row r="80" spans="1:29" ht="15.75" thickBot="1">
      <c r="A80" s="665"/>
      <c r="B80" s="674"/>
      <c r="C80" s="675"/>
      <c r="D80" s="675"/>
      <c r="E80" s="675"/>
      <c r="F80" s="675"/>
      <c r="G80" s="675"/>
      <c r="H80" s="675"/>
      <c r="I80" s="675"/>
      <c r="J80" s="675"/>
      <c r="K80" s="675"/>
      <c r="L80" s="675"/>
      <c r="M80" s="676"/>
      <c r="N80" s="2163"/>
      <c r="O80" s="2163"/>
      <c r="P80" s="2162"/>
      <c r="Q80" s="2155"/>
      <c r="R80" s="2142"/>
      <c r="S80" s="2142"/>
      <c r="T80" s="2142"/>
      <c r="U80" s="2142"/>
      <c r="V80" s="2142"/>
      <c r="W80" s="2142"/>
      <c r="X80" s="2142"/>
      <c r="Y80" s="2142"/>
      <c r="Z80" s="2142"/>
      <c r="AA80" s="2142"/>
      <c r="AB80" s="2142"/>
      <c r="AC80" s="2142"/>
    </row>
    <row r="81" spans="1:29" ht="15.75" thickTop="1">
      <c r="A81" s="665"/>
      <c r="B81" s="677" t="s">
        <v>532</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5"/>
      <c r="B82" s="679"/>
      <c r="C82" s="537"/>
      <c r="D82" s="537"/>
      <c r="E82" s="537"/>
      <c r="F82" s="537"/>
      <c r="G82" s="537"/>
      <c r="H82" s="537"/>
      <c r="I82" s="537"/>
      <c r="J82" s="537"/>
      <c r="K82" s="680"/>
      <c r="L82" s="681"/>
      <c r="M82" s="682"/>
      <c r="N82" s="2161"/>
      <c r="O82" s="2161"/>
      <c r="P82" s="2162"/>
      <c r="Q82" s="2155"/>
      <c r="R82" s="2142"/>
      <c r="S82" s="2142"/>
      <c r="T82" s="2142"/>
      <c r="U82" s="2142"/>
      <c r="V82" s="2142"/>
      <c r="W82" s="2142"/>
      <c r="X82" s="2142"/>
      <c r="Y82" s="2142"/>
      <c r="Z82" s="2142"/>
      <c r="AA82" s="2142"/>
      <c r="AB82" s="2142"/>
      <c r="AC82" s="2142"/>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63"/>
      <c r="O83" s="2163"/>
      <c r="P83" s="2162"/>
      <c r="Q83" s="2155"/>
      <c r="R83" s="2142"/>
      <c r="S83" s="2142"/>
      <c r="T83" s="2142"/>
      <c r="U83" s="2142"/>
      <c r="V83" s="2142"/>
      <c r="W83" s="2142"/>
      <c r="X83" s="2142"/>
      <c r="Y83" s="2142"/>
      <c r="Z83" s="2142"/>
      <c r="AA83" s="2142"/>
      <c r="AB83" s="2142"/>
      <c r="AC83" s="2142"/>
    </row>
    <row r="84" spans="1:29" s="1335" customFormat="1" ht="15.75" thickTop="1">
      <c r="A84" s="683"/>
      <c r="B84" s="669" t="str">
        <f>B14</f>
        <v>配建</v>
      </c>
      <c r="C84" s="684"/>
      <c r="D84" s="1371"/>
      <c r="E84" s="1372"/>
      <c r="F84" s="684"/>
      <c r="G84" s="684"/>
      <c r="H84" s="685"/>
      <c r="I84" s="685"/>
      <c r="J84" s="685"/>
      <c r="K84" s="685"/>
      <c r="L84" s="686"/>
      <c r="M84" s="687"/>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3"/>
      <c r="B85" s="674"/>
      <c r="C85" s="688"/>
      <c r="D85" s="667"/>
      <c r="E85" s="667"/>
      <c r="F85" s="667"/>
      <c r="G85" s="667"/>
      <c r="H85" s="667"/>
      <c r="I85" s="667"/>
      <c r="J85" s="667"/>
      <c r="K85" s="667"/>
      <c r="L85" s="667"/>
      <c r="M85" s="668"/>
      <c r="N85" s="2163"/>
      <c r="O85" s="2163"/>
      <c r="P85" s="2165"/>
      <c r="Q85" s="2166"/>
      <c r="R85" s="2167"/>
      <c r="S85" s="2167"/>
      <c r="T85" s="2167"/>
      <c r="U85" s="2167"/>
      <c r="V85" s="2167"/>
      <c r="W85" s="2167"/>
      <c r="X85" s="2167"/>
      <c r="Y85" s="2167"/>
      <c r="Z85" s="2167"/>
      <c r="AA85" s="2167"/>
      <c r="AB85" s="2167"/>
      <c r="AC85" s="2167"/>
    </row>
    <row r="86" spans="1:29" s="1335" customFormat="1" ht="15.75" thickTop="1">
      <c r="A86" s="683"/>
      <c r="B86" s="669">
        <f>B15</f>
        <v>111</v>
      </c>
      <c r="C86" s="684"/>
      <c r="D86" s="684"/>
      <c r="E86" s="684"/>
      <c r="F86" s="684"/>
      <c r="G86" s="684"/>
      <c r="H86" s="685"/>
      <c r="I86" s="685"/>
      <c r="J86" s="685"/>
      <c r="K86" s="685"/>
      <c r="L86" s="686"/>
      <c r="M86" s="687"/>
      <c r="N86" s="2164"/>
      <c r="O86" s="2164"/>
      <c r="P86" s="2168"/>
      <c r="Q86" s="2169"/>
      <c r="R86" s="2167"/>
      <c r="S86" s="2167"/>
      <c r="T86" s="2167"/>
      <c r="U86" s="2167"/>
      <c r="V86" s="2167"/>
      <c r="W86" s="2167"/>
      <c r="X86" s="2167"/>
      <c r="Y86" s="2167"/>
      <c r="Z86" s="2167"/>
      <c r="AA86" s="2167"/>
      <c r="AB86" s="2167"/>
      <c r="AC86" s="2167"/>
    </row>
    <row r="87" spans="1:29" s="1335" customFormat="1" ht="15.75" thickBot="1">
      <c r="A87" s="683"/>
      <c r="B87" s="674"/>
      <c r="C87" s="688"/>
      <c r="D87" s="688"/>
      <c r="E87" s="688"/>
      <c r="F87" s="688"/>
      <c r="G87" s="688"/>
      <c r="H87" s="689"/>
      <c r="I87" s="689"/>
      <c r="J87" s="689"/>
      <c r="K87" s="689"/>
      <c r="L87" s="689"/>
      <c r="M87" s="690"/>
      <c r="N87" s="2164"/>
      <c r="O87" s="2164"/>
      <c r="P87" s="2165"/>
      <c r="Q87" s="2166"/>
      <c r="R87" s="2167"/>
      <c r="S87" s="2167"/>
      <c r="T87" s="2167"/>
      <c r="U87" s="2167"/>
      <c r="V87" s="2167"/>
      <c r="W87" s="2167"/>
      <c r="X87" s="2167"/>
      <c r="Y87" s="2167"/>
      <c r="Z87" s="2167"/>
      <c r="AA87" s="2167"/>
      <c r="AB87" s="2167"/>
      <c r="AC87" s="2167"/>
    </row>
    <row r="88" spans="1:29" s="1335" customFormat="1" ht="15.75" thickTop="1">
      <c r="A88" s="683"/>
      <c r="B88" s="677">
        <f>B16</f>
        <v>111</v>
      </c>
      <c r="C88" s="657"/>
      <c r="D88" s="657"/>
      <c r="E88" s="657"/>
      <c r="F88" s="657"/>
      <c r="G88" s="657"/>
      <c r="H88" s="691"/>
      <c r="I88" s="691"/>
      <c r="J88" s="691"/>
      <c r="K88" s="691"/>
      <c r="L88" s="692"/>
      <c r="M88" s="693"/>
      <c r="N88" s="2164"/>
      <c r="O88" s="2164"/>
      <c r="P88" s="2170"/>
      <c r="Q88" s="2166"/>
      <c r="R88" s="2167"/>
      <c r="S88" s="2167"/>
      <c r="T88" s="2167"/>
      <c r="U88" s="2167"/>
      <c r="V88" s="2167"/>
      <c r="W88" s="2167"/>
      <c r="X88" s="2167"/>
      <c r="Y88" s="2167"/>
      <c r="Z88" s="2167"/>
      <c r="AA88" s="2167"/>
      <c r="AB88" s="2167"/>
      <c r="AC88" s="2167"/>
    </row>
    <row r="89" spans="1:29" s="1335" customFormat="1" ht="15.75" thickBot="1">
      <c r="A89" s="694"/>
      <c r="B89" s="695"/>
      <c r="C89" s="696"/>
      <c r="D89" s="696"/>
      <c r="E89" s="696"/>
      <c r="F89" s="696"/>
      <c r="G89" s="696"/>
      <c r="H89" s="697"/>
      <c r="I89" s="697"/>
      <c r="J89" s="697"/>
      <c r="K89" s="697"/>
      <c r="L89" s="697"/>
      <c r="M89" s="698"/>
      <c r="N89" s="2164"/>
      <c r="O89" s="2164"/>
      <c r="P89" s="2165"/>
      <c r="Q89" s="2166"/>
      <c r="R89" s="2167"/>
      <c r="S89" s="2167"/>
      <c r="T89" s="2167"/>
      <c r="U89" s="2167"/>
      <c r="V89" s="2167"/>
      <c r="W89" s="2167"/>
      <c r="X89" s="2167"/>
      <c r="Y89" s="2167"/>
      <c r="Z89" s="2167"/>
      <c r="AA89" s="2167"/>
      <c r="AB89" s="2167"/>
      <c r="AC89" s="2167"/>
    </row>
    <row r="90" spans="1:29">
      <c r="A90" s="660" t="s">
        <v>533</v>
      </c>
      <c r="B90" s="661" t="s">
        <v>572</v>
      </c>
      <c r="C90" s="699" t="s">
        <v>573</v>
      </c>
      <c r="D90" s="699" t="s">
        <v>574</v>
      </c>
      <c r="E90" s="699" t="s">
        <v>575</v>
      </c>
      <c r="F90" s="699" t="s">
        <v>576</v>
      </c>
      <c r="G90" s="699" t="s">
        <v>577</v>
      </c>
      <c r="H90" s="700"/>
      <c r="I90" s="700"/>
      <c r="J90" s="700"/>
      <c r="K90" s="701"/>
      <c r="L90" s="702"/>
      <c r="M90" s="703"/>
      <c r="N90" s="2161"/>
      <c r="O90" s="2161"/>
      <c r="P90" s="2171"/>
      <c r="Q90" s="2155"/>
      <c r="R90" s="2142"/>
      <c r="S90" s="2142"/>
      <c r="T90" s="2142"/>
      <c r="U90" s="2142"/>
      <c r="V90" s="2142"/>
      <c r="W90" s="2142"/>
      <c r="X90" s="2142"/>
      <c r="Y90" s="2142"/>
      <c r="Z90" s="2142"/>
      <c r="AA90" s="2142"/>
      <c r="AB90" s="2142"/>
      <c r="AC90" s="2142"/>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3"/>
      <c r="O91" s="2163"/>
      <c r="P91" s="2162"/>
      <c r="Q91" s="2155"/>
      <c r="R91" s="2142"/>
      <c r="S91" s="2142"/>
      <c r="T91" s="2142"/>
      <c r="U91" s="2142"/>
      <c r="V91" s="2142"/>
      <c r="W91" s="2142"/>
      <c r="X91" s="2142"/>
      <c r="Y91" s="2142"/>
      <c r="Z91" s="2142"/>
      <c r="AA91" s="2142"/>
      <c r="AB91" s="2142"/>
      <c r="AC91" s="2142"/>
    </row>
    <row r="92" spans="1:29" ht="15.75" thickTop="1">
      <c r="A92" s="665"/>
      <c r="B92" s="669" t="s">
        <v>578</v>
      </c>
      <c r="C92" s="704" t="s">
        <v>573</v>
      </c>
      <c r="D92" s="704" t="s">
        <v>574</v>
      </c>
      <c r="E92" s="704" t="s">
        <v>575</v>
      </c>
      <c r="F92" s="704" t="s">
        <v>576</v>
      </c>
      <c r="G92" s="704" t="s">
        <v>577</v>
      </c>
      <c r="H92" s="670"/>
      <c r="I92" s="670"/>
      <c r="J92" s="670"/>
      <c r="K92" s="671"/>
      <c r="L92" s="672"/>
      <c r="M92" s="673"/>
      <c r="N92" s="2161"/>
      <c r="O92" s="2161"/>
      <c r="P92" s="2162"/>
      <c r="Q92" s="2155"/>
      <c r="R92" s="2142"/>
      <c r="S92" s="2142"/>
      <c r="T92" s="2142"/>
      <c r="U92" s="2142"/>
      <c r="V92" s="2142"/>
      <c r="W92" s="2142"/>
      <c r="X92" s="2142"/>
      <c r="Y92" s="2142"/>
      <c r="Z92" s="2142"/>
      <c r="AA92" s="2142"/>
      <c r="AB92" s="2142"/>
      <c r="AC92" s="2142"/>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63"/>
      <c r="O93" s="2163"/>
      <c r="P93" s="2162"/>
      <c r="Q93" s="2155"/>
      <c r="R93" s="2142"/>
      <c r="S93" s="2142"/>
      <c r="T93" s="2142"/>
      <c r="U93" s="2142"/>
      <c r="V93" s="2142"/>
      <c r="W93" s="2142"/>
      <c r="X93" s="2142"/>
      <c r="Y93" s="2142"/>
      <c r="Z93" s="2142"/>
      <c r="AA93" s="2142"/>
      <c r="AB93" s="2142"/>
      <c r="AC93" s="2142"/>
    </row>
    <row r="94" spans="1:29" ht="15.75" thickTop="1">
      <c r="A94" s="665"/>
      <c r="B94" s="669" t="s">
        <v>579</v>
      </c>
      <c r="C94" s="704" t="s">
        <v>573</v>
      </c>
      <c r="D94" s="704" t="s">
        <v>574</v>
      </c>
      <c r="E94" s="704" t="s">
        <v>575</v>
      </c>
      <c r="F94" s="704" t="s">
        <v>576</v>
      </c>
      <c r="G94" s="704" t="s">
        <v>577</v>
      </c>
      <c r="H94" s="670"/>
      <c r="I94" s="670"/>
      <c r="J94" s="670"/>
      <c r="K94" s="671"/>
      <c r="L94" s="672"/>
      <c r="M94" s="673"/>
      <c r="N94" s="2161"/>
      <c r="O94" s="2161"/>
      <c r="P94" s="2162"/>
      <c r="Q94" s="2155"/>
      <c r="R94" s="2142"/>
      <c r="S94" s="2142"/>
      <c r="T94" s="2142"/>
      <c r="U94" s="2142"/>
      <c r="V94" s="2142"/>
      <c r="W94" s="2142"/>
      <c r="X94" s="2142"/>
      <c r="Y94" s="2142"/>
      <c r="Z94" s="2142"/>
      <c r="AA94" s="2142"/>
      <c r="AB94" s="2142"/>
      <c r="AC94" s="2142"/>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3"/>
      <c r="O95" s="2163"/>
      <c r="P95" s="2162"/>
      <c r="Q95" s="2155"/>
      <c r="R95" s="2142"/>
      <c r="S95" s="2142"/>
      <c r="T95" s="2142"/>
      <c r="U95" s="2142"/>
      <c r="V95" s="2142"/>
      <c r="W95" s="2142"/>
      <c r="X95" s="2142"/>
      <c r="Y95" s="2142"/>
      <c r="Z95" s="2142"/>
      <c r="AA95" s="2142"/>
      <c r="AB95" s="2142"/>
      <c r="AC95" s="2142"/>
    </row>
    <row r="96" spans="1:29" ht="15.75" thickTop="1">
      <c r="A96" s="665"/>
      <c r="B96" s="669" t="s">
        <v>580</v>
      </c>
      <c r="C96" s="704" t="s">
        <v>573</v>
      </c>
      <c r="D96" s="704" t="s">
        <v>574</v>
      </c>
      <c r="E96" s="704" t="s">
        <v>575</v>
      </c>
      <c r="F96" s="704" t="s">
        <v>576</v>
      </c>
      <c r="G96" s="704" t="s">
        <v>577</v>
      </c>
      <c r="H96" s="670"/>
      <c r="I96" s="670"/>
      <c r="J96" s="670"/>
      <c r="K96" s="671"/>
      <c r="L96" s="672"/>
      <c r="M96" s="673"/>
      <c r="N96" s="2161"/>
      <c r="O96" s="2161"/>
      <c r="P96" s="2162"/>
      <c r="Q96" s="2155"/>
      <c r="R96" s="2142"/>
      <c r="S96" s="2142"/>
      <c r="T96" s="2142"/>
      <c r="U96" s="2142"/>
      <c r="V96" s="2142"/>
      <c r="W96" s="2142"/>
      <c r="X96" s="2142"/>
      <c r="Y96" s="2142"/>
      <c r="Z96" s="2142"/>
      <c r="AA96" s="2142"/>
      <c r="AB96" s="2142"/>
      <c r="AC96" s="2142"/>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63"/>
      <c r="O97" s="2163"/>
      <c r="P97" s="2162"/>
      <c r="Q97" s="2155"/>
      <c r="R97" s="2142"/>
      <c r="S97" s="2142"/>
      <c r="T97" s="2142"/>
      <c r="U97" s="2142"/>
      <c r="V97" s="2142"/>
      <c r="W97" s="2142"/>
      <c r="X97" s="2142"/>
      <c r="Y97" s="2142"/>
      <c r="Z97" s="2142"/>
      <c r="AA97" s="2142"/>
      <c r="AB97" s="2142"/>
      <c r="AC97" s="2142"/>
    </row>
    <row r="98" spans="1:29" s="1216" customFormat="1" ht="27.75" thickTop="1">
      <c r="A98" s="705"/>
      <c r="B98" s="669" t="s">
        <v>581</v>
      </c>
      <c r="C98" s="704" t="s">
        <v>573</v>
      </c>
      <c r="D98" s="704" t="s">
        <v>574</v>
      </c>
      <c r="E98" s="704" t="s">
        <v>575</v>
      </c>
      <c r="F98" s="704" t="s">
        <v>576</v>
      </c>
      <c r="G98" s="704" t="s">
        <v>577</v>
      </c>
      <c r="H98" s="704"/>
      <c r="I98" s="704"/>
      <c r="J98" s="704"/>
      <c r="K98" s="704"/>
      <c r="L98" s="706"/>
      <c r="M98" s="707"/>
      <c r="N98" s="2159"/>
      <c r="O98" s="2159"/>
      <c r="P98" s="2162"/>
      <c r="Q98" s="2155"/>
      <c r="R98" s="1990"/>
      <c r="S98" s="1990"/>
      <c r="T98" s="1990"/>
      <c r="U98" s="1990"/>
      <c r="V98" s="1990"/>
      <c r="W98" s="1990"/>
      <c r="X98" s="1990"/>
      <c r="Y98" s="1990"/>
      <c r="Z98" s="1990"/>
      <c r="AA98" s="1990"/>
      <c r="AB98" s="1990"/>
      <c r="AC98" s="1990"/>
    </row>
    <row r="99" spans="1:29" s="1216" customFormat="1" ht="15.75" thickBot="1">
      <c r="A99" s="705"/>
      <c r="B99" s="674"/>
      <c r="C99" s="708">
        <v>100</v>
      </c>
      <c r="D99" s="675">
        <f>C99-$K25</f>
        <v>100</v>
      </c>
      <c r="E99" s="675">
        <f>D99-$K25</f>
        <v>100</v>
      </c>
      <c r="F99" s="675">
        <f>E99-$K25</f>
        <v>100</v>
      </c>
      <c r="G99" s="675">
        <f>F99-$K25</f>
        <v>100</v>
      </c>
      <c r="H99" s="675"/>
      <c r="I99" s="675"/>
      <c r="J99" s="675"/>
      <c r="K99" s="675"/>
      <c r="L99" s="675"/>
      <c r="M99" s="676"/>
      <c r="N99" s="2163"/>
      <c r="O99" s="2163"/>
      <c r="P99" s="2162"/>
      <c r="Q99" s="2155"/>
      <c r="R99" s="1990"/>
      <c r="S99" s="1990"/>
      <c r="T99" s="1990"/>
      <c r="U99" s="1990"/>
      <c r="V99" s="1990"/>
      <c r="W99" s="1990"/>
      <c r="X99" s="1990"/>
      <c r="Y99" s="1990"/>
      <c r="Z99" s="1990"/>
      <c r="AA99" s="1990"/>
      <c r="AB99" s="1990"/>
      <c r="AC99" s="1990"/>
    </row>
    <row r="100" spans="1:29" s="1216" customFormat="1" ht="27.75" thickTop="1">
      <c r="A100" s="705"/>
      <c r="B100" s="669" t="s">
        <v>582</v>
      </c>
      <c r="C100" s="699" t="s">
        <v>573</v>
      </c>
      <c r="D100" s="699" t="s">
        <v>574</v>
      </c>
      <c r="E100" s="699" t="s">
        <v>575</v>
      </c>
      <c r="F100" s="699" t="s">
        <v>576</v>
      </c>
      <c r="G100" s="699" t="s">
        <v>577</v>
      </c>
      <c r="H100" s="704"/>
      <c r="I100" s="704"/>
      <c r="J100" s="704"/>
      <c r="K100" s="704"/>
      <c r="L100" s="704"/>
      <c r="M100" s="707"/>
      <c r="N100" s="2159"/>
      <c r="O100" s="2159"/>
      <c r="P100" s="2162"/>
      <c r="Q100" s="2155"/>
      <c r="R100" s="1990"/>
      <c r="S100" s="1990"/>
      <c r="T100" s="1990"/>
      <c r="U100" s="1990"/>
      <c r="V100" s="1990"/>
      <c r="W100" s="1990"/>
      <c r="X100" s="1990"/>
      <c r="Y100" s="1990"/>
      <c r="Z100" s="1990"/>
      <c r="AA100" s="1990"/>
      <c r="AB100" s="1990"/>
      <c r="AC100" s="1990"/>
    </row>
    <row r="101" spans="1:29" s="1216"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3"/>
      <c r="O101" s="2163"/>
      <c r="P101" s="2162"/>
      <c r="Q101" s="2155"/>
      <c r="R101" s="1990"/>
      <c r="S101" s="1990"/>
      <c r="T101" s="1990"/>
      <c r="U101" s="1990"/>
      <c r="V101" s="1990"/>
      <c r="W101" s="1990"/>
      <c r="X101" s="1990"/>
      <c r="Y101" s="1990"/>
      <c r="Z101" s="1990"/>
      <c r="AA101" s="1990"/>
      <c r="AB101" s="1990"/>
      <c r="AC101" s="1990"/>
    </row>
    <row r="102" spans="1:29" s="1335" customFormat="1" ht="15.75" thickTop="1">
      <c r="A102" s="683"/>
      <c r="B102" s="1893" t="s">
        <v>2543</v>
      </c>
      <c r="C102" s="699" t="s">
        <v>573</v>
      </c>
      <c r="D102" s="699" t="s">
        <v>574</v>
      </c>
      <c r="E102" s="699" t="s">
        <v>575</v>
      </c>
      <c r="F102" s="699" t="s">
        <v>576</v>
      </c>
      <c r="G102" s="699" t="s">
        <v>577</v>
      </c>
      <c r="H102" s="709"/>
      <c r="I102" s="709"/>
      <c r="J102" s="709"/>
      <c r="K102" s="709"/>
      <c r="L102" s="710"/>
      <c r="M102" s="711"/>
      <c r="N102" s="2164"/>
      <c r="O102" s="2164"/>
      <c r="P102" s="2165"/>
      <c r="Q102" s="2166"/>
      <c r="R102" s="2167"/>
      <c r="S102" s="2167"/>
      <c r="T102" s="2167"/>
      <c r="U102" s="2167"/>
      <c r="V102" s="2167"/>
      <c r="W102" s="2167"/>
      <c r="X102" s="2167"/>
      <c r="Y102" s="2167"/>
      <c r="Z102" s="2167"/>
      <c r="AA102" s="2167"/>
      <c r="AB102" s="2167"/>
      <c r="AC102" s="2167"/>
    </row>
    <row r="103" spans="1:29" s="1335"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Top="1">
      <c r="A104" s="683"/>
      <c r="B104" s="2594" t="s">
        <v>2545</v>
      </c>
      <c r="C104" s="2595" t="s">
        <v>2546</v>
      </c>
      <c r="D104" s="2595" t="s">
        <v>2547</v>
      </c>
      <c r="E104" s="2595" t="s">
        <v>2548</v>
      </c>
      <c r="F104" s="2595" t="s">
        <v>2549</v>
      </c>
      <c r="G104" s="2595" t="s">
        <v>2550</v>
      </c>
      <c r="H104" s="709"/>
      <c r="I104" s="709"/>
      <c r="J104" s="709"/>
      <c r="K104" s="709"/>
      <c r="L104" s="709"/>
      <c r="M104" s="711"/>
      <c r="N104" s="2164"/>
      <c r="O104" s="2164"/>
      <c r="P104" s="2165"/>
      <c r="Q104" s="2166"/>
      <c r="R104" s="2167"/>
      <c r="S104" s="2167"/>
      <c r="T104" s="2167"/>
      <c r="U104" s="2167"/>
      <c r="V104" s="2167"/>
      <c r="W104" s="2167"/>
      <c r="X104" s="2167"/>
      <c r="Y104" s="2167"/>
      <c r="Z104" s="2167"/>
      <c r="AA104" s="2167"/>
      <c r="AB104" s="2167"/>
      <c r="AC104" s="2167"/>
    </row>
    <row r="105" spans="1:29" s="1335" customFormat="1" ht="15.75" thickBot="1">
      <c r="A105" s="683"/>
      <c r="B105" s="677"/>
      <c r="C105" s="675">
        <v>100</v>
      </c>
      <c r="D105" s="675">
        <f>C105-$K31</f>
        <v>100</v>
      </c>
      <c r="E105" s="675">
        <f>D105-$K31</f>
        <v>100</v>
      </c>
      <c r="F105" s="675">
        <f>E105-$K31</f>
        <v>100</v>
      </c>
      <c r="G105" s="675">
        <f>F105-$K31</f>
        <v>100</v>
      </c>
      <c r="H105" s="679"/>
      <c r="I105" s="679"/>
      <c r="J105" s="679"/>
      <c r="K105" s="679"/>
      <c r="L105" s="679"/>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61"/>
      <c r="O106" s="2161"/>
      <c r="P106" s="2162"/>
      <c r="Q106" s="2155"/>
      <c r="R106" s="2142"/>
      <c r="S106" s="2142"/>
      <c r="T106" s="2142"/>
      <c r="U106" s="2142"/>
      <c r="V106" s="2142"/>
      <c r="W106" s="2142"/>
      <c r="X106" s="2142"/>
      <c r="Y106" s="2142"/>
      <c r="Z106" s="2142"/>
      <c r="AA106" s="2142"/>
      <c r="AB106" s="2142"/>
      <c r="AC106" s="2142"/>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5"/>
      <c r="B108" s="669" t="s">
        <v>542</v>
      </c>
      <c r="C108" s="684"/>
      <c r="D108" s="684"/>
      <c r="E108" s="684"/>
      <c r="F108" s="684"/>
      <c r="G108" s="684"/>
      <c r="H108" s="714"/>
      <c r="I108" s="714"/>
      <c r="J108" s="714"/>
      <c r="K108" s="715"/>
      <c r="L108" s="716"/>
      <c r="M108" s="717"/>
      <c r="N108" s="2161"/>
      <c r="O108" s="2161"/>
      <c r="P108" s="2162"/>
      <c r="Q108" s="2155"/>
      <c r="R108" s="2142"/>
      <c r="S108" s="2142"/>
      <c r="T108" s="2142"/>
      <c r="U108" s="2142"/>
      <c r="V108" s="2142"/>
      <c r="W108" s="2142"/>
      <c r="X108" s="2142"/>
      <c r="Y108" s="2142"/>
      <c r="Z108" s="2142"/>
      <c r="AA108" s="2142"/>
      <c r="AB108" s="2142"/>
      <c r="AC108" s="2142"/>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5"/>
      <c r="B110" s="669" t="s">
        <v>543</v>
      </c>
      <c r="C110" s="714"/>
      <c r="D110" s="714"/>
      <c r="E110" s="714"/>
      <c r="F110" s="714"/>
      <c r="G110" s="714"/>
      <c r="H110" s="714"/>
      <c r="I110" s="714"/>
      <c r="J110" s="714"/>
      <c r="K110" s="715"/>
      <c r="L110" s="716"/>
      <c r="M110" s="717"/>
      <c r="N110" s="2161"/>
      <c r="O110" s="2161"/>
      <c r="P110" s="2162"/>
      <c r="Q110" s="2155"/>
      <c r="R110" s="2142"/>
      <c r="S110" s="2142"/>
      <c r="T110" s="2142"/>
      <c r="U110" s="2142"/>
      <c r="V110" s="2142"/>
      <c r="W110" s="2142"/>
      <c r="X110" s="2142"/>
      <c r="Y110" s="2142"/>
      <c r="Z110" s="2142"/>
      <c r="AA110" s="2142"/>
      <c r="AB110" s="2142"/>
      <c r="AC110" s="2142"/>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5"/>
      <c r="B112" s="677">
        <f>B37</f>
        <v>111</v>
      </c>
      <c r="C112" s="684"/>
      <c r="D112" s="684"/>
      <c r="E112" s="684"/>
      <c r="F112" s="684"/>
      <c r="G112" s="718"/>
      <c r="H112" s="718"/>
      <c r="I112" s="718"/>
      <c r="J112" s="718"/>
      <c r="K112" s="719"/>
      <c r="L112" s="720"/>
      <c r="M112" s="721"/>
      <c r="N112" s="2161"/>
      <c r="O112" s="2161"/>
      <c r="P112" s="2162"/>
      <c r="Q112" s="2155"/>
      <c r="R112" s="2142"/>
      <c r="S112" s="2142"/>
      <c r="T112" s="2142"/>
      <c r="U112" s="2142"/>
      <c r="V112" s="2142"/>
      <c r="W112" s="2142"/>
      <c r="X112" s="2142"/>
      <c r="Y112" s="2142"/>
      <c r="Z112" s="2142"/>
      <c r="AA112" s="2142"/>
      <c r="AB112" s="2142"/>
      <c r="AC112" s="2142"/>
    </row>
    <row r="113" spans="1:29" ht="15.75" thickBot="1">
      <c r="A113" s="665"/>
      <c r="B113" s="695"/>
      <c r="C113" s="688"/>
      <c r="D113" s="688"/>
      <c r="E113" s="688"/>
      <c r="F113" s="688"/>
      <c r="G113" s="722"/>
      <c r="H113" s="722"/>
      <c r="I113" s="722"/>
      <c r="J113" s="722"/>
      <c r="K113" s="722"/>
      <c r="L113" s="722"/>
      <c r="M113" s="723"/>
      <c r="N113" s="2163"/>
      <c r="O113" s="2163"/>
      <c r="P113" s="2162"/>
      <c r="Q113" s="2155"/>
      <c r="R113" s="2142"/>
      <c r="S113" s="2142"/>
      <c r="T113" s="2142"/>
      <c r="U113" s="2142"/>
      <c r="V113" s="2142"/>
      <c r="W113" s="2142"/>
      <c r="X113" s="2142"/>
      <c r="Y113" s="2142"/>
      <c r="Z113" s="2142"/>
      <c r="AA113" s="2142"/>
      <c r="AB113" s="2142"/>
      <c r="AC113" s="2142"/>
    </row>
    <row r="114" spans="1:29" ht="15" thickTop="1">
      <c r="A114" s="583"/>
      <c r="B114" s="669">
        <f>B38</f>
        <v>111</v>
      </c>
      <c r="C114" s="657"/>
      <c r="D114" s="657"/>
      <c r="E114" s="657"/>
      <c r="F114" s="657"/>
      <c r="G114" s="714"/>
      <c r="H114" s="714"/>
      <c r="I114" s="714"/>
      <c r="J114" s="714"/>
      <c r="K114" s="715"/>
      <c r="L114" s="716"/>
      <c r="M114" s="717"/>
      <c r="N114" s="2161"/>
      <c r="O114" s="2161"/>
      <c r="P114" s="2162"/>
      <c r="Q114" s="2155"/>
      <c r="R114" s="2142"/>
      <c r="S114" s="2142"/>
      <c r="T114" s="2142"/>
      <c r="U114" s="2142"/>
      <c r="V114" s="2142"/>
      <c r="W114" s="2142"/>
      <c r="X114" s="2142"/>
      <c r="Y114" s="2142"/>
      <c r="Z114" s="2142"/>
      <c r="AA114" s="2142"/>
      <c r="AB114" s="2142"/>
      <c r="AC114" s="2142"/>
    </row>
    <row r="115" spans="1:29" ht="15.75" thickBot="1">
      <c r="A115" s="665"/>
      <c r="B115" s="674"/>
      <c r="C115" s="696"/>
      <c r="D115" s="696"/>
      <c r="E115" s="696"/>
      <c r="F115" s="696"/>
      <c r="G115" s="667"/>
      <c r="H115" s="667"/>
      <c r="I115" s="667"/>
      <c r="J115" s="667"/>
      <c r="K115" s="667"/>
      <c r="L115" s="667"/>
      <c r="M115" s="668"/>
      <c r="N115" s="2163"/>
      <c r="O115" s="2163"/>
      <c r="P115" s="2162"/>
      <c r="Q115" s="2155"/>
      <c r="R115" s="2142"/>
      <c r="S115" s="2142"/>
      <c r="T115" s="2142"/>
      <c r="U115" s="2142"/>
      <c r="V115" s="2142"/>
      <c r="W115" s="2142"/>
      <c r="X115" s="2142"/>
      <c r="Y115" s="2142"/>
      <c r="Z115" s="2142"/>
      <c r="AA115" s="2142"/>
      <c r="AB115" s="2142"/>
      <c r="AC115" s="2142"/>
    </row>
    <row r="116" spans="1:29" s="1335" customFormat="1" ht="15" thickTop="1">
      <c r="A116" s="724"/>
      <c r="B116" s="725">
        <f>B39</f>
        <v>111</v>
      </c>
      <c r="C116" s="726"/>
      <c r="D116" s="726"/>
      <c r="E116" s="726"/>
      <c r="F116" s="726"/>
      <c r="G116" s="726"/>
      <c r="H116" s="726"/>
      <c r="I116" s="726"/>
      <c r="J116" s="727"/>
      <c r="K116" s="727"/>
      <c r="L116" s="728"/>
      <c r="M116" s="729"/>
      <c r="N116" s="2164"/>
      <c r="O116" s="2164"/>
      <c r="P116" s="2165"/>
      <c r="Q116" s="2166"/>
      <c r="R116" s="2167"/>
      <c r="S116" s="2167"/>
      <c r="T116" s="2167"/>
      <c r="U116" s="2167"/>
      <c r="V116" s="2167"/>
      <c r="W116" s="2167"/>
      <c r="X116" s="2167"/>
      <c r="Y116" s="2167"/>
      <c r="Z116" s="2167"/>
      <c r="AA116" s="2167"/>
      <c r="AB116" s="2167"/>
      <c r="AC116" s="2167"/>
    </row>
    <row r="117" spans="1:29" s="1335" customFormat="1" ht="15.75" thickBot="1">
      <c r="A117" s="683"/>
      <c r="B117" s="677"/>
      <c r="C117" s="646"/>
      <c r="D117" s="588"/>
      <c r="E117" s="588"/>
      <c r="F117" s="588"/>
      <c r="G117" s="588"/>
      <c r="H117" s="588"/>
      <c r="I117" s="588"/>
      <c r="J117" s="588"/>
      <c r="K117" s="588"/>
      <c r="L117" s="588"/>
      <c r="M117" s="730"/>
      <c r="N117" s="2163"/>
      <c r="O117" s="2163"/>
      <c r="P117" s="2165"/>
      <c r="Q117" s="2166"/>
      <c r="R117" s="2167"/>
      <c r="S117" s="2167"/>
      <c r="T117" s="2167"/>
      <c r="U117" s="2167"/>
      <c r="V117" s="2167"/>
      <c r="W117" s="2167"/>
      <c r="X117" s="2167"/>
      <c r="Y117" s="2167"/>
      <c r="Z117" s="2167"/>
      <c r="AA117" s="2167"/>
      <c r="AB117" s="2167"/>
      <c r="AC117" s="2167"/>
    </row>
    <row r="118" spans="1:29">
      <c r="A118" s="660" t="s">
        <v>545</v>
      </c>
      <c r="B118" s="661" t="s">
        <v>587</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087" t="str">
        <f t="shared" si="25"/>
        <v>(含)-</v>
      </c>
      <c r="K118" s="3087" t="str">
        <f t="shared" si="25"/>
        <v>(含)-</v>
      </c>
      <c r="L118" s="3088" t="str">
        <f t="shared" si="25"/>
        <v>(含)-</v>
      </c>
      <c r="M118" s="3089"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5"/>
      <c r="B119" s="677"/>
      <c r="C119" s="726"/>
      <c r="D119" s="726"/>
      <c r="E119" s="726"/>
      <c r="F119" s="726"/>
      <c r="G119" s="726"/>
      <c r="H119" s="726"/>
      <c r="I119" s="726"/>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5"/>
      <c r="B120" s="674"/>
      <c r="C120" s="696"/>
      <c r="D120" s="722"/>
      <c r="E120" s="722"/>
      <c r="F120" s="722"/>
      <c r="G120" s="722"/>
      <c r="H120" s="722"/>
      <c r="I120" s="722"/>
      <c r="J120" s="722"/>
      <c r="K120" s="722"/>
      <c r="L120" s="722"/>
      <c r="M120" s="723"/>
      <c r="N120" s="2163"/>
      <c r="O120" s="2163"/>
      <c r="P120" s="2162"/>
      <c r="Q120" s="2155"/>
      <c r="R120" s="2142"/>
      <c r="S120" s="2142"/>
      <c r="T120" s="2142"/>
      <c r="U120" s="2142"/>
      <c r="V120" s="2142"/>
      <c r="W120" s="2142"/>
      <c r="X120" s="2142"/>
      <c r="Y120" s="2142"/>
      <c r="Z120" s="2142"/>
      <c r="AA120" s="2142"/>
      <c r="AB120" s="2142"/>
      <c r="AC120" s="2142"/>
    </row>
    <row r="121" spans="1:29" ht="15" thickTop="1">
      <c r="A121" s="731"/>
      <c r="B121" s="669" t="s">
        <v>588</v>
      </c>
      <c r="C121" s="714"/>
      <c r="D121" s="714"/>
      <c r="E121" s="714"/>
      <c r="F121" s="714"/>
      <c r="G121" s="714"/>
      <c r="H121" s="714"/>
      <c r="I121" s="714"/>
      <c r="J121" s="714"/>
      <c r="K121" s="715"/>
      <c r="L121" s="716"/>
      <c r="M121" s="717"/>
      <c r="N121" s="2161"/>
      <c r="O121" s="2161"/>
      <c r="P121" s="2162"/>
      <c r="Q121" s="2155"/>
      <c r="R121" s="2142"/>
      <c r="S121" s="2142"/>
      <c r="T121" s="2142"/>
      <c r="U121" s="2142"/>
      <c r="V121" s="2142"/>
      <c r="W121" s="2142"/>
      <c r="X121" s="2142"/>
      <c r="Y121" s="2142"/>
      <c r="Z121" s="2142"/>
      <c r="AA121" s="2142"/>
      <c r="AB121" s="2142"/>
      <c r="AC121" s="2142"/>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1"/>
      <c r="B123" s="669" t="s">
        <v>589</v>
      </c>
      <c r="C123" s="684"/>
      <c r="D123" s="684"/>
      <c r="E123" s="684"/>
      <c r="F123" s="714"/>
      <c r="G123" s="714"/>
      <c r="H123" s="714"/>
      <c r="I123" s="714"/>
      <c r="J123" s="714"/>
      <c r="K123" s="715"/>
      <c r="L123" s="716"/>
      <c r="M123" s="717"/>
      <c r="N123" s="2161"/>
      <c r="O123" s="2161"/>
      <c r="P123" s="2162"/>
      <c r="Q123" s="2155"/>
      <c r="R123" s="2142"/>
      <c r="S123" s="2142"/>
      <c r="T123" s="2142"/>
      <c r="U123" s="2142"/>
      <c r="V123" s="2142"/>
      <c r="W123" s="2142"/>
      <c r="X123" s="2142"/>
      <c r="Y123" s="2142"/>
      <c r="Z123" s="2142"/>
      <c r="AA123" s="2142"/>
      <c r="AB123" s="2142"/>
      <c r="AC123" s="2142"/>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4"/>
      <c r="B125" s="1893" t="s">
        <v>2420</v>
      </c>
      <c r="C125" s="1371"/>
      <c r="D125" s="1371"/>
      <c r="E125" s="1371"/>
      <c r="F125" s="1371"/>
      <c r="G125" s="1371"/>
      <c r="H125" s="714"/>
      <c r="I125" s="714"/>
      <c r="J125" s="714"/>
      <c r="K125" s="715"/>
      <c r="L125" s="716"/>
      <c r="M125" s="717"/>
      <c r="N125" s="2164"/>
      <c r="O125" s="2164"/>
      <c r="P125" s="2165"/>
      <c r="Q125" s="2166"/>
      <c r="R125" s="2167"/>
      <c r="S125" s="2167"/>
      <c r="T125" s="2167"/>
      <c r="U125" s="2167"/>
      <c r="V125" s="2167"/>
      <c r="W125" s="2167"/>
      <c r="X125" s="2167"/>
      <c r="Y125" s="2167"/>
      <c r="Z125" s="2167"/>
      <c r="AA125" s="2167"/>
      <c r="AB125" s="2167"/>
      <c r="AC125" s="2167"/>
    </row>
    <row r="126" spans="1:29" s="1335"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1"/>
      <c r="B127" s="669" t="s">
        <v>590</v>
      </c>
      <c r="C127" s="684"/>
      <c r="D127" s="684"/>
      <c r="E127" s="714"/>
      <c r="F127" s="714"/>
      <c r="G127" s="714"/>
      <c r="H127" s="714"/>
      <c r="I127" s="714"/>
      <c r="J127" s="714"/>
      <c r="K127" s="715"/>
      <c r="L127" s="716"/>
      <c r="M127" s="717"/>
      <c r="N127" s="2161"/>
      <c r="O127" s="2161"/>
      <c r="P127" s="2162"/>
      <c r="Q127" s="2155"/>
      <c r="R127" s="2142"/>
      <c r="S127" s="2142"/>
      <c r="T127" s="2142"/>
      <c r="U127" s="2142"/>
      <c r="V127" s="2142"/>
      <c r="W127" s="2142"/>
      <c r="X127" s="2142"/>
      <c r="Y127" s="2142"/>
      <c r="Z127" s="2142"/>
      <c r="AA127" s="2142"/>
      <c r="AB127" s="2142"/>
      <c r="AC127" s="2142"/>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1"/>
      <c r="B129" s="669">
        <f>B45</f>
        <v>111</v>
      </c>
      <c r="C129" s="684"/>
      <c r="D129" s="684"/>
      <c r="E129" s="684"/>
      <c r="F129" s="684"/>
      <c r="G129" s="684"/>
      <c r="H129" s="714"/>
      <c r="I129" s="714"/>
      <c r="J129" s="714"/>
      <c r="K129" s="715"/>
      <c r="L129" s="716"/>
      <c r="M129" s="717"/>
      <c r="N129" s="2161"/>
      <c r="O129" s="2161"/>
      <c r="P129" s="2162"/>
      <c r="Q129" s="2155"/>
      <c r="R129" s="2142"/>
      <c r="S129" s="2142"/>
      <c r="T129" s="2142"/>
      <c r="U129" s="2142"/>
      <c r="V129" s="2142"/>
      <c r="W129" s="2142"/>
      <c r="X129" s="2142"/>
      <c r="Y129" s="2142"/>
      <c r="Z129" s="2142"/>
      <c r="AA129" s="2142"/>
      <c r="AB129" s="2142"/>
      <c r="AC129" s="2142"/>
    </row>
    <row r="130" spans="1:29" ht="15.75" thickBot="1">
      <c r="A130" s="665"/>
      <c r="B130" s="674"/>
      <c r="C130" s="688"/>
      <c r="D130" s="688"/>
      <c r="E130" s="688"/>
      <c r="F130" s="688"/>
      <c r="G130" s="667"/>
      <c r="H130" s="667"/>
      <c r="I130" s="667"/>
      <c r="J130" s="667"/>
      <c r="K130" s="667"/>
      <c r="L130" s="667"/>
      <c r="M130" s="668"/>
      <c r="N130" s="2163"/>
      <c r="O130" s="2163"/>
      <c r="P130" s="2162"/>
      <c r="Q130" s="2155"/>
      <c r="R130" s="2142"/>
      <c r="S130" s="2142"/>
      <c r="T130" s="2142"/>
      <c r="U130" s="2142"/>
      <c r="V130" s="2142"/>
      <c r="W130" s="2142"/>
      <c r="X130" s="2142"/>
      <c r="Y130" s="2142"/>
      <c r="Z130" s="2142"/>
      <c r="AA130" s="2142"/>
      <c r="AB130" s="2142"/>
      <c r="AC130" s="2142"/>
    </row>
    <row r="131" spans="1:29" ht="15" thickTop="1">
      <c r="A131" s="731"/>
      <c r="B131" s="669">
        <f>B46</f>
        <v>111</v>
      </c>
      <c r="C131" s="657"/>
      <c r="D131" s="657"/>
      <c r="E131" s="657"/>
      <c r="F131" s="657"/>
      <c r="G131" s="714"/>
      <c r="H131" s="714"/>
      <c r="I131" s="714"/>
      <c r="J131" s="714"/>
      <c r="K131" s="715"/>
      <c r="L131" s="716"/>
      <c r="M131" s="717"/>
      <c r="N131" s="2161"/>
      <c r="O131" s="2161"/>
      <c r="P131" s="2162"/>
      <c r="Q131" s="2155"/>
      <c r="R131" s="2142"/>
      <c r="S131" s="2142"/>
      <c r="T131" s="2142"/>
      <c r="U131" s="2142"/>
      <c r="V131" s="2142"/>
      <c r="W131" s="2142"/>
      <c r="X131" s="2142"/>
      <c r="Y131" s="2142"/>
      <c r="Z131" s="2142"/>
      <c r="AA131" s="2142"/>
      <c r="AB131" s="2142"/>
      <c r="AC131" s="2142"/>
    </row>
    <row r="132" spans="1:29" ht="15.75" thickBot="1">
      <c r="A132" s="665"/>
      <c r="B132" s="674"/>
      <c r="C132" s="696"/>
      <c r="D132" s="696"/>
      <c r="E132" s="696"/>
      <c r="F132" s="696"/>
      <c r="G132" s="667"/>
      <c r="H132" s="667"/>
      <c r="I132" s="667"/>
      <c r="J132" s="667"/>
      <c r="K132" s="667"/>
      <c r="L132" s="667"/>
      <c r="M132" s="668"/>
      <c r="N132" s="2163"/>
      <c r="O132" s="2163"/>
      <c r="P132" s="2162"/>
      <c r="Q132" s="2155"/>
      <c r="R132" s="2142"/>
      <c r="S132" s="2142"/>
      <c r="T132" s="2142"/>
      <c r="U132" s="2142"/>
      <c r="V132" s="2142"/>
      <c r="W132" s="2142"/>
      <c r="X132" s="2142"/>
      <c r="Y132" s="2142"/>
      <c r="Z132" s="2142"/>
      <c r="AA132" s="2142"/>
      <c r="AB132" s="2142"/>
      <c r="AC132" s="2142"/>
    </row>
    <row r="133" spans="1:29" s="1335" customFormat="1" ht="15" thickTop="1">
      <c r="A133" s="724"/>
      <c r="B133" s="669">
        <f>B47</f>
        <v>111</v>
      </c>
      <c r="C133" s="657"/>
      <c r="D133" s="657"/>
      <c r="E133" s="657"/>
      <c r="F133" s="657"/>
      <c r="G133" s="685"/>
      <c r="H133" s="685"/>
      <c r="I133" s="685"/>
      <c r="J133" s="685"/>
      <c r="K133" s="685"/>
      <c r="L133" s="686"/>
      <c r="M133" s="687"/>
      <c r="N133" s="2164"/>
      <c r="O133" s="2164"/>
      <c r="P133" s="2165"/>
      <c r="Q133" s="2166"/>
      <c r="R133" s="2167"/>
      <c r="S133" s="2167"/>
      <c r="T133" s="2167"/>
      <c r="U133" s="2167"/>
      <c r="V133" s="2167"/>
      <c r="W133" s="2167"/>
      <c r="X133" s="2167"/>
      <c r="Y133" s="2167"/>
      <c r="Z133" s="2167"/>
      <c r="AA133" s="2167"/>
      <c r="AB133" s="2167"/>
      <c r="AC133" s="2167"/>
    </row>
    <row r="134" spans="1:29" s="1335" customFormat="1" ht="15.75" thickBot="1">
      <c r="A134" s="694"/>
      <c r="B134" s="732"/>
      <c r="C134" s="696"/>
      <c r="D134" s="696"/>
      <c r="E134" s="696"/>
      <c r="F134" s="696"/>
      <c r="G134" s="722"/>
      <c r="H134" s="722"/>
      <c r="I134" s="722"/>
      <c r="J134" s="722"/>
      <c r="K134" s="722"/>
      <c r="L134" s="722"/>
      <c r="M134" s="723"/>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11" priority="14" stopIfTrue="1" operator="containsText" text="超过">
      <formula>NOT(ISERROR(SEARCH("超过",F53)))</formula>
    </cfRule>
  </conditionalFormatting>
  <conditionalFormatting sqref="J55">
    <cfRule type="containsText" dxfId="110" priority="13" stopIfTrue="1" operator="containsText" text="超过">
      <formula>NOT(ISERROR(SEARCH("超过",J55)))</formula>
    </cfRule>
  </conditionalFormatting>
  <conditionalFormatting sqref="H55">
    <cfRule type="containsText" dxfId="109" priority="12" stopIfTrue="1" operator="containsText" text="超过">
      <formula>NOT(ISERROR(SEARCH("超过",H55)))</formula>
    </cfRule>
  </conditionalFormatting>
  <conditionalFormatting sqref="F55">
    <cfRule type="containsText" dxfId="108" priority="11" stopIfTrue="1" operator="containsText" text="超过">
      <formula>NOT(ISERROR(SEARCH("超过",F55)))</formula>
    </cfRule>
  </conditionalFormatting>
  <conditionalFormatting sqref="F54 H54 J54">
    <cfRule type="containsText" dxfId="107" priority="10" stopIfTrue="1" operator="containsText" text="超过">
      <formula>NOT(ISERROR(SEARCH("超过",F54)))</formula>
    </cfRule>
  </conditionalFormatting>
  <conditionalFormatting sqref="E53">
    <cfRule type="expression" dxfId="106" priority="9" stopIfTrue="1">
      <formula>$F$53="超过30%"</formula>
    </cfRule>
  </conditionalFormatting>
  <conditionalFormatting sqref="G55">
    <cfRule type="expression" dxfId="105" priority="8" stopIfTrue="1">
      <formula>$H$55="超过30%"</formula>
    </cfRule>
  </conditionalFormatting>
  <conditionalFormatting sqref="E54">
    <cfRule type="expression" dxfId="104" priority="7" stopIfTrue="1">
      <formula>$F$54="超过20%"</formula>
    </cfRule>
  </conditionalFormatting>
  <conditionalFormatting sqref="E55">
    <cfRule type="expression" dxfId="103" priority="6" stopIfTrue="1">
      <formula>$F$55="超过30%"</formula>
    </cfRule>
  </conditionalFormatting>
  <conditionalFormatting sqref="G53">
    <cfRule type="expression" dxfId="102" priority="5" stopIfTrue="1">
      <formula>$H$55+$H$53="超过30%"</formula>
    </cfRule>
  </conditionalFormatting>
  <conditionalFormatting sqref="G54">
    <cfRule type="expression" dxfId="101" priority="4" stopIfTrue="1">
      <formula>$H$54="超过20%"</formula>
    </cfRule>
  </conditionalFormatting>
  <conditionalFormatting sqref="I53">
    <cfRule type="expression" dxfId="100" priority="3" stopIfTrue="1">
      <formula>$J$53="超过30%"</formula>
    </cfRule>
  </conditionalFormatting>
  <conditionalFormatting sqref="I54">
    <cfRule type="expression" dxfId="99" priority="2" stopIfTrue="1">
      <formula>$J$54="超过20%"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510</v>
      </c>
      <c r="B1" s="499"/>
      <c r="C1" s="500" t="s">
        <v>591</v>
      </c>
      <c r="D1" s="501" t="s">
        <v>512</v>
      </c>
      <c r="E1" s="733"/>
      <c r="F1" s="734"/>
      <c r="G1" s="733"/>
      <c r="H1" s="733"/>
      <c r="I1" s="733"/>
      <c r="J1" s="733"/>
      <c r="K1" s="73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461</v>
      </c>
      <c r="B2" s="504"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1678</v>
      </c>
      <c r="B3" s="506"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4"/>
      <c r="AC3" s="424"/>
    </row>
    <row r="4" spans="1:29" s="1332" customFormat="1" ht="28.5" customHeight="1">
      <c r="A4" s="507" t="s">
        <v>514</v>
      </c>
      <c r="B4" s="423"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4"/>
    </row>
    <row r="5" spans="1:29" s="1332" customFormat="1" ht="28.5" customHeight="1" thickBot="1">
      <c r="A5" s="425"/>
      <c r="B5" s="426" t="e">
        <f>ROUND(B2/('数据-汇总表'!D3/666.67),0)</f>
        <v>#DIV/0!</v>
      </c>
      <c r="C5" s="427" t="s">
        <v>463</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4"/>
    </row>
    <row r="6" spans="1:29" ht="15">
      <c r="A6" s="508" t="s">
        <v>515</v>
      </c>
      <c r="B6" s="509"/>
      <c r="C6" s="3552" t="s">
        <v>516</v>
      </c>
      <c r="D6" s="3553"/>
      <c r="E6" s="3554" t="s">
        <v>517</v>
      </c>
      <c r="F6" s="3555"/>
      <c r="G6" s="3552" t="s">
        <v>518</v>
      </c>
      <c r="H6" s="3553"/>
      <c r="I6" s="3552" t="s">
        <v>519</v>
      </c>
      <c r="J6" s="3553"/>
      <c r="K6" s="510" t="s">
        <v>520</v>
      </c>
      <c r="L6" s="2130"/>
      <c r="M6" s="2131"/>
      <c r="N6" s="2131"/>
      <c r="O6" s="2131"/>
      <c r="P6" s="3556" t="s">
        <v>521</v>
      </c>
      <c r="Q6" s="3557"/>
      <c r="R6" s="3539" t="s">
        <v>517</v>
      </c>
      <c r="S6" s="3540"/>
      <c r="T6" s="3539" t="s">
        <v>518</v>
      </c>
      <c r="U6" s="3540"/>
      <c r="V6" s="3564" t="s">
        <v>519</v>
      </c>
      <c r="W6" s="3564"/>
      <c r="X6" s="1563"/>
      <c r="Y6" s="3539" t="s">
        <v>521</v>
      </c>
      <c r="Z6" s="3540"/>
      <c r="AA6" s="3534" t="s">
        <v>517</v>
      </c>
      <c r="AB6" s="3535" t="s">
        <v>518</v>
      </c>
      <c r="AC6" s="3534" t="s">
        <v>519</v>
      </c>
    </row>
    <row r="7" spans="1:29" ht="15">
      <c r="A7" s="511"/>
      <c r="B7" s="512"/>
      <c r="C7" s="3589" t="s">
        <v>2925</v>
      </c>
      <c r="D7" s="3546"/>
      <c r="E7" s="3599" t="s">
        <v>2926</v>
      </c>
      <c r="F7" s="3544"/>
      <c r="G7" s="3589" t="s">
        <v>2927</v>
      </c>
      <c r="H7" s="3546"/>
      <c r="I7" s="3589" t="s">
        <v>2928</v>
      </c>
      <c r="J7" s="3546"/>
      <c r="K7" s="510"/>
      <c r="L7" s="2130"/>
      <c r="M7" s="2131"/>
      <c r="N7" s="2131"/>
      <c r="O7" s="2131"/>
      <c r="P7" s="3558"/>
      <c r="Q7" s="3559"/>
      <c r="R7" s="3541"/>
      <c r="S7" s="3542"/>
      <c r="T7" s="3541"/>
      <c r="U7" s="3542"/>
      <c r="V7" s="3564"/>
      <c r="W7" s="3564"/>
      <c r="X7" s="1563"/>
      <c r="Y7" s="3541"/>
      <c r="Z7" s="3542"/>
      <c r="AA7" s="3535"/>
      <c r="AB7" s="3535"/>
      <c r="AC7" s="3535"/>
    </row>
    <row r="8" spans="1:29" ht="15.75" thickBot="1">
      <c r="A8" s="513"/>
      <c r="B8" s="514"/>
      <c r="C8" s="3547" t="s">
        <v>2929</v>
      </c>
      <c r="D8" s="3548"/>
      <c r="E8" s="3549" t="s">
        <v>2929</v>
      </c>
      <c r="F8" s="3550"/>
      <c r="G8" s="3547" t="s">
        <v>2929</v>
      </c>
      <c r="H8" s="3548"/>
      <c r="I8" s="3547" t="s">
        <v>2929</v>
      </c>
      <c r="J8" s="3548"/>
      <c r="K8" s="510" t="s">
        <v>522</v>
      </c>
      <c r="L8" s="2130"/>
      <c r="M8" s="2131"/>
      <c r="N8" s="2131"/>
      <c r="O8" s="2131"/>
      <c r="P8" s="3560"/>
      <c r="Q8" s="3561"/>
      <c r="R8" s="3541"/>
      <c r="S8" s="3542"/>
      <c r="T8" s="3562"/>
      <c r="U8" s="3563"/>
      <c r="V8" s="3564"/>
      <c r="W8" s="3564"/>
      <c r="X8" s="1563"/>
      <c r="Y8" s="3562"/>
      <c r="Z8" s="3563"/>
      <c r="AA8" s="3536"/>
      <c r="AB8" s="3536"/>
      <c r="AC8" s="3536"/>
    </row>
    <row r="9" spans="1:29" s="1216" customFormat="1" ht="15.75" thickBot="1">
      <c r="A9" s="2909"/>
      <c r="B9" s="2916" t="s">
        <v>523</v>
      </c>
      <c r="C9" s="515">
        <f>'数据-取费表'!B2</f>
        <v>43388</v>
      </c>
      <c r="D9" s="516">
        <v>100</v>
      </c>
      <c r="E9" s="517"/>
      <c r="F9" s="518">
        <f>SUMIF(67:67,YEAR(E9)&amp;"-"&amp;INT((MONTH(E9)+2)/3),68:68)</f>
        <v>0</v>
      </c>
      <c r="G9" s="519"/>
      <c r="H9" s="516">
        <f>SUMIF(67:67,YEAR(G9)&amp;"-"&amp;INT((MONTH(G9)+2)/3),68:68)</f>
        <v>0</v>
      </c>
      <c r="I9" s="519"/>
      <c r="J9" s="516">
        <f>SUMIF(67:67,YEAR(I9)&amp;"-"&amp;INT((MONTH(I9)+2)/3),68:68)</f>
        <v>0</v>
      </c>
      <c r="K9" s="520"/>
      <c r="L9" s="2132"/>
      <c r="M9" s="2133"/>
      <c r="N9" s="2133"/>
      <c r="O9" s="2133"/>
      <c r="P9" s="3537" t="s">
        <v>524</v>
      </c>
      <c r="Q9" s="3565"/>
      <c r="R9" s="1564" t="s">
        <v>8</v>
      </c>
      <c r="S9" s="1565">
        <f t="shared" ref="S9:S17" si="0">F9</f>
        <v>0</v>
      </c>
      <c r="T9" s="1564" t="s">
        <v>8</v>
      </c>
      <c r="U9" s="1565">
        <f t="shared" ref="U9:U17" si="1">H9</f>
        <v>0</v>
      </c>
      <c r="V9" s="1564" t="s">
        <v>8</v>
      </c>
      <c r="W9" s="1565">
        <f t="shared" ref="W9:W17" si="2">J9</f>
        <v>0</v>
      </c>
      <c r="X9" s="1566"/>
      <c r="Y9" s="3537" t="s">
        <v>524</v>
      </c>
      <c r="Z9" s="3538"/>
      <c r="AA9" s="1567" t="e">
        <f>D9/F9</f>
        <v>#DIV/0!</v>
      </c>
      <c r="AB9" s="1567" t="e">
        <f>D9/H9</f>
        <v>#DIV/0!</v>
      </c>
      <c r="AC9" s="1567" t="e">
        <f>D9/J9</f>
        <v>#DIV/0!</v>
      </c>
    </row>
    <row r="10" spans="1:29" s="1216" customFormat="1" ht="15.75" thickBot="1">
      <c r="A10" s="2910"/>
      <c r="B10" s="2917" t="s">
        <v>525</v>
      </c>
      <c r="C10" s="521" t="s">
        <v>526</v>
      </c>
      <c r="D10" s="516">
        <v>100</v>
      </c>
      <c r="E10" s="521"/>
      <c r="F10" s="518">
        <f>SUMIF(70:70,E10,71:71)-SUMIF(70:70,C10,71:71)+100</f>
        <v>0</v>
      </c>
      <c r="G10" s="521"/>
      <c r="H10" s="516">
        <f>SUMIF(70:70,G10,71:71)-SUMIF(70:70,C10,71:71)+100</f>
        <v>0</v>
      </c>
      <c r="I10" s="521"/>
      <c r="J10" s="516">
        <f>SUMIF(70:70,I10,71:71)-SUMIF(70:70,C10,71:71)+100</f>
        <v>0</v>
      </c>
      <c r="K10" s="520"/>
      <c r="L10" s="2132"/>
      <c r="M10" s="2133"/>
      <c r="N10" s="2133"/>
      <c r="O10" s="2133"/>
      <c r="P10" s="3537" t="s">
        <v>527</v>
      </c>
      <c r="Q10" s="3538"/>
      <c r="R10" s="1564" t="s">
        <v>8</v>
      </c>
      <c r="S10" s="1565">
        <f t="shared" si="0"/>
        <v>0</v>
      </c>
      <c r="T10" s="1564" t="s">
        <v>8</v>
      </c>
      <c r="U10" s="1565">
        <f t="shared" si="1"/>
        <v>0</v>
      </c>
      <c r="V10" s="1564" t="s">
        <v>8</v>
      </c>
      <c r="W10" s="1565">
        <f t="shared" si="2"/>
        <v>0</v>
      </c>
      <c r="X10" s="1566"/>
      <c r="Y10" s="3537" t="s">
        <v>527</v>
      </c>
      <c r="Z10" s="3538"/>
      <c r="AA10" s="1567" t="e">
        <f t="shared" ref="AA10:AA42" si="3">D10/F10</f>
        <v>#DIV/0!</v>
      </c>
      <c r="AB10" s="1567" t="e">
        <f t="shared" ref="AB10:AB42" si="4">D10/H10</f>
        <v>#DIV/0!</v>
      </c>
      <c r="AC10" s="1567" t="e">
        <f t="shared" ref="AC10:AC42" si="5">D10/J10</f>
        <v>#DIV/0!</v>
      </c>
    </row>
    <row r="11" spans="1:29" s="1216" customFormat="1" ht="15">
      <c r="A11" s="2911"/>
      <c r="B11" s="2918" t="s">
        <v>2751</v>
      </c>
      <c r="C11" s="522"/>
      <c r="D11" s="253">
        <v>100</v>
      </c>
      <c r="E11" s="522"/>
      <c r="F11" s="253">
        <f>SUMIF(72:72,E11,73:73)-SUMIF(72:72,C11,73:73)+100</f>
        <v>100</v>
      </c>
      <c r="G11" s="522"/>
      <c r="H11" s="253">
        <f>SUMIF(72:72,G11,73:73)-SUMIF(72:72,C11,73:73)+100</f>
        <v>100</v>
      </c>
      <c r="I11" s="522"/>
      <c r="J11" s="253">
        <f>SUMIF(72:72,I11,73:73)-SUMIF(72:72,C11,73:73)+100</f>
        <v>100</v>
      </c>
      <c r="K11" s="520"/>
      <c r="L11" s="2132"/>
      <c r="M11" s="2133"/>
      <c r="N11" s="2133"/>
      <c r="O11" s="2134"/>
      <c r="P11" s="3551" t="s">
        <v>529</v>
      </c>
      <c r="Q11" s="1147" t="str">
        <f t="shared" ref="Q11:Q17" si="6">B11</f>
        <v>用途</v>
      </c>
      <c r="R11" s="1564" t="s">
        <v>8</v>
      </c>
      <c r="S11" s="1565">
        <f t="shared" si="0"/>
        <v>100</v>
      </c>
      <c r="T11" s="1564" t="s">
        <v>8</v>
      </c>
      <c r="U11" s="1565">
        <f t="shared" si="1"/>
        <v>100</v>
      </c>
      <c r="V11" s="1564" t="s">
        <v>8</v>
      </c>
      <c r="W11" s="1565">
        <f t="shared" si="2"/>
        <v>100</v>
      </c>
      <c r="X11" s="1566"/>
      <c r="Y11" s="3489" t="s">
        <v>530</v>
      </c>
      <c r="Z11" s="1146" t="str">
        <f t="shared" ref="Z11:Z17" si="7">Q11</f>
        <v>用途</v>
      </c>
      <c r="AA11" s="1567">
        <f t="shared" si="3"/>
        <v>1</v>
      </c>
      <c r="AB11" s="1567">
        <f t="shared" si="4"/>
        <v>1</v>
      </c>
      <c r="AC11" s="1567">
        <f t="shared" si="5"/>
        <v>1</v>
      </c>
    </row>
    <row r="12" spans="1:29" s="1334" customFormat="1" ht="27">
      <c r="A12" s="2912"/>
      <c r="B12" s="2917" t="s">
        <v>2752</v>
      </c>
      <c r="C12" s="524"/>
      <c r="D12" s="254">
        <v>100</v>
      </c>
      <c r="E12" s="524"/>
      <c r="F12" s="254">
        <f>ROUND(100/'数据-取费表'!G16,0)</f>
        <v>100</v>
      </c>
      <c r="G12" s="524"/>
      <c r="H12" s="254">
        <f>ROUND(100/'数据-取费表'!G16,0)</f>
        <v>100</v>
      </c>
      <c r="I12" s="524"/>
      <c r="J12" s="254">
        <f>ROUND(100/'数据-取费表'!G16,0)</f>
        <v>100</v>
      </c>
      <c r="K12" s="527"/>
      <c r="L12" s="2135"/>
      <c r="M12" s="2175"/>
      <c r="N12" s="2175"/>
      <c r="O12" s="2136"/>
      <c r="P12" s="3551"/>
      <c r="Q12" s="1147" t="str">
        <f t="shared" si="6"/>
        <v>土地使用年限（年）</v>
      </c>
      <c r="R12" s="1564" t="s">
        <v>8</v>
      </c>
      <c r="S12" s="1565">
        <f t="shared" si="0"/>
        <v>100</v>
      </c>
      <c r="T12" s="1564" t="s">
        <v>8</v>
      </c>
      <c r="U12" s="1565">
        <f t="shared" si="1"/>
        <v>100</v>
      </c>
      <c r="V12" s="1564" t="s">
        <v>8</v>
      </c>
      <c r="W12" s="1565">
        <f t="shared" si="2"/>
        <v>100</v>
      </c>
      <c r="X12" s="1566"/>
      <c r="Y12" s="3489"/>
      <c r="Z12" s="1146" t="str">
        <f t="shared" si="7"/>
        <v>土地使用年限（年）</v>
      </c>
      <c r="AA12" s="1567">
        <f t="shared" si="3"/>
        <v>1</v>
      </c>
      <c r="AB12" s="1567">
        <f t="shared" si="4"/>
        <v>1</v>
      </c>
      <c r="AC12" s="1567">
        <f t="shared" si="5"/>
        <v>1</v>
      </c>
    </row>
    <row r="13" spans="1:29" ht="15">
      <c r="A13" s="2913"/>
      <c r="B13" s="2917" t="s">
        <v>2753</v>
      </c>
      <c r="C13" s="529"/>
      <c r="D13" s="254">
        <v>100</v>
      </c>
      <c r="E13" s="529"/>
      <c r="F13" s="254" t="e">
        <f>LOOKUP(E13,77:77,78:78)-LOOKUP(C13,77:77,78:78)+100</f>
        <v>#N/A</v>
      </c>
      <c r="G13" s="530"/>
      <c r="H13" s="254" t="e">
        <f>LOOKUP(G13,77:77,78:78)-LOOKUP(C13,77:77,78:78)+100</f>
        <v>#N/A</v>
      </c>
      <c r="I13" s="529"/>
      <c r="J13" s="254" t="e">
        <f>LOOKUP(I13,77:77,78:78)-LOOKUP(C13,77:77,78:78)+100</f>
        <v>#N/A</v>
      </c>
      <c r="K13" s="531"/>
      <c r="L13" s="2137"/>
      <c r="M13" s="2131"/>
      <c r="N13" s="2131"/>
      <c r="O13" s="2138"/>
      <c r="P13" s="3551"/>
      <c r="Q13" s="1147" t="str">
        <f t="shared" si="6"/>
        <v>容积率</v>
      </c>
      <c r="R13" s="1564" t="s">
        <v>8</v>
      </c>
      <c r="S13" s="1565" t="e">
        <f t="shared" si="0"/>
        <v>#N/A</v>
      </c>
      <c r="T13" s="1564" t="s">
        <v>8</v>
      </c>
      <c r="U13" s="1565" t="e">
        <f t="shared" si="1"/>
        <v>#N/A</v>
      </c>
      <c r="V13" s="1564" t="s">
        <v>8</v>
      </c>
      <c r="W13" s="1565" t="e">
        <f t="shared" si="2"/>
        <v>#N/A</v>
      </c>
      <c r="X13" s="1566"/>
      <c r="Y13" s="3489"/>
      <c r="Z13" s="1146" t="str">
        <f t="shared" si="7"/>
        <v>容积率</v>
      </c>
      <c r="AA13" s="1567" t="e">
        <f t="shared" si="3"/>
        <v>#N/A</v>
      </c>
      <c r="AB13" s="1567" t="e">
        <f t="shared" si="4"/>
        <v>#N/A</v>
      </c>
      <c r="AC13" s="1567" t="e">
        <f t="shared" si="5"/>
        <v>#N/A</v>
      </c>
    </row>
    <row r="14" spans="1:29" s="1216" customFormat="1" ht="15">
      <c r="A14" s="2914"/>
      <c r="B14" s="2920">
        <v>111</v>
      </c>
      <c r="C14" s="524"/>
      <c r="D14" s="534">
        <v>100</v>
      </c>
      <c r="E14" s="537"/>
      <c r="F14" s="254">
        <f>SUMIF(79:79,E14,80:80)-SUMIF(79:79,C14,80:80)+100</f>
        <v>100</v>
      </c>
      <c r="G14" s="538"/>
      <c r="H14" s="254">
        <f>SUMIF(79:79,G14,80:80)-SUMIF(79:79,C14,80:80)+100</f>
        <v>100</v>
      </c>
      <c r="I14" s="537"/>
      <c r="J14" s="254">
        <f>SUMIF(79:79,I14,80:80)-SUMIF(79:79,C14,80:80)+100</f>
        <v>100</v>
      </c>
      <c r="K14" s="527"/>
      <c r="L14" s="2132"/>
      <c r="M14" s="2133"/>
      <c r="N14" s="2133"/>
      <c r="O14" s="2134"/>
      <c r="P14" s="3551"/>
      <c r="Q14" s="1147">
        <f t="shared" si="6"/>
        <v>111</v>
      </c>
      <c r="R14" s="1564" t="s">
        <v>8</v>
      </c>
      <c r="S14" s="1565">
        <f t="shared" si="0"/>
        <v>100</v>
      </c>
      <c r="T14" s="1564" t="s">
        <v>8</v>
      </c>
      <c r="U14" s="1565">
        <f t="shared" si="1"/>
        <v>100</v>
      </c>
      <c r="V14" s="1564" t="s">
        <v>8</v>
      </c>
      <c r="W14" s="1565">
        <f t="shared" si="2"/>
        <v>100</v>
      </c>
      <c r="X14" s="1566"/>
      <c r="Y14" s="3489"/>
      <c r="Z14" s="1146">
        <f t="shared" si="7"/>
        <v>111</v>
      </c>
      <c r="AA14" s="1567">
        <f>D14/F14</f>
        <v>1</v>
      </c>
      <c r="AB14" s="1567">
        <f>D14/H14</f>
        <v>1</v>
      </c>
      <c r="AC14" s="1567">
        <f>D14/J14</f>
        <v>1</v>
      </c>
    </row>
    <row r="15" spans="1:29" ht="15">
      <c r="A15" s="2914"/>
      <c r="B15" s="2920">
        <v>111</v>
      </c>
      <c r="C15" s="535"/>
      <c r="D15" s="536">
        <v>100</v>
      </c>
      <c r="E15" s="537"/>
      <c r="F15" s="254">
        <f>SUMIF(81:81,E15,82:82)-SUMIF(81:81,C15,82:82)+100</f>
        <v>100</v>
      </c>
      <c r="G15" s="538"/>
      <c r="H15" s="536">
        <f>SUMIF(81:81,G15,82:82)-SUMIF(81:81,C15,82:82)+100</f>
        <v>100</v>
      </c>
      <c r="I15" s="537"/>
      <c r="J15" s="536">
        <f>SUMIF(81:81,I15,82:82)-SUMIF(81:81,C15,82:82)+100</f>
        <v>100</v>
      </c>
      <c r="K15" s="527"/>
      <c r="L15" s="2139"/>
      <c r="M15" s="2131"/>
      <c r="N15" s="2131"/>
      <c r="O15" s="2138"/>
      <c r="P15" s="3551"/>
      <c r="Q15" s="1147">
        <f t="shared" si="6"/>
        <v>111</v>
      </c>
      <c r="R15" s="1564" t="s">
        <v>8</v>
      </c>
      <c r="S15" s="1565">
        <f t="shared" si="0"/>
        <v>100</v>
      </c>
      <c r="T15" s="1564" t="s">
        <v>8</v>
      </c>
      <c r="U15" s="1565">
        <f t="shared" si="1"/>
        <v>100</v>
      </c>
      <c r="V15" s="1564" t="s">
        <v>8</v>
      </c>
      <c r="W15" s="1565">
        <f t="shared" si="2"/>
        <v>100</v>
      </c>
      <c r="X15" s="1566"/>
      <c r="Y15" s="3489"/>
      <c r="Z15" s="1146">
        <f t="shared" si="7"/>
        <v>111</v>
      </c>
      <c r="AA15" s="1567">
        <f t="shared" si="3"/>
        <v>1</v>
      </c>
      <c r="AB15" s="1567">
        <f t="shared" si="4"/>
        <v>1</v>
      </c>
      <c r="AC15" s="1567">
        <f t="shared" si="5"/>
        <v>1</v>
      </c>
    </row>
    <row r="16" spans="1:29" ht="15.75" thickBot="1">
      <c r="A16" s="2915"/>
      <c r="B16" s="2921">
        <v>111</v>
      </c>
      <c r="C16" s="541"/>
      <c r="D16" s="542">
        <v>100</v>
      </c>
      <c r="E16" s="537"/>
      <c r="F16" s="542">
        <f>SUMIF(83:83,E16,84:84)-SUMIF(83:83,C16,84:84)+100</f>
        <v>100</v>
      </c>
      <c r="G16" s="538"/>
      <c r="H16" s="542">
        <f>SUMIF(83:83,G16,84:84)-SUMIF(83:83,C16,84:84)+100</f>
        <v>100</v>
      </c>
      <c r="I16" s="537"/>
      <c r="J16" s="542">
        <f>SUMIF(83:83,I16,84:84)-SUMIF(83:83,C16,84:84)+100</f>
        <v>100</v>
      </c>
      <c r="K16" s="527"/>
      <c r="L16" s="2139"/>
      <c r="M16" s="2131"/>
      <c r="N16" s="2131"/>
      <c r="O16" s="2138"/>
      <c r="P16" s="3551"/>
      <c r="Q16" s="1147">
        <f t="shared" si="6"/>
        <v>111</v>
      </c>
      <c r="R16" s="1564" t="s">
        <v>8</v>
      </c>
      <c r="S16" s="1565">
        <f t="shared" si="0"/>
        <v>100</v>
      </c>
      <c r="T16" s="1564" t="s">
        <v>8</v>
      </c>
      <c r="U16" s="1565">
        <f t="shared" si="1"/>
        <v>100</v>
      </c>
      <c r="V16" s="1564" t="s">
        <v>8</v>
      </c>
      <c r="W16" s="1565">
        <f t="shared" si="2"/>
        <v>100</v>
      </c>
      <c r="X16" s="1566"/>
      <c r="Y16" s="3489"/>
      <c r="Z16" s="1146">
        <f t="shared" si="7"/>
        <v>111</v>
      </c>
      <c r="AA16" s="1567">
        <f t="shared" si="3"/>
        <v>1</v>
      </c>
      <c r="AB16" s="1567">
        <f t="shared" si="4"/>
        <v>1</v>
      </c>
      <c r="AC16" s="1567">
        <f t="shared" si="5"/>
        <v>1</v>
      </c>
    </row>
    <row r="17" spans="1:29" ht="57">
      <c r="A17" s="2907" t="s">
        <v>2749</v>
      </c>
      <c r="B17" s="165" t="s">
        <v>592</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9"/>
      <c r="M17" s="2131"/>
      <c r="N17" s="2131"/>
      <c r="O17" s="2138"/>
      <c r="P17" s="3570" t="s">
        <v>534</v>
      </c>
      <c r="Q17" s="1568" t="str">
        <f t="shared" si="6"/>
        <v>产业集聚程度</v>
      </c>
      <c r="R17" s="1569" t="s">
        <v>8</v>
      </c>
      <c r="S17" s="1570">
        <f t="shared" si="0"/>
        <v>100</v>
      </c>
      <c r="T17" s="1569" t="s">
        <v>8</v>
      </c>
      <c r="U17" s="1570">
        <f t="shared" si="1"/>
        <v>100</v>
      </c>
      <c r="V17" s="1569" t="s">
        <v>8</v>
      </c>
      <c r="W17" s="1570">
        <f t="shared" si="2"/>
        <v>100</v>
      </c>
      <c r="X17" s="1563"/>
      <c r="Y17" s="3570" t="s">
        <v>534</v>
      </c>
      <c r="Z17" s="1571" t="str">
        <f t="shared" si="7"/>
        <v>产业集聚程度</v>
      </c>
      <c r="AA17" s="1572">
        <f t="shared" si="3"/>
        <v>1</v>
      </c>
      <c r="AB17" s="1572">
        <f t="shared" si="4"/>
        <v>1</v>
      </c>
      <c r="AC17" s="1572">
        <f t="shared" si="5"/>
        <v>1</v>
      </c>
    </row>
    <row r="18" spans="1:29" ht="15">
      <c r="A18" s="528"/>
      <c r="B18" s="865"/>
      <c r="C18" s="572"/>
      <c r="D18" s="551"/>
      <c r="E18" s="550"/>
      <c r="F18" s="551"/>
      <c r="G18" s="550"/>
      <c r="H18" s="555"/>
      <c r="I18" s="550"/>
      <c r="J18" s="551"/>
      <c r="K18" s="527"/>
      <c r="L18" s="2139"/>
      <c r="M18" s="2131"/>
      <c r="N18" s="2131"/>
      <c r="O18" s="2138"/>
      <c r="P18" s="3571"/>
      <c r="Q18" s="1568"/>
      <c r="R18" s="1569"/>
      <c r="S18" s="1570"/>
      <c r="T18" s="1569"/>
      <c r="U18" s="1570"/>
      <c r="V18" s="1569"/>
      <c r="W18" s="1570"/>
      <c r="X18" s="1563"/>
      <c r="Y18" s="3571"/>
      <c r="Z18" s="1571"/>
      <c r="AA18" s="1572">
        <v>1</v>
      </c>
      <c r="AB18" s="1572">
        <v>1</v>
      </c>
      <c r="AC18" s="1572">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9"/>
      <c r="M19" s="2131"/>
      <c r="N19" s="2131"/>
      <c r="O19" s="2138"/>
      <c r="P19" s="3571"/>
      <c r="Q19" s="1568" t="str">
        <f>B19</f>
        <v>交通便捷度</v>
      </c>
      <c r="R19" s="1569" t="s">
        <v>8</v>
      </c>
      <c r="S19" s="1570">
        <f>F19</f>
        <v>100</v>
      </c>
      <c r="T19" s="1569" t="s">
        <v>8</v>
      </c>
      <c r="U19" s="1570">
        <f>H19</f>
        <v>100</v>
      </c>
      <c r="V19" s="1569" t="s">
        <v>8</v>
      </c>
      <c r="W19" s="1570">
        <f>J19</f>
        <v>100</v>
      </c>
      <c r="X19" s="1563"/>
      <c r="Y19" s="3571"/>
      <c r="Z19" s="1571" t="str">
        <f>Q19</f>
        <v>交通便捷度</v>
      </c>
      <c r="AA19" s="1572">
        <f t="shared" si="3"/>
        <v>1</v>
      </c>
      <c r="AB19" s="1572">
        <f t="shared" si="4"/>
        <v>1</v>
      </c>
      <c r="AC19" s="1572">
        <f t="shared" si="5"/>
        <v>1</v>
      </c>
    </row>
    <row r="20" spans="1:29" ht="15">
      <c r="A20" s="528"/>
      <c r="B20" s="918"/>
      <c r="C20" s="572"/>
      <c r="D20" s="551"/>
      <c r="E20" s="552"/>
      <c r="F20" s="551"/>
      <c r="G20" s="552"/>
      <c r="H20" s="551"/>
      <c r="I20" s="554"/>
      <c r="J20" s="551"/>
      <c r="K20" s="527"/>
      <c r="L20" s="2139"/>
      <c r="M20" s="2131"/>
      <c r="N20" s="2131"/>
      <c r="O20" s="2138"/>
      <c r="P20" s="3571"/>
      <c r="Q20" s="1568"/>
      <c r="R20" s="1569"/>
      <c r="S20" s="1570"/>
      <c r="T20" s="1569"/>
      <c r="U20" s="1570"/>
      <c r="V20" s="1569"/>
      <c r="W20" s="1570"/>
      <c r="X20" s="1563"/>
      <c r="Y20" s="3571"/>
      <c r="Z20" s="1571"/>
      <c r="AA20" s="1572">
        <v>1</v>
      </c>
      <c r="AB20" s="1572">
        <v>1</v>
      </c>
      <c r="AC20" s="1572">
        <v>1</v>
      </c>
    </row>
    <row r="21" spans="1:29" ht="27">
      <c r="A21" s="511"/>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9"/>
      <c r="M21" s="2131"/>
      <c r="N21" s="2131"/>
      <c r="O21" s="2138"/>
      <c r="P21" s="3571"/>
      <c r="Q21" s="1568" t="str">
        <f t="shared" ref="Q21:Q35" si="8">B21</f>
        <v>区域土地利用方向</v>
      </c>
      <c r="R21" s="1569" t="s">
        <v>8</v>
      </c>
      <c r="S21" s="1570">
        <f>F21</f>
        <v>100</v>
      </c>
      <c r="T21" s="1569" t="s">
        <v>8</v>
      </c>
      <c r="U21" s="1570">
        <f>H21</f>
        <v>100</v>
      </c>
      <c r="V21" s="1569" t="s">
        <v>8</v>
      </c>
      <c r="W21" s="1570">
        <f>J21</f>
        <v>100</v>
      </c>
      <c r="X21" s="1563"/>
      <c r="Y21" s="3571"/>
      <c r="Z21" s="1571" t="str">
        <f>Q21</f>
        <v>区域土地利用方向</v>
      </c>
      <c r="AA21" s="1572">
        <f t="shared" si="3"/>
        <v>1</v>
      </c>
      <c r="AB21" s="1572">
        <f t="shared" si="4"/>
        <v>1</v>
      </c>
      <c r="AC21" s="1572">
        <f t="shared" si="5"/>
        <v>1</v>
      </c>
    </row>
    <row r="22" spans="1:29" ht="15">
      <c r="A22" s="511"/>
      <c r="B22" s="591"/>
      <c r="C22" s="572"/>
      <c r="D22" s="551"/>
      <c r="E22" s="552"/>
      <c r="F22" s="553"/>
      <c r="G22" s="554"/>
      <c r="H22" s="553"/>
      <c r="I22" s="554"/>
      <c r="J22" s="553"/>
      <c r="K22" s="1344"/>
      <c r="L22" s="2139"/>
      <c r="M22" s="2131"/>
      <c r="N22" s="2131"/>
      <c r="O22" s="2138"/>
      <c r="P22" s="3571"/>
      <c r="Q22" s="1568"/>
      <c r="R22" s="1569"/>
      <c r="S22" s="1570"/>
      <c r="T22" s="1569"/>
      <c r="U22" s="1570"/>
      <c r="V22" s="1569"/>
      <c r="W22" s="1570"/>
      <c r="X22" s="1563"/>
      <c r="Y22" s="3571"/>
      <c r="Z22" s="1571"/>
      <c r="AA22" s="1572"/>
      <c r="AB22" s="1572"/>
      <c r="AC22" s="1572"/>
    </row>
    <row r="23" spans="1:29" ht="71.25">
      <c r="A23" s="511"/>
      <c r="B23" s="918"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9"/>
      <c r="M23" s="2131"/>
      <c r="N23" s="2131"/>
      <c r="O23" s="2138"/>
      <c r="P23" s="3571"/>
      <c r="Q23" s="1568" t="str">
        <f t="shared" si="8"/>
        <v>环境状况</v>
      </c>
      <c r="R23" s="1569" t="s">
        <v>8</v>
      </c>
      <c r="S23" s="1570">
        <f>F23</f>
        <v>100</v>
      </c>
      <c r="T23" s="1569" t="s">
        <v>8</v>
      </c>
      <c r="U23" s="1570">
        <f>H23</f>
        <v>100</v>
      </c>
      <c r="V23" s="1569" t="s">
        <v>8</v>
      </c>
      <c r="W23" s="1570">
        <f>J23</f>
        <v>100</v>
      </c>
      <c r="X23" s="1563"/>
      <c r="Y23" s="3571"/>
      <c r="Z23" s="1571" t="str">
        <f>Q23</f>
        <v>环境状况</v>
      </c>
      <c r="AA23" s="1572">
        <f t="shared" si="3"/>
        <v>1</v>
      </c>
      <c r="AB23" s="1572">
        <f t="shared" si="4"/>
        <v>1</v>
      </c>
      <c r="AC23" s="1572">
        <f t="shared" si="5"/>
        <v>1</v>
      </c>
    </row>
    <row r="24" spans="1:29" ht="15">
      <c r="A24" s="511"/>
      <c r="B24" s="591"/>
      <c r="C24" s="572"/>
      <c r="D24" s="551"/>
      <c r="E24" s="550"/>
      <c r="F24" s="551"/>
      <c r="G24" s="550"/>
      <c r="H24" s="551"/>
      <c r="I24" s="572"/>
      <c r="J24" s="551"/>
      <c r="K24" s="527"/>
      <c r="L24" s="2139"/>
      <c r="M24" s="2131"/>
      <c r="N24" s="2131"/>
      <c r="O24" s="2138"/>
      <c r="P24" s="3571"/>
      <c r="Q24" s="1568"/>
      <c r="R24" s="1569"/>
      <c r="S24" s="1570"/>
      <c r="T24" s="1569"/>
      <c r="U24" s="1570"/>
      <c r="V24" s="1569"/>
      <c r="W24" s="1570"/>
      <c r="X24" s="1563"/>
      <c r="Y24" s="3571"/>
      <c r="Z24" s="1571"/>
      <c r="AA24" s="1572">
        <v>1</v>
      </c>
      <c r="AB24" s="1572">
        <v>1</v>
      </c>
      <c r="AC24" s="1572">
        <v>1</v>
      </c>
    </row>
    <row r="25" spans="1:29" s="1216" customFormat="1" ht="42.75">
      <c r="A25" s="573"/>
      <c r="B25" s="2590" t="s">
        <v>2543</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2"/>
      <c r="M25" s="2133"/>
      <c r="N25" s="2133"/>
      <c r="O25" s="2134"/>
      <c r="P25" s="3571"/>
      <c r="Q25" s="1147" t="str">
        <f t="shared" si="8"/>
        <v>公共配套设施</v>
      </c>
      <c r="R25" s="1564" t="s">
        <v>8</v>
      </c>
      <c r="S25" s="1565">
        <f>F25</f>
        <v>100</v>
      </c>
      <c r="T25" s="1564" t="s">
        <v>8</v>
      </c>
      <c r="U25" s="1565">
        <f>H25</f>
        <v>100</v>
      </c>
      <c r="V25" s="1564" t="s">
        <v>8</v>
      </c>
      <c r="W25" s="1565">
        <f>J25</f>
        <v>100</v>
      </c>
      <c r="X25" s="1566"/>
      <c r="Y25" s="3571"/>
      <c r="Z25" s="1146" t="str">
        <f>Q25</f>
        <v>公共配套设施</v>
      </c>
      <c r="AA25" s="1572">
        <f>D25/F25</f>
        <v>1</v>
      </c>
      <c r="AB25" s="1572">
        <f>D25/H25</f>
        <v>1</v>
      </c>
      <c r="AC25" s="1572">
        <f>D25/J25</f>
        <v>1</v>
      </c>
    </row>
    <row r="26" spans="1:29" s="1216" customFormat="1" ht="15">
      <c r="A26" s="573"/>
      <c r="B26" s="591"/>
      <c r="C26" s="2589"/>
      <c r="D26" s="551"/>
      <c r="E26" s="550"/>
      <c r="F26" s="551"/>
      <c r="G26" s="550"/>
      <c r="H26" s="551"/>
      <c r="I26" s="572"/>
      <c r="J26" s="551"/>
      <c r="K26" s="527"/>
      <c r="L26" s="2132"/>
      <c r="M26" s="2133"/>
      <c r="N26" s="2133"/>
      <c r="O26" s="2134"/>
      <c r="P26" s="3571"/>
      <c r="Q26" s="1147"/>
      <c r="R26" s="1564"/>
      <c r="S26" s="1565"/>
      <c r="T26" s="1564"/>
      <c r="U26" s="1565"/>
      <c r="V26" s="1564"/>
      <c r="W26" s="1565"/>
      <c r="X26" s="1566"/>
      <c r="Y26" s="3571"/>
      <c r="Z26" s="1146"/>
      <c r="AA26" s="1567">
        <v>1</v>
      </c>
      <c r="AB26" s="1567">
        <v>1</v>
      </c>
      <c r="AC26" s="1567">
        <v>1</v>
      </c>
    </row>
    <row r="27" spans="1:29" s="1216" customFormat="1" ht="28.5">
      <c r="A27" s="573"/>
      <c r="B27" s="2590" t="s">
        <v>2544</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2"/>
      <c r="M27" s="2133"/>
      <c r="N27" s="2133"/>
      <c r="O27" s="2134"/>
      <c r="P27" s="3571"/>
      <c r="Q27" s="2575" t="str">
        <f t="shared" ref="Q27" si="9">B27</f>
        <v>基础设施水平</v>
      </c>
      <c r="R27" s="1564" t="s">
        <v>8</v>
      </c>
      <c r="S27" s="1565">
        <f>F27</f>
        <v>100</v>
      </c>
      <c r="T27" s="1564" t="s">
        <v>8</v>
      </c>
      <c r="U27" s="1565">
        <f>H27</f>
        <v>100</v>
      </c>
      <c r="V27" s="1564" t="s">
        <v>8</v>
      </c>
      <c r="W27" s="1565">
        <f>J27</f>
        <v>100</v>
      </c>
      <c r="X27" s="1566"/>
      <c r="Y27" s="3571"/>
      <c r="Z27" s="2572" t="str">
        <f>Q27</f>
        <v>基础设施水平</v>
      </c>
      <c r="AA27" s="1572">
        <f>D27/F27</f>
        <v>1</v>
      </c>
      <c r="AB27" s="1572">
        <f>D27/H27</f>
        <v>1</v>
      </c>
      <c r="AC27" s="1572">
        <f>D27/J27</f>
        <v>1</v>
      </c>
    </row>
    <row r="28" spans="1:29" s="1216" customFormat="1" ht="15">
      <c r="A28" s="573"/>
      <c r="B28" s="591"/>
      <c r="C28" s="2589"/>
      <c r="D28" s="551"/>
      <c r="E28" s="575"/>
      <c r="F28" s="551"/>
      <c r="G28" s="575"/>
      <c r="H28" s="551"/>
      <c r="I28" s="575"/>
      <c r="J28" s="551"/>
      <c r="K28" s="527"/>
      <c r="L28" s="2132"/>
      <c r="M28" s="2133"/>
      <c r="N28" s="2133"/>
      <c r="O28" s="2134"/>
      <c r="P28" s="3571"/>
      <c r="Q28" s="2575"/>
      <c r="R28" s="1564"/>
      <c r="S28" s="1565"/>
      <c r="T28" s="1564"/>
      <c r="U28" s="1565"/>
      <c r="V28" s="1564"/>
      <c r="W28" s="1565"/>
      <c r="X28" s="1566"/>
      <c r="Y28" s="3571"/>
      <c r="Z28" s="2572"/>
      <c r="AA28" s="1567">
        <v>1</v>
      </c>
      <c r="AB28" s="1567">
        <v>1</v>
      </c>
      <c r="AC28" s="1567">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9"/>
      <c r="M29" s="2131"/>
      <c r="N29" s="2131"/>
      <c r="O29" s="2138"/>
      <c r="P29" s="357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71"/>
      <c r="Z29" s="1571" t="str">
        <f t="shared" ref="Z29:Z42" si="13">Q29</f>
        <v>临街状况</v>
      </c>
      <c r="AA29" s="1572">
        <f t="shared" si="3"/>
        <v>1</v>
      </c>
      <c r="AB29" s="1572">
        <f t="shared" si="4"/>
        <v>1</v>
      </c>
      <c r="AC29" s="1572">
        <f t="shared" si="5"/>
        <v>1</v>
      </c>
    </row>
    <row r="30" spans="1:29" ht="27">
      <c r="A30" s="528"/>
      <c r="B30" s="918" t="s">
        <v>542</v>
      </c>
      <c r="C30" s="2592">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9"/>
      <c r="M30" s="2131"/>
      <c r="N30" s="2131"/>
      <c r="O30" s="2138"/>
      <c r="P30" s="3571"/>
      <c r="Q30" s="1568" t="str">
        <f t="shared" si="8"/>
        <v>毗邻道路的类型与等级</v>
      </c>
      <c r="R30" s="1569" t="s">
        <v>8</v>
      </c>
      <c r="S30" s="1570">
        <f t="shared" si="10"/>
        <v>100</v>
      </c>
      <c r="T30" s="1569" t="s">
        <v>8</v>
      </c>
      <c r="U30" s="1570">
        <f t="shared" si="11"/>
        <v>100</v>
      </c>
      <c r="V30" s="1569" t="s">
        <v>8</v>
      </c>
      <c r="W30" s="1570">
        <f t="shared" si="12"/>
        <v>100</v>
      </c>
      <c r="X30" s="1563"/>
      <c r="Y30" s="3571"/>
      <c r="Z30" s="1571" t="str">
        <f t="shared" si="13"/>
        <v>毗邻道路的类型与等级</v>
      </c>
      <c r="AA30" s="1572">
        <f t="shared" si="3"/>
        <v>1</v>
      </c>
      <c r="AB30" s="1572">
        <f t="shared" si="4"/>
        <v>1</v>
      </c>
      <c r="AC30" s="1572">
        <f t="shared" si="5"/>
        <v>1</v>
      </c>
    </row>
    <row r="31" spans="1:29" ht="15">
      <c r="A31" s="528"/>
      <c r="B31" s="591"/>
      <c r="C31" s="572"/>
      <c r="D31" s="551"/>
      <c r="E31" s="572"/>
      <c r="F31" s="551"/>
      <c r="G31" s="572"/>
      <c r="H31" s="551"/>
      <c r="I31" s="572"/>
      <c r="J31" s="551"/>
      <c r="K31" s="577"/>
      <c r="L31" s="2139"/>
      <c r="M31" s="2131"/>
      <c r="N31" s="2131"/>
      <c r="O31" s="2138"/>
      <c r="P31" s="3571"/>
      <c r="Q31" s="1568"/>
      <c r="R31" s="1569"/>
      <c r="S31" s="1570"/>
      <c r="T31" s="1569"/>
      <c r="U31" s="1570"/>
      <c r="V31" s="1569"/>
      <c r="W31" s="1570"/>
      <c r="X31" s="1563"/>
      <c r="Y31" s="3571"/>
      <c r="Z31" s="1571"/>
      <c r="AA31" s="1572">
        <v>1</v>
      </c>
      <c r="AB31" s="1572">
        <v>1</v>
      </c>
      <c r="AC31" s="1572">
        <v>1</v>
      </c>
    </row>
    <row r="32" spans="1:29" ht="15">
      <c r="A32" s="528"/>
      <c r="B32" s="523" t="s">
        <v>543</v>
      </c>
      <c r="C32" s="2593">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9"/>
      <c r="M32" s="2131"/>
      <c r="N32" s="2131"/>
      <c r="O32" s="2138"/>
      <c r="P32" s="3571"/>
      <c r="Q32" s="1568" t="str">
        <f t="shared" si="8"/>
        <v>土地级别</v>
      </c>
      <c r="R32" s="1569" t="s">
        <v>8</v>
      </c>
      <c r="S32" s="1570">
        <f t="shared" si="10"/>
        <v>100</v>
      </c>
      <c r="T32" s="1569" t="s">
        <v>8</v>
      </c>
      <c r="U32" s="1570">
        <f t="shared" si="11"/>
        <v>100</v>
      </c>
      <c r="V32" s="1569" t="s">
        <v>8</v>
      </c>
      <c r="W32" s="1570">
        <f t="shared" si="12"/>
        <v>100</v>
      </c>
      <c r="X32" s="1563"/>
      <c r="Y32" s="3571"/>
      <c r="Z32" s="1571" t="str">
        <f t="shared" si="13"/>
        <v>土地级别</v>
      </c>
      <c r="AA32" s="1572">
        <f t="shared" si="3"/>
        <v>1</v>
      </c>
      <c r="AB32" s="1572">
        <f t="shared" si="4"/>
        <v>1</v>
      </c>
      <c r="AC32" s="1572">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9"/>
      <c r="M33" s="2131"/>
      <c r="N33" s="2131"/>
      <c r="O33" s="2138"/>
      <c r="P33" s="3571"/>
      <c r="Q33" s="1568">
        <f t="shared" si="8"/>
        <v>111</v>
      </c>
      <c r="R33" s="1569" t="s">
        <v>8</v>
      </c>
      <c r="S33" s="1570">
        <f t="shared" si="10"/>
        <v>100</v>
      </c>
      <c r="T33" s="1569" t="s">
        <v>8</v>
      </c>
      <c r="U33" s="1570">
        <f t="shared" si="11"/>
        <v>100</v>
      </c>
      <c r="V33" s="1569" t="s">
        <v>8</v>
      </c>
      <c r="W33" s="1570">
        <f t="shared" si="12"/>
        <v>100</v>
      </c>
      <c r="X33" s="1563"/>
      <c r="Y33" s="3571"/>
      <c r="Z33" s="1571">
        <f t="shared" si="13"/>
        <v>111</v>
      </c>
      <c r="AA33" s="1572">
        <f t="shared" si="3"/>
        <v>1</v>
      </c>
      <c r="AB33" s="1572">
        <f t="shared" si="4"/>
        <v>1</v>
      </c>
      <c r="AC33" s="1572">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9"/>
      <c r="M34" s="2131"/>
      <c r="N34" s="2131"/>
      <c r="O34" s="2138"/>
      <c r="P34" s="3572" t="s">
        <v>544</v>
      </c>
      <c r="Q34" s="1568">
        <f t="shared" si="8"/>
        <v>111</v>
      </c>
      <c r="R34" s="1569" t="s">
        <v>8</v>
      </c>
      <c r="S34" s="1570">
        <f t="shared" si="10"/>
        <v>100</v>
      </c>
      <c r="T34" s="1569" t="s">
        <v>8</v>
      </c>
      <c r="U34" s="1570">
        <f t="shared" si="11"/>
        <v>100</v>
      </c>
      <c r="V34" s="1569" t="s">
        <v>8</v>
      </c>
      <c r="W34" s="1570">
        <f t="shared" si="12"/>
        <v>100</v>
      </c>
      <c r="X34" s="1563"/>
      <c r="Y34" s="3573" t="s">
        <v>544</v>
      </c>
      <c r="Z34" s="1571">
        <f t="shared" si="13"/>
        <v>111</v>
      </c>
      <c r="AA34" s="1572">
        <f t="shared" si="3"/>
        <v>1</v>
      </c>
      <c r="AB34" s="1572">
        <f t="shared" si="4"/>
        <v>1</v>
      </c>
      <c r="AC34" s="1572">
        <f t="shared" si="5"/>
        <v>1</v>
      </c>
    </row>
    <row r="35" spans="1:29" s="1335" customFormat="1" ht="15.75" thickBot="1">
      <c r="A35" s="585"/>
      <c r="B35" s="2591">
        <v>111</v>
      </c>
      <c r="C35" s="589"/>
      <c r="D35" s="255">
        <v>100</v>
      </c>
      <c r="E35" s="737"/>
      <c r="F35" s="542">
        <f>SUMIF(107:107,E35,108:108)-SUMIF(107:107,C35,108:108)+100</f>
        <v>100</v>
      </c>
      <c r="G35" s="737"/>
      <c r="H35" s="542">
        <f>SUMIF(107:107,G35,108:108)-SUMIF(107:107,C35,108:108)+100</f>
        <v>100</v>
      </c>
      <c r="I35" s="589"/>
      <c r="J35" s="542">
        <f>SUMIF(107:107,I35,108:108)-SUMIF(107:107,C35,108:108)+100</f>
        <v>100</v>
      </c>
      <c r="K35" s="577"/>
      <c r="L35" s="2137"/>
      <c r="M35" s="2168"/>
      <c r="N35" s="2168"/>
      <c r="O35" s="2140"/>
      <c r="P35" s="3573"/>
      <c r="Q35" s="1568">
        <f t="shared" si="8"/>
        <v>111</v>
      </c>
      <c r="R35" s="1573" t="s">
        <v>8</v>
      </c>
      <c r="S35" s="1574">
        <f t="shared" si="10"/>
        <v>100</v>
      </c>
      <c r="T35" s="1573" t="s">
        <v>8</v>
      </c>
      <c r="U35" s="1574">
        <f t="shared" si="11"/>
        <v>100</v>
      </c>
      <c r="V35" s="1573" t="s">
        <v>8</v>
      </c>
      <c r="W35" s="1574">
        <f t="shared" si="12"/>
        <v>100</v>
      </c>
      <c r="X35" s="1575"/>
      <c r="Y35" s="3573"/>
      <c r="Z35" s="1576">
        <f t="shared" si="13"/>
        <v>111</v>
      </c>
      <c r="AA35" s="1572">
        <f t="shared" si="3"/>
        <v>1</v>
      </c>
      <c r="AB35" s="1572">
        <f t="shared" si="4"/>
        <v>1</v>
      </c>
      <c r="AC35" s="1572">
        <f t="shared" si="5"/>
        <v>1</v>
      </c>
    </row>
    <row r="36" spans="1:29" ht="15">
      <c r="A36" s="2904" t="s">
        <v>2750</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9"/>
      <c r="M36" s="2131"/>
      <c r="N36" s="2131"/>
      <c r="O36" s="2138"/>
      <c r="P36" s="3573"/>
      <c r="Q36" s="1568" t="str">
        <f>B36</f>
        <v>宗地面积</v>
      </c>
      <c r="R36" s="1569" t="s">
        <v>8</v>
      </c>
      <c r="S36" s="1570" t="e">
        <f t="shared" si="10"/>
        <v>#N/A</v>
      </c>
      <c r="T36" s="1569" t="s">
        <v>8</v>
      </c>
      <c r="U36" s="1570" t="e">
        <f t="shared" si="11"/>
        <v>#N/A</v>
      </c>
      <c r="V36" s="1569" t="s">
        <v>8</v>
      </c>
      <c r="W36" s="1570" t="e">
        <f t="shared" si="12"/>
        <v>#N/A</v>
      </c>
      <c r="X36" s="1563"/>
      <c r="Y36" s="3573"/>
      <c r="Z36" s="1571" t="str">
        <f t="shared" si="13"/>
        <v>宗地面积</v>
      </c>
      <c r="AA36" s="1572" t="e">
        <f t="shared" si="3"/>
        <v>#N/A</v>
      </c>
      <c r="AB36" s="1572" t="e">
        <f t="shared" si="4"/>
        <v>#N/A</v>
      </c>
      <c r="AC36" s="1572" t="e">
        <f t="shared" si="5"/>
        <v>#N/A</v>
      </c>
    </row>
    <row r="37" spans="1:29" ht="15">
      <c r="A37" s="590"/>
      <c r="B37" s="523"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9"/>
      <c r="M37" s="2131"/>
      <c r="N37" s="2131"/>
      <c r="O37" s="2138"/>
      <c r="P37" s="3573"/>
      <c r="Q37" s="1568" t="str">
        <f t="shared" ref="Q37:Q42" si="14">B37</f>
        <v>宗地形状</v>
      </c>
      <c r="R37" s="1569" t="s">
        <v>8</v>
      </c>
      <c r="S37" s="1570">
        <f t="shared" si="10"/>
        <v>100</v>
      </c>
      <c r="T37" s="1569" t="s">
        <v>8</v>
      </c>
      <c r="U37" s="1570">
        <f t="shared" si="11"/>
        <v>100</v>
      </c>
      <c r="V37" s="1569" t="s">
        <v>8</v>
      </c>
      <c r="W37" s="1570">
        <f t="shared" si="12"/>
        <v>100</v>
      </c>
      <c r="X37" s="1563"/>
      <c r="Y37" s="3573"/>
      <c r="Z37" s="1571" t="str">
        <f t="shared" si="13"/>
        <v>宗地形状</v>
      </c>
      <c r="AA37" s="1572">
        <f t="shared" si="3"/>
        <v>1</v>
      </c>
      <c r="AB37" s="1572">
        <f t="shared" si="4"/>
        <v>1</v>
      </c>
      <c r="AC37" s="1572">
        <f t="shared" si="5"/>
        <v>1</v>
      </c>
    </row>
    <row r="38" spans="1:29" s="1216" customFormat="1" ht="15">
      <c r="A38" s="596"/>
      <c r="B38" s="1892" t="s">
        <v>2419</v>
      </c>
      <c r="C38" s="597"/>
      <c r="D38" s="254">
        <v>100</v>
      </c>
      <c r="E38" s="597"/>
      <c r="F38" s="536">
        <f>SUMIF(114:114,E38,115:115)-SUMIF(114:114,C38,115:115)+100</f>
        <v>100</v>
      </c>
      <c r="G38" s="597"/>
      <c r="H38" s="536">
        <f>SUMIF(114:114,G38,115:115)-SUMIF(114:114,C38,115:115)+100</f>
        <v>100</v>
      </c>
      <c r="I38" s="597"/>
      <c r="J38" s="536">
        <f>SUMIF(114:114,I38,115:115)-SUMIF(114:114,C38,115:115)+100</f>
        <v>100</v>
      </c>
      <c r="K38" s="580"/>
      <c r="L38" s="2132"/>
      <c r="M38" s="2133"/>
      <c r="N38" s="2133"/>
      <c r="O38" s="2134"/>
      <c r="P38" s="3573"/>
      <c r="Q38" s="1568" t="str">
        <f t="shared" si="14"/>
        <v>宗地开发程度</v>
      </c>
      <c r="R38" s="1564" t="s">
        <v>8</v>
      </c>
      <c r="S38" s="1565">
        <f t="shared" si="10"/>
        <v>100</v>
      </c>
      <c r="T38" s="1564" t="s">
        <v>8</v>
      </c>
      <c r="U38" s="1565">
        <f t="shared" si="11"/>
        <v>100</v>
      </c>
      <c r="V38" s="1564" t="s">
        <v>8</v>
      </c>
      <c r="W38" s="1565">
        <f t="shared" si="12"/>
        <v>100</v>
      </c>
      <c r="X38" s="1566"/>
      <c r="Y38" s="3573"/>
      <c r="Z38" s="1146" t="str">
        <f t="shared" si="13"/>
        <v>宗地开发程度</v>
      </c>
      <c r="AA38" s="1567">
        <f t="shared" si="3"/>
        <v>1</v>
      </c>
      <c r="AB38" s="1567">
        <f t="shared" si="4"/>
        <v>1</v>
      </c>
      <c r="AC38" s="1567">
        <f t="shared" si="5"/>
        <v>1</v>
      </c>
    </row>
    <row r="39" spans="1:29" ht="15">
      <c r="A39" s="590"/>
      <c r="B39" s="523"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9"/>
      <c r="M39" s="2131"/>
      <c r="N39" s="2131"/>
      <c r="O39" s="2138"/>
      <c r="P39" s="3573" t="s">
        <v>595</v>
      </c>
      <c r="Q39" s="1568" t="str">
        <f t="shared" si="14"/>
        <v>工程地质条件</v>
      </c>
      <c r="R39" s="1569" t="s">
        <v>8</v>
      </c>
      <c r="S39" s="1570">
        <f t="shared" si="10"/>
        <v>100</v>
      </c>
      <c r="T39" s="1569" t="s">
        <v>8</v>
      </c>
      <c r="U39" s="1570">
        <f t="shared" si="11"/>
        <v>100</v>
      </c>
      <c r="V39" s="1569" t="s">
        <v>8</v>
      </c>
      <c r="W39" s="1570">
        <f t="shared" si="12"/>
        <v>100</v>
      </c>
      <c r="X39" s="1563"/>
      <c r="Y39" s="3573" t="s">
        <v>595</v>
      </c>
      <c r="Z39" s="1571" t="str">
        <f t="shared" si="13"/>
        <v>工程地质条件</v>
      </c>
      <c r="AA39" s="1572">
        <f t="shared" si="3"/>
        <v>1</v>
      </c>
      <c r="AB39" s="1572">
        <f t="shared" si="4"/>
        <v>1</v>
      </c>
      <c r="AC39" s="1572">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9"/>
      <c r="M40" s="2131"/>
      <c r="N40" s="2131"/>
      <c r="O40" s="2138"/>
      <c r="P40" s="3573"/>
      <c r="Q40" s="1568">
        <f t="shared" si="14"/>
        <v>111</v>
      </c>
      <c r="R40" s="1569" t="s">
        <v>8</v>
      </c>
      <c r="S40" s="1570">
        <f t="shared" si="10"/>
        <v>100</v>
      </c>
      <c r="T40" s="1569" t="s">
        <v>8</v>
      </c>
      <c r="U40" s="1570">
        <f t="shared" si="11"/>
        <v>100</v>
      </c>
      <c r="V40" s="1569" t="s">
        <v>8</v>
      </c>
      <c r="W40" s="1570">
        <f t="shared" si="12"/>
        <v>100</v>
      </c>
      <c r="X40" s="1563"/>
      <c r="Y40" s="3573"/>
      <c r="Z40" s="1571">
        <f t="shared" si="13"/>
        <v>111</v>
      </c>
      <c r="AA40" s="1572">
        <f t="shared" si="3"/>
        <v>1</v>
      </c>
      <c r="AB40" s="1572">
        <f t="shared" si="4"/>
        <v>1</v>
      </c>
      <c r="AC40" s="1572">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9"/>
      <c r="M41" s="2131"/>
      <c r="N41" s="2131"/>
      <c r="O41" s="2138"/>
      <c r="P41" s="3573"/>
      <c r="Q41" s="1568">
        <f t="shared" si="14"/>
        <v>111</v>
      </c>
      <c r="R41" s="1569" t="s">
        <v>8</v>
      </c>
      <c r="S41" s="1570">
        <f t="shared" si="10"/>
        <v>100</v>
      </c>
      <c r="T41" s="1569" t="s">
        <v>8</v>
      </c>
      <c r="U41" s="1570">
        <f t="shared" si="11"/>
        <v>100</v>
      </c>
      <c r="V41" s="1569" t="s">
        <v>8</v>
      </c>
      <c r="W41" s="1570">
        <f t="shared" si="12"/>
        <v>100</v>
      </c>
      <c r="X41" s="1563"/>
      <c r="Y41" s="3573"/>
      <c r="Z41" s="1571">
        <f t="shared" si="13"/>
        <v>111</v>
      </c>
      <c r="AA41" s="1572">
        <f t="shared" si="3"/>
        <v>1</v>
      </c>
      <c r="AB41" s="1572">
        <f t="shared" si="4"/>
        <v>1</v>
      </c>
      <c r="AC41" s="1572">
        <f t="shared" si="5"/>
        <v>1</v>
      </c>
    </row>
    <row r="42" spans="1:29" s="1335" customFormat="1" ht="15.75" thickBot="1">
      <c r="A42" s="599"/>
      <c r="B42" s="598">
        <v>111</v>
      </c>
      <c r="C42" s="600"/>
      <c r="D42" s="255">
        <v>100</v>
      </c>
      <c r="E42" s="538"/>
      <c r="F42" s="542">
        <f>SUMIF(122:122,E42,123:123)-SUMIF(122:122,C42,123:123)+100</f>
        <v>100</v>
      </c>
      <c r="G42" s="538"/>
      <c r="H42" s="542">
        <f>SUMIF(122:122,G42,123:123)-SUMIF(122:122,C42,123:123)+100</f>
        <v>100</v>
      </c>
      <c r="I42" s="537"/>
      <c r="J42" s="542">
        <f>SUMIF(122:122,I42,123:123)-SUMIF(122:122,C42,123:123)+100</f>
        <v>100</v>
      </c>
      <c r="K42" s="602"/>
      <c r="L42" s="2137"/>
      <c r="M42" s="2168"/>
      <c r="N42" s="2168"/>
      <c r="O42" s="2140"/>
      <c r="P42" s="3573"/>
      <c r="Q42" s="1568">
        <f t="shared" si="14"/>
        <v>111</v>
      </c>
      <c r="R42" s="1573" t="s">
        <v>8</v>
      </c>
      <c r="S42" s="1574">
        <f t="shared" si="10"/>
        <v>100</v>
      </c>
      <c r="T42" s="1573" t="s">
        <v>8</v>
      </c>
      <c r="U42" s="1574">
        <f t="shared" si="11"/>
        <v>100</v>
      </c>
      <c r="V42" s="1573" t="s">
        <v>8</v>
      </c>
      <c r="W42" s="1574">
        <f t="shared" si="12"/>
        <v>100</v>
      </c>
      <c r="X42" s="1575"/>
      <c r="Y42" s="3573"/>
      <c r="Z42" s="1576">
        <f t="shared" si="13"/>
        <v>111</v>
      </c>
      <c r="AA42" s="1572">
        <f t="shared" si="3"/>
        <v>1</v>
      </c>
      <c r="AB42" s="1572">
        <f t="shared" si="4"/>
        <v>1</v>
      </c>
      <c r="AC42" s="1572">
        <f t="shared" si="5"/>
        <v>1</v>
      </c>
    </row>
    <row r="43" spans="1:29" ht="15">
      <c r="A43" s="603" t="s">
        <v>550</v>
      </c>
      <c r="B43" s="604" t="s">
        <v>2930</v>
      </c>
      <c r="C43" s="605" t="s">
        <v>1</v>
      </c>
      <c r="D43" s="606"/>
      <c r="E43" s="607"/>
      <c r="F43" s="608"/>
      <c r="G43" s="609"/>
      <c r="H43" s="610"/>
      <c r="I43" s="607"/>
      <c r="J43" s="610"/>
      <c r="K43" s="1336"/>
      <c r="L43" s="2141"/>
      <c r="M43" s="2131"/>
      <c r="N43" s="2131"/>
      <c r="O43" s="2142"/>
      <c r="P43" s="3551" t="str">
        <f>A43</f>
        <v>成交单价</v>
      </c>
      <c r="Q43" s="3551"/>
      <c r="R43" s="3564">
        <f>E43</f>
        <v>0</v>
      </c>
      <c r="S43" s="3564"/>
      <c r="T43" s="3564">
        <f>G43</f>
        <v>0</v>
      </c>
      <c r="U43" s="3564"/>
      <c r="V43" s="3564">
        <f>I43</f>
        <v>0</v>
      </c>
      <c r="W43" s="3564"/>
      <c r="X43" s="1555"/>
      <c r="Y43" s="1577"/>
      <c r="Z43" s="1555"/>
      <c r="AA43" s="1555"/>
      <c r="AB43" s="1555"/>
      <c r="AC43" s="1555"/>
    </row>
    <row r="44" spans="1:29" ht="15.75" thickBot="1">
      <c r="A44" s="611" t="s">
        <v>2688</v>
      </c>
      <c r="B44" s="612"/>
      <c r="C44" s="613" t="e">
        <f>R45</f>
        <v>#DIV/0!</v>
      </c>
      <c r="D44" s="614"/>
      <c r="E44" s="613" t="e">
        <f>R44</f>
        <v>#DIV/0!</v>
      </c>
      <c r="F44" s="615"/>
      <c r="G44" s="616" t="e">
        <f>T44</f>
        <v>#DIV/0!</v>
      </c>
      <c r="H44" s="614"/>
      <c r="I44" s="613" t="e">
        <f>V44</f>
        <v>#DIV/0!</v>
      </c>
      <c r="J44" s="614"/>
      <c r="K44" s="1337"/>
      <c r="L44" s="2141"/>
      <c r="M44" s="2131"/>
      <c r="N44" s="2131"/>
      <c r="O44" s="2142"/>
      <c r="P44" s="3551" t="str">
        <f>A44</f>
        <v>比较价格（元/平方米）</v>
      </c>
      <c r="Q44" s="3551"/>
      <c r="R44" s="3593" t="e">
        <f>ROUND(PRODUCT(R43,AA9:AA42),0)</f>
        <v>#DIV/0!</v>
      </c>
      <c r="S44" s="3593"/>
      <c r="T44" s="3593" t="e">
        <f>ROUND(PRODUCT(T43,AB9:AB42),0)</f>
        <v>#DIV/0!</v>
      </c>
      <c r="U44" s="3593"/>
      <c r="V44" s="3593" t="e">
        <f>ROUND(PRODUCT(V43,AC9:AC42),0)</f>
        <v>#DIV/0!</v>
      </c>
      <c r="W44" s="3593"/>
      <c r="X44" s="1555"/>
      <c r="Y44" s="1555"/>
      <c r="Z44" s="1555"/>
      <c r="AA44" s="1555"/>
      <c r="AB44" s="1555"/>
      <c r="AC44" s="1555"/>
    </row>
    <row r="45" spans="1:29" ht="15.75" thickBot="1">
      <c r="A45" s="617" t="s">
        <v>2931</v>
      </c>
      <c r="B45" s="618"/>
      <c r="C45" s="619" t="e">
        <f>R45</f>
        <v>#DIV/0!</v>
      </c>
      <c r="D45" s="619"/>
      <c r="E45" s="619"/>
      <c r="F45" s="619"/>
      <c r="G45" s="619"/>
      <c r="H45" s="619"/>
      <c r="I45" s="619"/>
      <c r="J45" s="619"/>
      <c r="K45" s="1338"/>
      <c r="L45" s="2141"/>
      <c r="M45" s="2131"/>
      <c r="N45" s="2131"/>
      <c r="O45" s="2142"/>
      <c r="P45" s="3566" t="str">
        <f>A45</f>
        <v>估价对象XX用房的比较价格（楼面单价，元/平方米）</v>
      </c>
      <c r="Q45" s="3567"/>
      <c r="R45" s="3592" t="e">
        <f>ROUND(AVERAGE(R44:V44),0)</f>
        <v>#DIV/0!</v>
      </c>
      <c r="S45" s="3592"/>
      <c r="T45" s="3592"/>
      <c r="U45" s="3592"/>
      <c r="V45" s="3592"/>
      <c r="W45" s="3592"/>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5" t="s">
        <v>554</v>
      </c>
      <c r="B52" s="626" t="s">
        <v>555</v>
      </c>
      <c r="C52" s="1556" t="s">
        <v>1717</v>
      </c>
      <c r="D52" s="2224" t="s">
        <v>2288</v>
      </c>
      <c r="E52" s="627" t="s">
        <v>556</v>
      </c>
      <c r="F52" s="1948" t="s">
        <v>557</v>
      </c>
      <c r="G52" s="3594" t="s">
        <v>2279</v>
      </c>
      <c r="H52" s="3595"/>
      <c r="I52" s="1949" t="s">
        <v>1940</v>
      </c>
      <c r="J52" s="1551">
        <f>项目基本情况!F41</f>
        <v>0</v>
      </c>
      <c r="K52" s="2151" t="s">
        <v>1716</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2.75">
      <c r="A53" s="629" t="s">
        <v>558</v>
      </c>
      <c r="B53" s="630" t="e">
        <f>C45</f>
        <v>#DIV/0!</v>
      </c>
      <c r="C53" s="631">
        <v>1</v>
      </c>
      <c r="D53" s="2225">
        <v>1</v>
      </c>
      <c r="E53" s="631">
        <f>'数据-汇总表'!E8+'数据-汇总表'!E9</f>
        <v>457459</v>
      </c>
      <c r="F53" s="1947" t="e">
        <f t="shared" ref="F53:F62" si="15">ROUND(B53*E53/10000,0)</f>
        <v>#DIV/0!</v>
      </c>
      <c r="G53" s="3596"/>
      <c r="H53" s="3597"/>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2.75">
      <c r="A54" s="633" t="s">
        <v>559</v>
      </c>
      <c r="B54" s="634" t="e">
        <f>ROUND($C$45*C54*D54,0)</f>
        <v>#DIV/0!</v>
      </c>
      <c r="C54" s="374">
        <f t="shared" ref="C54:C62" si="16">IF($C$52="北京市系数",I54,J54)</f>
        <v>0.6</v>
      </c>
      <c r="D54" s="2226">
        <v>0.25</v>
      </c>
      <c r="E54" s="635"/>
      <c r="F54" s="1947" t="e">
        <f t="shared" si="15"/>
        <v>#DIV/0!</v>
      </c>
      <c r="G54" s="3598" t="s">
        <v>2280</v>
      </c>
      <c r="H54" s="1951" t="str">
        <f>项目基本情况!B43</f>
        <v>九级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2.75">
      <c r="A55" s="633" t="s">
        <v>560</v>
      </c>
      <c r="B55" s="634" t="e">
        <f t="shared" ref="B55:B62" si="17">ROUND($C$45*C55*D55,0)</f>
        <v>#DIV/0!</v>
      </c>
      <c r="C55" s="374">
        <f t="shared" si="16"/>
        <v>0.3</v>
      </c>
      <c r="D55" s="2226">
        <v>0.25</v>
      </c>
      <c r="E55" s="635"/>
      <c r="F55" s="1947" t="e">
        <f t="shared" si="15"/>
        <v>#DIV/0!</v>
      </c>
      <c r="G55" s="3598"/>
      <c r="H55" s="1952" t="str">
        <f>项目基本情况!B43</f>
        <v>九级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2.75">
      <c r="A56" s="633" t="s">
        <v>561</v>
      </c>
      <c r="B56" s="634" t="e">
        <f t="shared" si="17"/>
        <v>#DIV/0!</v>
      </c>
      <c r="C56" s="374">
        <f t="shared" si="16"/>
        <v>0.2</v>
      </c>
      <c r="D56" s="2226">
        <v>0.25</v>
      </c>
      <c r="E56" s="635"/>
      <c r="F56" s="1947" t="e">
        <f t="shared" si="15"/>
        <v>#DIV/0!</v>
      </c>
      <c r="G56" s="3598"/>
      <c r="H56" s="1952" t="str">
        <f>项目基本情况!B43</f>
        <v>九级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2.75">
      <c r="A57" s="633" t="s">
        <v>562</v>
      </c>
      <c r="B57" s="634" t="e">
        <f t="shared" si="17"/>
        <v>#DIV/0!</v>
      </c>
      <c r="C57" s="374">
        <f t="shared" si="16"/>
        <v>0.2</v>
      </c>
      <c r="D57" s="2226">
        <v>0.25</v>
      </c>
      <c r="E57" s="635"/>
      <c r="F57" s="1947" t="e">
        <f t="shared" si="15"/>
        <v>#DIV/0!</v>
      </c>
      <c r="G57" s="3598"/>
      <c r="H57" s="1952" t="str">
        <f>项目基本情况!B43</f>
        <v>九级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2.75">
      <c r="A58" s="2328" t="s">
        <v>2323</v>
      </c>
      <c r="B58" s="634" t="e">
        <f t="shared" si="17"/>
        <v>#DIV/0!</v>
      </c>
      <c r="C58" s="374">
        <f t="shared" si="16"/>
        <v>0.2</v>
      </c>
      <c r="D58" s="2226">
        <v>0.25</v>
      </c>
      <c r="E58" s="637">
        <f>'数据-汇总表'!E11</f>
        <v>0</v>
      </c>
      <c r="F58" s="1947" t="e">
        <f t="shared" si="15"/>
        <v>#DIV/0!</v>
      </c>
      <c r="G58" s="1953" t="s">
        <v>2281</v>
      </c>
      <c r="H58" s="1952" t="str">
        <f>项目基本情况!C43</f>
        <v>九级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3" t="s">
        <v>563</v>
      </c>
      <c r="B59" s="634" t="e">
        <f t="shared" si="17"/>
        <v>#DIV/0!</v>
      </c>
      <c r="C59" s="374">
        <f t="shared" si="16"/>
        <v>0.2</v>
      </c>
      <c r="D59" s="2226">
        <v>0.25</v>
      </c>
      <c r="E59" s="637">
        <f>'数据-汇总表'!E12</f>
        <v>32261</v>
      </c>
      <c r="F59" s="1947" t="e">
        <f t="shared" si="15"/>
        <v>#DIV/0!</v>
      </c>
      <c r="G59" s="1943" t="s">
        <v>1672</v>
      </c>
      <c r="H59" s="1951" t="str">
        <f>IF(G59="商业",项目基本情况!B43,IF(G59="办公",项目基本情况!C43,IF(G59="住宅",项目基本情况!D43,项目基本情况!E43)))</f>
        <v>九级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3" t="s">
        <v>564</v>
      </c>
      <c r="B60" s="634" t="e">
        <f t="shared" si="17"/>
        <v>#DIV/0!</v>
      </c>
      <c r="C60" s="374">
        <f t="shared" si="16"/>
        <v>0.15</v>
      </c>
      <c r="D60" s="2226">
        <v>0.25</v>
      </c>
      <c r="E60" s="637">
        <f>'数据-汇总表'!E13</f>
        <v>0</v>
      </c>
      <c r="F60" s="1947" t="e">
        <f t="shared" si="15"/>
        <v>#DIV/0!</v>
      </c>
      <c r="G60" s="1943" t="s">
        <v>917</v>
      </c>
      <c r="H60" s="1951" t="str">
        <f>IF(G60="商业",项目基本情况!B43,IF(G60="办公",项目基本情况!C43,IF(G60="住宅",项目基本情况!D43,项目基本情况!E43)))</f>
        <v>九级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3" t="s">
        <v>565</v>
      </c>
      <c r="B61" s="634" t="e">
        <f t="shared" si="17"/>
        <v>#DIV/0!</v>
      </c>
      <c r="C61" s="374">
        <f t="shared" si="16"/>
        <v>0.15</v>
      </c>
      <c r="D61" s="2226">
        <v>0.25</v>
      </c>
      <c r="E61" s="637">
        <f>'数据-汇总表'!E14</f>
        <v>115688.44</v>
      </c>
      <c r="F61" s="1947" t="e">
        <f t="shared" si="15"/>
        <v>#DIV/0!</v>
      </c>
      <c r="G61" s="1953" t="s">
        <v>2280</v>
      </c>
      <c r="H61" s="1952" t="str">
        <f>项目基本情况!B43</f>
        <v>九级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5" thickBot="1">
      <c r="A62" s="633" t="s">
        <v>566</v>
      </c>
      <c r="B62" s="634" t="e">
        <f t="shared" si="17"/>
        <v>#DIV/0!</v>
      </c>
      <c r="C62" s="374">
        <f t="shared" si="16"/>
        <v>0.15</v>
      </c>
      <c r="D62" s="2226">
        <v>0.25</v>
      </c>
      <c r="E62" s="637">
        <f>'数据-汇总表'!E15</f>
        <v>0</v>
      </c>
      <c r="F62" s="1947" t="e">
        <f t="shared" si="15"/>
        <v>#DIV/0!</v>
      </c>
      <c r="G62" s="1954" t="s">
        <v>2281</v>
      </c>
      <c r="H62" s="1955" t="str">
        <f>项目基本情况!C43</f>
        <v>九级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5" thickBot="1">
      <c r="A63" s="638" t="s">
        <v>567</v>
      </c>
      <c r="B63" s="639" t="s">
        <v>17</v>
      </c>
      <c r="C63" s="639" t="s">
        <v>18</v>
      </c>
      <c r="D63" s="639" t="s">
        <v>2289</v>
      </c>
      <c r="E63" s="639">
        <f>IF(B43="楼面地价",SUM(E53:E62),'数据-汇总表'!D3)</f>
        <v>183040.85</v>
      </c>
      <c r="F63" s="640"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0" t="s">
        <v>568</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5">
      <c r="A67" s="2565" t="s">
        <v>2528</v>
      </c>
      <c r="B67" s="642"/>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2644</v>
      </c>
      <c r="B68" s="475" t="str">
        <f>"北京市平均增长率"&amp;TEXT(基准地价!P24,"0.00%")</f>
        <v>北京市平均增长率1.42%</v>
      </c>
      <c r="C68" s="890">
        <v>100</v>
      </c>
      <c r="D68" s="726"/>
      <c r="E68" s="726"/>
      <c r="F68" s="726"/>
      <c r="G68" s="726"/>
      <c r="H68" s="726"/>
      <c r="I68" s="726"/>
      <c r="J68" s="726"/>
      <c r="K68" s="726"/>
      <c r="L68" s="726"/>
      <c r="M68" s="2789"/>
      <c r="N68" s="2790"/>
      <c r="O68" s="2159"/>
      <c r="P68" s="2155"/>
      <c r="Q68" s="1990"/>
      <c r="R68" s="1990"/>
      <c r="S68" s="1990"/>
      <c r="T68" s="1990"/>
      <c r="U68" s="1990"/>
      <c r="V68" s="1990"/>
      <c r="W68" s="1990"/>
      <c r="X68" s="1990"/>
      <c r="Y68" s="1990"/>
      <c r="Z68" s="1990"/>
      <c r="AA68" s="1990"/>
      <c r="AB68" s="1990"/>
      <c r="AC68" s="1990"/>
    </row>
    <row r="69" spans="1:29" s="1216" customFormat="1" ht="15.75" thickBot="1">
      <c r="A69" s="649" t="s">
        <v>569</v>
      </c>
      <c r="B69" s="650"/>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5">
      <c r="A70" s="655" t="s">
        <v>525</v>
      </c>
      <c r="B70" s="644"/>
      <c r="C70" s="656" t="s">
        <v>570</v>
      </c>
      <c r="D70" s="657"/>
      <c r="E70" s="657"/>
      <c r="F70" s="657"/>
      <c r="G70" s="657"/>
      <c r="H70" s="657"/>
      <c r="I70" s="657"/>
      <c r="J70" s="657"/>
      <c r="K70" s="657"/>
      <c r="L70" s="658"/>
      <c r="M70" s="659"/>
      <c r="N70" s="2159"/>
      <c r="O70" s="2159"/>
      <c r="P70" s="2160"/>
      <c r="Q70" s="2155"/>
      <c r="R70" s="1990"/>
      <c r="S70" s="1990"/>
      <c r="T70" s="1990"/>
      <c r="U70" s="1990"/>
      <c r="V70" s="1990"/>
      <c r="W70" s="1990"/>
      <c r="X70" s="1990"/>
      <c r="Y70" s="1990"/>
      <c r="Z70" s="1990"/>
      <c r="AA70" s="1990"/>
      <c r="AB70" s="1990"/>
      <c r="AC70" s="1990"/>
    </row>
    <row r="71" spans="1:29" s="1216" customFormat="1" ht="15.75" thickBot="1">
      <c r="A71" s="655"/>
      <c r="B71" s="644"/>
      <c r="C71" s="645">
        <v>100</v>
      </c>
      <c r="D71" s="646"/>
      <c r="E71" s="646"/>
      <c r="F71" s="646"/>
      <c r="G71" s="646"/>
      <c r="H71" s="646"/>
      <c r="I71" s="646"/>
      <c r="J71" s="646"/>
      <c r="K71" s="646"/>
      <c r="L71" s="646"/>
      <c r="M71" s="648"/>
      <c r="N71" s="2159"/>
      <c r="O71" s="2159"/>
      <c r="P71" s="2155"/>
      <c r="Q71" s="2155"/>
      <c r="R71" s="1990"/>
      <c r="S71" s="1990"/>
      <c r="T71" s="1990"/>
      <c r="U71" s="1990"/>
      <c r="V71" s="1990"/>
      <c r="W71" s="1990"/>
      <c r="X71" s="1990"/>
      <c r="Y71" s="1990"/>
      <c r="Z71" s="1990"/>
      <c r="AA71" s="1990"/>
      <c r="AB71" s="1990"/>
      <c r="AC71" s="1990"/>
    </row>
    <row r="72" spans="1:29">
      <c r="A72" s="660" t="s">
        <v>571</v>
      </c>
      <c r="B72" s="661" t="s">
        <v>528</v>
      </c>
      <c r="C72" s="594"/>
      <c r="D72" s="594"/>
      <c r="E72" s="594"/>
      <c r="F72" s="594"/>
      <c r="G72" s="594"/>
      <c r="H72" s="594"/>
      <c r="I72" s="594"/>
      <c r="J72" s="594"/>
      <c r="K72" s="662"/>
      <c r="L72" s="663"/>
      <c r="M72" s="664"/>
      <c r="N72" s="2161"/>
      <c r="O72" s="2161"/>
      <c r="P72" s="2162"/>
      <c r="Q72" s="2155"/>
      <c r="R72" s="2142"/>
      <c r="S72" s="2142"/>
      <c r="T72" s="2142"/>
      <c r="U72" s="2142"/>
      <c r="V72" s="2142"/>
      <c r="W72" s="2142"/>
      <c r="X72" s="2142"/>
      <c r="Y72" s="2142"/>
      <c r="Z72" s="2142"/>
      <c r="AA72" s="2142"/>
      <c r="AB72" s="2142"/>
      <c r="AC72" s="2142"/>
    </row>
    <row r="73" spans="1:29" ht="15.75" thickBot="1">
      <c r="A73" s="665"/>
      <c r="B73" s="666"/>
      <c r="C73" s="667"/>
      <c r="D73" s="667"/>
      <c r="E73" s="667"/>
      <c r="F73" s="667"/>
      <c r="G73" s="667"/>
      <c r="H73" s="667"/>
      <c r="I73" s="667"/>
      <c r="J73" s="667"/>
      <c r="K73" s="667"/>
      <c r="L73" s="667"/>
      <c r="M73" s="668"/>
      <c r="N73" s="2163"/>
      <c r="O73" s="2163"/>
      <c r="P73" s="2162"/>
      <c r="Q73" s="2155"/>
      <c r="R73" s="2142"/>
      <c r="S73" s="2142"/>
      <c r="T73" s="2142"/>
      <c r="U73" s="2142"/>
      <c r="V73" s="2142"/>
      <c r="W73" s="2142"/>
      <c r="X73" s="2142"/>
      <c r="Y73" s="2142"/>
      <c r="Z73" s="2142"/>
      <c r="AA73" s="2142"/>
      <c r="AB73" s="2142"/>
      <c r="AC73" s="2142"/>
    </row>
    <row r="74" spans="1:29" ht="27.75" thickTop="1">
      <c r="A74" s="665"/>
      <c r="B74" s="669" t="s">
        <v>531</v>
      </c>
      <c r="C74" s="670"/>
      <c r="D74" s="670"/>
      <c r="E74" s="670"/>
      <c r="F74" s="670"/>
      <c r="G74" s="670"/>
      <c r="H74" s="670"/>
      <c r="I74" s="670"/>
      <c r="J74" s="670"/>
      <c r="K74" s="671"/>
      <c r="L74" s="672"/>
      <c r="M74" s="673"/>
      <c r="N74" s="2161"/>
      <c r="O74" s="2161"/>
      <c r="P74" s="2162"/>
      <c r="Q74" s="2155"/>
      <c r="R74" s="2142"/>
      <c r="S74" s="2142"/>
      <c r="T74" s="2142"/>
      <c r="U74" s="2142"/>
      <c r="V74" s="2142"/>
      <c r="W74" s="2142"/>
      <c r="X74" s="2142"/>
      <c r="Y74" s="2142"/>
      <c r="Z74" s="2142"/>
      <c r="AA74" s="2142"/>
      <c r="AB74" s="2142"/>
      <c r="AC74" s="2142"/>
    </row>
    <row r="75" spans="1:29" ht="15.75" thickBot="1">
      <c r="A75" s="665"/>
      <c r="B75" s="674"/>
      <c r="C75" s="675"/>
      <c r="D75" s="675"/>
      <c r="E75" s="675"/>
      <c r="F75" s="675"/>
      <c r="G75" s="675"/>
      <c r="H75" s="675"/>
      <c r="I75" s="675"/>
      <c r="J75" s="675"/>
      <c r="K75" s="675"/>
      <c r="L75" s="675"/>
      <c r="M75" s="676"/>
      <c r="N75" s="2163"/>
      <c r="O75" s="2163"/>
      <c r="P75" s="2162"/>
      <c r="Q75" s="2155"/>
      <c r="R75" s="2142"/>
      <c r="S75" s="2142"/>
      <c r="T75" s="2142"/>
      <c r="U75" s="2142"/>
      <c r="V75" s="2142"/>
      <c r="W75" s="2142"/>
      <c r="X75" s="2142"/>
      <c r="Y75" s="2142"/>
      <c r="Z75" s="2142"/>
      <c r="AA75" s="2142"/>
      <c r="AB75" s="2142"/>
      <c r="AC75" s="2142"/>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5"/>
      <c r="B77" s="679"/>
      <c r="C77" s="537"/>
      <c r="D77" s="537"/>
      <c r="E77" s="537"/>
      <c r="F77" s="537"/>
      <c r="G77" s="537"/>
      <c r="H77" s="537"/>
      <c r="I77" s="537"/>
      <c r="J77" s="537"/>
      <c r="K77" s="680"/>
      <c r="L77" s="681"/>
      <c r="M77" s="682"/>
      <c r="N77" s="2161"/>
      <c r="O77" s="2161"/>
      <c r="P77" s="2162"/>
      <c r="Q77" s="2155"/>
      <c r="R77" s="2142"/>
      <c r="S77" s="2142"/>
      <c r="T77" s="2142"/>
      <c r="U77" s="2142"/>
      <c r="V77" s="2142"/>
      <c r="W77" s="2142"/>
      <c r="X77" s="2142"/>
      <c r="Y77" s="2142"/>
      <c r="Z77" s="2142"/>
      <c r="AA77" s="2142"/>
      <c r="AB77" s="2142"/>
      <c r="AC77" s="2142"/>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3"/>
      <c r="O78" s="2163"/>
      <c r="P78" s="2162"/>
      <c r="Q78" s="2155"/>
      <c r="R78" s="2142"/>
      <c r="S78" s="2142"/>
      <c r="T78" s="2142"/>
      <c r="U78" s="2142"/>
      <c r="V78" s="2142"/>
      <c r="W78" s="2142"/>
      <c r="X78" s="2142"/>
      <c r="Y78" s="2142"/>
      <c r="Z78" s="2142"/>
      <c r="AA78" s="2142"/>
      <c r="AB78" s="2142"/>
      <c r="AC78" s="2142"/>
    </row>
    <row r="79" spans="1:29" s="1335" customFormat="1" ht="15.75" thickTop="1">
      <c r="A79" s="683"/>
      <c r="B79" s="669">
        <f>B14</f>
        <v>111</v>
      </c>
      <c r="C79" s="684"/>
      <c r="D79" s="684"/>
      <c r="E79" s="684"/>
      <c r="F79" s="684"/>
      <c r="G79" s="684"/>
      <c r="H79" s="685"/>
      <c r="I79" s="685"/>
      <c r="J79" s="685"/>
      <c r="K79" s="685"/>
      <c r="L79" s="686"/>
      <c r="M79" s="687"/>
      <c r="N79" s="2164"/>
      <c r="O79" s="2164"/>
      <c r="P79" s="2165"/>
      <c r="Q79" s="2166"/>
      <c r="R79" s="2167"/>
      <c r="S79" s="2167"/>
      <c r="T79" s="2167"/>
      <c r="U79" s="2167"/>
      <c r="V79" s="2167"/>
      <c r="W79" s="2167"/>
      <c r="X79" s="2167"/>
      <c r="Y79" s="2167"/>
      <c r="Z79" s="2167"/>
      <c r="AA79" s="2167"/>
      <c r="AB79" s="2167"/>
      <c r="AC79" s="2167"/>
    </row>
    <row r="80" spans="1:29" s="1335" customFormat="1" ht="15.75" thickBot="1">
      <c r="A80" s="683"/>
      <c r="B80" s="674"/>
      <c r="C80" s="688"/>
      <c r="D80" s="667"/>
      <c r="E80" s="667"/>
      <c r="F80" s="667"/>
      <c r="G80" s="667"/>
      <c r="H80" s="667"/>
      <c r="I80" s="667"/>
      <c r="J80" s="667"/>
      <c r="K80" s="667"/>
      <c r="L80" s="667"/>
      <c r="M80" s="668"/>
      <c r="N80" s="2163"/>
      <c r="O80" s="2163"/>
      <c r="P80" s="2165"/>
      <c r="Q80" s="2166"/>
      <c r="R80" s="2167"/>
      <c r="S80" s="2167"/>
      <c r="T80" s="2167"/>
      <c r="U80" s="2167"/>
      <c r="V80" s="2167"/>
      <c r="W80" s="2167"/>
      <c r="X80" s="2167"/>
      <c r="Y80" s="2167"/>
      <c r="Z80" s="2167"/>
      <c r="AA80" s="2167"/>
      <c r="AB80" s="2167"/>
      <c r="AC80" s="2167"/>
    </row>
    <row r="81" spans="1:29" s="1335" customFormat="1" ht="15.75" thickTop="1">
      <c r="A81" s="683"/>
      <c r="B81" s="669">
        <f>B15</f>
        <v>111</v>
      </c>
      <c r="C81" s="684"/>
      <c r="D81" s="684"/>
      <c r="E81" s="684"/>
      <c r="F81" s="684"/>
      <c r="G81" s="684"/>
      <c r="H81" s="685"/>
      <c r="I81" s="685"/>
      <c r="J81" s="685"/>
      <c r="K81" s="685"/>
      <c r="L81" s="686"/>
      <c r="M81" s="687"/>
      <c r="N81" s="2164"/>
      <c r="O81" s="2164"/>
      <c r="P81" s="2168"/>
      <c r="Q81" s="2169"/>
      <c r="R81" s="2167"/>
      <c r="S81" s="2167"/>
      <c r="T81" s="2167"/>
      <c r="U81" s="2167"/>
      <c r="V81" s="2167"/>
      <c r="W81" s="2167"/>
      <c r="X81" s="2167"/>
      <c r="Y81" s="2167"/>
      <c r="Z81" s="2167"/>
      <c r="AA81" s="2167"/>
      <c r="AB81" s="2167"/>
      <c r="AC81" s="2167"/>
    </row>
    <row r="82" spans="1:29" s="1335" customFormat="1" ht="15.75" thickBot="1">
      <c r="A82" s="683"/>
      <c r="B82" s="674"/>
      <c r="C82" s="688"/>
      <c r="D82" s="688"/>
      <c r="E82" s="688"/>
      <c r="F82" s="688"/>
      <c r="G82" s="688"/>
      <c r="H82" s="689"/>
      <c r="I82" s="689"/>
      <c r="J82" s="689"/>
      <c r="K82" s="689"/>
      <c r="L82" s="689"/>
      <c r="M82" s="690"/>
      <c r="N82" s="2164"/>
      <c r="O82" s="2164"/>
      <c r="P82" s="2165"/>
      <c r="Q82" s="2166"/>
      <c r="R82" s="2167"/>
      <c r="S82" s="2167"/>
      <c r="T82" s="2167"/>
      <c r="U82" s="2167"/>
      <c r="V82" s="2167"/>
      <c r="W82" s="2167"/>
      <c r="X82" s="2167"/>
      <c r="Y82" s="2167"/>
      <c r="Z82" s="2167"/>
      <c r="AA82" s="2167"/>
      <c r="AB82" s="2167"/>
      <c r="AC82" s="2167"/>
    </row>
    <row r="83" spans="1:29" s="1335" customFormat="1" ht="15.75" thickTop="1">
      <c r="A83" s="683"/>
      <c r="B83" s="677">
        <f>B16</f>
        <v>111</v>
      </c>
      <c r="C83" s="657"/>
      <c r="D83" s="657"/>
      <c r="E83" s="657"/>
      <c r="F83" s="657"/>
      <c r="G83" s="657"/>
      <c r="H83" s="691"/>
      <c r="I83" s="691"/>
      <c r="J83" s="691"/>
      <c r="K83" s="691"/>
      <c r="L83" s="692"/>
      <c r="M83" s="693"/>
      <c r="N83" s="2164"/>
      <c r="O83" s="2164"/>
      <c r="P83" s="2170"/>
      <c r="Q83" s="2166"/>
      <c r="R83" s="2167"/>
      <c r="S83" s="2167"/>
      <c r="T83" s="2167"/>
      <c r="U83" s="2167"/>
      <c r="V83" s="2167"/>
      <c r="W83" s="2167"/>
      <c r="X83" s="2167"/>
      <c r="Y83" s="2167"/>
      <c r="Z83" s="2167"/>
      <c r="AA83" s="2167"/>
      <c r="AB83" s="2167"/>
      <c r="AC83" s="2167"/>
    </row>
    <row r="84" spans="1:29" s="1335" customFormat="1" ht="15.75" thickBot="1">
      <c r="A84" s="694"/>
      <c r="B84" s="695"/>
      <c r="C84" s="696"/>
      <c r="D84" s="696"/>
      <c r="E84" s="696"/>
      <c r="F84" s="696"/>
      <c r="G84" s="696"/>
      <c r="H84" s="697"/>
      <c r="I84" s="697"/>
      <c r="J84" s="697"/>
      <c r="K84" s="697"/>
      <c r="L84" s="697"/>
      <c r="M84" s="698"/>
      <c r="N84" s="2164"/>
      <c r="O84" s="2164"/>
      <c r="P84" s="2165"/>
      <c r="Q84" s="2166"/>
      <c r="R84" s="2167"/>
      <c r="S84" s="2167"/>
      <c r="T84" s="2167"/>
      <c r="U84" s="2167"/>
      <c r="V84" s="2167"/>
      <c r="W84" s="2167"/>
      <c r="X84" s="2167"/>
      <c r="Y84" s="2167"/>
      <c r="Z84" s="2167"/>
      <c r="AA84" s="2167"/>
      <c r="AB84" s="2167"/>
      <c r="AC84" s="2167"/>
    </row>
    <row r="85" spans="1:29">
      <c r="A85" s="660" t="s">
        <v>533</v>
      </c>
      <c r="B85" s="661" t="s">
        <v>596</v>
      </c>
      <c r="C85" s="699" t="s">
        <v>573</v>
      </c>
      <c r="D85" s="699" t="s">
        <v>574</v>
      </c>
      <c r="E85" s="699" t="s">
        <v>575</v>
      </c>
      <c r="F85" s="699" t="s">
        <v>576</v>
      </c>
      <c r="G85" s="699" t="s">
        <v>577</v>
      </c>
      <c r="H85" s="700"/>
      <c r="I85" s="700"/>
      <c r="J85" s="700"/>
      <c r="K85" s="701"/>
      <c r="L85" s="702"/>
      <c r="M85" s="703"/>
      <c r="N85" s="2161"/>
      <c r="O85" s="2161"/>
      <c r="P85" s="2171"/>
      <c r="Q85" s="2155"/>
      <c r="R85" s="2142"/>
      <c r="S85" s="2142"/>
      <c r="T85" s="2142"/>
      <c r="U85" s="2142"/>
      <c r="V85" s="2142"/>
      <c r="W85" s="2142"/>
      <c r="X85" s="2142"/>
      <c r="Y85" s="2142"/>
      <c r="Z85" s="2142"/>
      <c r="AA85" s="2142"/>
      <c r="AB85" s="2142"/>
      <c r="AC85" s="2142"/>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3"/>
      <c r="O86" s="2163"/>
      <c r="P86" s="2162"/>
      <c r="Q86" s="2155"/>
      <c r="R86" s="2142"/>
      <c r="S86" s="2142"/>
      <c r="T86" s="2142"/>
      <c r="U86" s="2142"/>
      <c r="V86" s="2142"/>
      <c r="W86" s="2142"/>
      <c r="X86" s="2142"/>
      <c r="Y86" s="2142"/>
      <c r="Z86" s="2142"/>
      <c r="AA86" s="2142"/>
      <c r="AB86" s="2142"/>
      <c r="AC86" s="2142"/>
    </row>
    <row r="87" spans="1:29" ht="15.75" thickTop="1">
      <c r="A87" s="665"/>
      <c r="B87" s="669" t="s">
        <v>580</v>
      </c>
      <c r="C87" s="704" t="s">
        <v>573</v>
      </c>
      <c r="D87" s="704" t="s">
        <v>574</v>
      </c>
      <c r="E87" s="704" t="s">
        <v>575</v>
      </c>
      <c r="F87" s="704" t="s">
        <v>576</v>
      </c>
      <c r="G87" s="704" t="s">
        <v>577</v>
      </c>
      <c r="H87" s="670"/>
      <c r="I87" s="670"/>
      <c r="J87" s="670"/>
      <c r="K87" s="671"/>
      <c r="L87" s="672"/>
      <c r="M87" s="673"/>
      <c r="N87" s="2161"/>
      <c r="O87" s="2161"/>
      <c r="P87" s="2162"/>
      <c r="Q87" s="2155"/>
      <c r="R87" s="2142"/>
      <c r="S87" s="2142"/>
      <c r="T87" s="2142"/>
      <c r="U87" s="2142"/>
      <c r="V87" s="2142"/>
      <c r="W87" s="2142"/>
      <c r="X87" s="2142"/>
      <c r="Y87" s="2142"/>
      <c r="Z87" s="2142"/>
      <c r="AA87" s="2142"/>
      <c r="AB87" s="2142"/>
      <c r="AC87" s="2142"/>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3"/>
      <c r="O88" s="2163"/>
      <c r="P88" s="2162"/>
      <c r="Q88" s="2155"/>
      <c r="R88" s="2142"/>
      <c r="S88" s="2142"/>
      <c r="T88" s="2142"/>
      <c r="U88" s="2142"/>
      <c r="V88" s="2142"/>
      <c r="W88" s="2142"/>
      <c r="X88" s="2142"/>
      <c r="Y88" s="2142"/>
      <c r="Z88" s="2142"/>
      <c r="AA88" s="2142"/>
      <c r="AB88" s="2142"/>
      <c r="AC88" s="2142"/>
    </row>
    <row r="89" spans="1:29" s="1216" customFormat="1" ht="27.75" thickTop="1">
      <c r="A89" s="705"/>
      <c r="B89" s="669" t="s">
        <v>581</v>
      </c>
      <c r="C89" s="704" t="s">
        <v>573</v>
      </c>
      <c r="D89" s="704" t="s">
        <v>574</v>
      </c>
      <c r="E89" s="704" t="s">
        <v>575</v>
      </c>
      <c r="F89" s="704" t="s">
        <v>576</v>
      </c>
      <c r="G89" s="704" t="s">
        <v>577</v>
      </c>
      <c r="H89" s="704"/>
      <c r="I89" s="704"/>
      <c r="J89" s="704"/>
      <c r="K89" s="704"/>
      <c r="L89" s="706"/>
      <c r="M89" s="707"/>
      <c r="N89" s="2159"/>
      <c r="O89" s="2159"/>
      <c r="P89" s="2162"/>
      <c r="Q89" s="2155"/>
      <c r="R89" s="1990"/>
      <c r="S89" s="1990"/>
      <c r="T89" s="1990"/>
      <c r="U89" s="1990"/>
      <c r="V89" s="1990"/>
      <c r="W89" s="1990"/>
      <c r="X89" s="1990"/>
      <c r="Y89" s="1990"/>
      <c r="Z89" s="1990"/>
      <c r="AA89" s="1990"/>
      <c r="AB89" s="1990"/>
      <c r="AC89" s="1990"/>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3"/>
      <c r="O90" s="2163"/>
      <c r="P90" s="2162"/>
      <c r="Q90" s="2155"/>
      <c r="R90" s="1990"/>
      <c r="S90" s="1990"/>
      <c r="T90" s="1990"/>
      <c r="U90" s="1990"/>
      <c r="V90" s="1990"/>
      <c r="W90" s="1990"/>
      <c r="X90" s="1990"/>
      <c r="Y90" s="1990"/>
      <c r="Z90" s="1990"/>
      <c r="AA90" s="1990"/>
      <c r="AB90" s="1990"/>
      <c r="AC90" s="1990"/>
    </row>
    <row r="91" spans="1:29" s="1216" customFormat="1" ht="27.75" thickTop="1">
      <c r="A91" s="705"/>
      <c r="B91" s="669" t="s">
        <v>582</v>
      </c>
      <c r="C91" s="699" t="s">
        <v>573</v>
      </c>
      <c r="D91" s="699" t="s">
        <v>574</v>
      </c>
      <c r="E91" s="699" t="s">
        <v>575</v>
      </c>
      <c r="F91" s="699" t="s">
        <v>576</v>
      </c>
      <c r="G91" s="699" t="s">
        <v>577</v>
      </c>
      <c r="H91" s="704"/>
      <c r="I91" s="704"/>
      <c r="J91" s="704"/>
      <c r="K91" s="704"/>
      <c r="L91" s="704"/>
      <c r="M91" s="707"/>
      <c r="N91" s="2159"/>
      <c r="O91" s="2159"/>
      <c r="P91" s="2162"/>
      <c r="Q91" s="2155"/>
      <c r="R91" s="1990"/>
      <c r="S91" s="1990"/>
      <c r="T91" s="1990"/>
      <c r="U91" s="1990"/>
      <c r="V91" s="1990"/>
      <c r="W91" s="1990"/>
      <c r="X91" s="1990"/>
      <c r="Y91" s="1990"/>
      <c r="Z91" s="1990"/>
      <c r="AA91" s="1990"/>
      <c r="AB91" s="1990"/>
      <c r="AC91" s="1990"/>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3"/>
      <c r="O92" s="2163"/>
      <c r="P92" s="2162"/>
      <c r="Q92" s="2155"/>
      <c r="R92" s="1990"/>
      <c r="S92" s="1990"/>
      <c r="T92" s="1990"/>
      <c r="U92" s="1990"/>
      <c r="V92" s="1990"/>
      <c r="W92" s="1990"/>
      <c r="X92" s="1990"/>
      <c r="Y92" s="1990"/>
      <c r="Z92" s="1990"/>
      <c r="AA92" s="1990"/>
      <c r="AB92" s="1990"/>
      <c r="AC92" s="1990"/>
    </row>
    <row r="93" spans="1:29" s="1335" customFormat="1" ht="15.75" thickTop="1">
      <c r="A93" s="683"/>
      <c r="B93" s="1893" t="s">
        <v>2543</v>
      </c>
      <c r="C93" s="699" t="s">
        <v>573</v>
      </c>
      <c r="D93" s="699" t="s">
        <v>574</v>
      </c>
      <c r="E93" s="699" t="s">
        <v>575</v>
      </c>
      <c r="F93" s="699" t="s">
        <v>576</v>
      </c>
      <c r="G93" s="699" t="s">
        <v>577</v>
      </c>
      <c r="H93" s="709"/>
      <c r="I93" s="709"/>
      <c r="J93" s="709"/>
      <c r="K93" s="709"/>
      <c r="L93" s="710"/>
      <c r="M93" s="711"/>
      <c r="N93" s="2164"/>
      <c r="O93" s="2164"/>
      <c r="P93" s="2165"/>
      <c r="Q93" s="2166"/>
      <c r="R93" s="2167"/>
      <c r="S93" s="2167"/>
      <c r="T93" s="2167"/>
      <c r="U93" s="2167"/>
      <c r="V93" s="2167"/>
      <c r="W93" s="2167"/>
      <c r="X93" s="2167"/>
      <c r="Y93" s="2167"/>
      <c r="Z93" s="2167"/>
      <c r="AA93" s="2167"/>
      <c r="AB93" s="2167"/>
      <c r="AC93" s="2167"/>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4"/>
      <c r="O94" s="2164"/>
      <c r="P94" s="2165"/>
      <c r="Q94" s="2166"/>
      <c r="R94" s="2167"/>
      <c r="S94" s="2167"/>
      <c r="T94" s="2167"/>
      <c r="U94" s="2167"/>
      <c r="V94" s="2167"/>
      <c r="W94" s="2167"/>
      <c r="X94" s="2167"/>
      <c r="Y94" s="2167"/>
      <c r="Z94" s="2167"/>
      <c r="AA94" s="2167"/>
      <c r="AB94" s="2167"/>
      <c r="AC94" s="2167"/>
    </row>
    <row r="95" spans="1:29" s="1335" customFormat="1" ht="15.75" thickTop="1">
      <c r="A95" s="683"/>
      <c r="B95" s="2594" t="s">
        <v>2545</v>
      </c>
      <c r="C95" s="2595" t="s">
        <v>2546</v>
      </c>
      <c r="D95" s="2595" t="s">
        <v>2547</v>
      </c>
      <c r="E95" s="2595" t="s">
        <v>2548</v>
      </c>
      <c r="F95" s="2595" t="s">
        <v>2549</v>
      </c>
      <c r="G95" s="2595" t="s">
        <v>2550</v>
      </c>
      <c r="H95" s="709"/>
      <c r="I95" s="709"/>
      <c r="J95" s="709"/>
      <c r="K95" s="709"/>
      <c r="L95" s="709"/>
      <c r="M95" s="711"/>
      <c r="N95" s="2164"/>
      <c r="O95" s="2164"/>
      <c r="P95" s="2165"/>
      <c r="Q95" s="2166"/>
      <c r="R95" s="2167"/>
      <c r="S95" s="2167"/>
      <c r="T95" s="2167"/>
      <c r="U95" s="2167"/>
      <c r="V95" s="2167"/>
      <c r="W95" s="2167"/>
      <c r="X95" s="2167"/>
      <c r="Y95" s="2167"/>
      <c r="Z95" s="2167"/>
      <c r="AA95" s="2167"/>
      <c r="AB95" s="2167"/>
      <c r="AC95" s="2167"/>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87"/>
      <c r="N96" s="2164"/>
      <c r="O96" s="2164"/>
      <c r="P96" s="2165"/>
      <c r="Q96" s="2166"/>
      <c r="R96" s="2167"/>
      <c r="S96" s="2167"/>
      <c r="T96" s="2167"/>
      <c r="U96" s="2167"/>
      <c r="V96" s="2167"/>
      <c r="W96" s="2167"/>
      <c r="X96" s="2167"/>
      <c r="Y96" s="2167"/>
      <c r="Z96" s="2167"/>
      <c r="AA96" s="2167"/>
      <c r="AB96" s="2167"/>
      <c r="AC96" s="2167"/>
    </row>
    <row r="97" spans="1:29" ht="15.75" thickTop="1">
      <c r="A97" s="665"/>
      <c r="B97" s="669" t="str">
        <f>B29</f>
        <v>临街状况</v>
      </c>
      <c r="C97" s="670" t="s">
        <v>583</v>
      </c>
      <c r="D97" s="670" t="s">
        <v>584</v>
      </c>
      <c r="E97" s="670" t="s">
        <v>585</v>
      </c>
      <c r="F97" s="670" t="s">
        <v>586</v>
      </c>
      <c r="G97" s="670"/>
      <c r="H97" s="670"/>
      <c r="I97" s="670"/>
      <c r="J97" s="670"/>
      <c r="K97" s="671"/>
      <c r="L97" s="672"/>
      <c r="M97" s="673"/>
      <c r="N97" s="2161"/>
      <c r="O97" s="2161"/>
      <c r="P97" s="2162"/>
      <c r="Q97" s="2155"/>
      <c r="R97" s="2142"/>
      <c r="S97" s="2142"/>
      <c r="T97" s="2142"/>
      <c r="U97" s="2142"/>
      <c r="V97" s="2142"/>
      <c r="W97" s="2142"/>
      <c r="X97" s="2142"/>
      <c r="Y97" s="2142"/>
      <c r="Z97" s="2142"/>
      <c r="AA97" s="2142"/>
      <c r="AB97" s="2142"/>
      <c r="AC97" s="2142"/>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5"/>
      <c r="B99" s="669" t="s">
        <v>542</v>
      </c>
      <c r="C99" s="684"/>
      <c r="D99" s="684"/>
      <c r="E99" s="684"/>
      <c r="F99" s="684"/>
      <c r="G99" s="684"/>
      <c r="H99" s="714"/>
      <c r="I99" s="714"/>
      <c r="J99" s="714"/>
      <c r="K99" s="715"/>
      <c r="L99" s="716"/>
      <c r="M99" s="717"/>
      <c r="N99" s="2161"/>
      <c r="O99" s="2161"/>
      <c r="P99" s="2162"/>
      <c r="Q99" s="2155"/>
      <c r="R99" s="2142"/>
      <c r="S99" s="2142"/>
      <c r="T99" s="2142"/>
      <c r="U99" s="2142"/>
      <c r="V99" s="2142"/>
      <c r="W99" s="2142"/>
      <c r="X99" s="2142"/>
      <c r="Y99" s="2142"/>
      <c r="Z99" s="2142"/>
      <c r="AA99" s="2142"/>
      <c r="AB99" s="2142"/>
      <c r="AC99" s="2142"/>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5"/>
      <c r="B101" s="669" t="s">
        <v>543</v>
      </c>
      <c r="C101" s="714"/>
      <c r="D101" s="714"/>
      <c r="E101" s="714"/>
      <c r="F101" s="714"/>
      <c r="G101" s="714"/>
      <c r="H101" s="714"/>
      <c r="I101" s="714"/>
      <c r="J101" s="714"/>
      <c r="K101" s="715"/>
      <c r="L101" s="716"/>
      <c r="M101" s="717"/>
      <c r="N101" s="2161"/>
      <c r="O101" s="2161"/>
      <c r="P101" s="2162"/>
      <c r="Q101" s="2155"/>
      <c r="R101" s="2142"/>
      <c r="S101" s="2142"/>
      <c r="T101" s="2142"/>
      <c r="U101" s="2142"/>
      <c r="V101" s="2142"/>
      <c r="W101" s="2142"/>
      <c r="X101" s="2142"/>
      <c r="Y101" s="2142"/>
      <c r="Z101" s="2142"/>
      <c r="AA101" s="2142"/>
      <c r="AB101" s="2142"/>
      <c r="AC101" s="2142"/>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5"/>
      <c r="B103" s="677">
        <f>B33</f>
        <v>111</v>
      </c>
      <c r="C103" s="684"/>
      <c r="D103" s="684"/>
      <c r="E103" s="684"/>
      <c r="F103" s="684"/>
      <c r="G103" s="718"/>
      <c r="H103" s="718"/>
      <c r="I103" s="718"/>
      <c r="J103" s="718"/>
      <c r="K103" s="719"/>
      <c r="L103" s="720"/>
      <c r="M103" s="721"/>
      <c r="N103" s="2161"/>
      <c r="O103" s="2161"/>
      <c r="P103" s="2162"/>
      <c r="Q103" s="2155"/>
      <c r="R103" s="2142"/>
      <c r="S103" s="2142"/>
      <c r="T103" s="2142"/>
      <c r="U103" s="2142"/>
      <c r="V103" s="2142"/>
      <c r="W103" s="2142"/>
      <c r="X103" s="2142"/>
      <c r="Y103" s="2142"/>
      <c r="Z103" s="2142"/>
      <c r="AA103" s="2142"/>
      <c r="AB103" s="2142"/>
      <c r="AC103" s="2142"/>
    </row>
    <row r="104" spans="1:29" ht="15.75" thickBot="1">
      <c r="A104" s="665"/>
      <c r="B104" s="695"/>
      <c r="C104" s="688"/>
      <c r="D104" s="667"/>
      <c r="E104" s="667"/>
      <c r="F104" s="667"/>
      <c r="G104" s="722"/>
      <c r="H104" s="722"/>
      <c r="I104" s="722"/>
      <c r="J104" s="722"/>
      <c r="K104" s="722"/>
      <c r="L104" s="722"/>
      <c r="M104" s="723"/>
      <c r="N104" s="2163"/>
      <c r="O104" s="2163"/>
      <c r="P104" s="2162"/>
      <c r="Q104" s="2155"/>
      <c r="R104" s="2142"/>
      <c r="S104" s="2142"/>
      <c r="T104" s="2142"/>
      <c r="U104" s="2142"/>
      <c r="V104" s="2142"/>
      <c r="W104" s="2142"/>
      <c r="X104" s="2142"/>
      <c r="Y104" s="2142"/>
      <c r="Z104" s="2142"/>
      <c r="AA104" s="2142"/>
      <c r="AB104" s="2142"/>
      <c r="AC104" s="2142"/>
    </row>
    <row r="105" spans="1:29" ht="15" thickTop="1">
      <c r="A105" s="583"/>
      <c r="B105" s="669">
        <f>B34</f>
        <v>111</v>
      </c>
      <c r="C105" s="684"/>
      <c r="D105" s="684"/>
      <c r="E105" s="684"/>
      <c r="F105" s="684"/>
      <c r="G105" s="714"/>
      <c r="H105" s="714"/>
      <c r="I105" s="714"/>
      <c r="J105" s="714"/>
      <c r="K105" s="715"/>
      <c r="L105" s="716"/>
      <c r="M105" s="717"/>
      <c r="N105" s="2161"/>
      <c r="O105" s="2161"/>
      <c r="P105" s="2162"/>
      <c r="Q105" s="2155"/>
      <c r="R105" s="2142"/>
      <c r="S105" s="2142"/>
      <c r="T105" s="2142"/>
      <c r="U105" s="2142"/>
      <c r="V105" s="2142"/>
      <c r="W105" s="2142"/>
      <c r="X105" s="2142"/>
      <c r="Y105" s="2142"/>
      <c r="Z105" s="2142"/>
      <c r="AA105" s="2142"/>
      <c r="AB105" s="2142"/>
      <c r="AC105" s="2142"/>
    </row>
    <row r="106" spans="1:29" ht="15.75" thickBot="1">
      <c r="A106" s="665"/>
      <c r="B106" s="674"/>
      <c r="C106" s="688"/>
      <c r="D106" s="688"/>
      <c r="E106" s="688"/>
      <c r="F106" s="688"/>
      <c r="G106" s="667"/>
      <c r="H106" s="667"/>
      <c r="I106" s="667"/>
      <c r="J106" s="667"/>
      <c r="K106" s="667"/>
      <c r="L106" s="667"/>
      <c r="M106" s="668"/>
      <c r="N106" s="2163"/>
      <c r="O106" s="2163"/>
      <c r="P106" s="2162"/>
      <c r="Q106" s="2155"/>
      <c r="R106" s="2142"/>
      <c r="S106" s="2142"/>
      <c r="T106" s="2142"/>
      <c r="U106" s="2142"/>
      <c r="V106" s="2142"/>
      <c r="W106" s="2142"/>
      <c r="X106" s="2142"/>
      <c r="Y106" s="2142"/>
      <c r="Z106" s="2142"/>
      <c r="AA106" s="2142"/>
      <c r="AB106" s="2142"/>
      <c r="AC106" s="2142"/>
    </row>
    <row r="107" spans="1:29" s="1335" customFormat="1" ht="15" thickTop="1">
      <c r="A107" s="724"/>
      <c r="B107" s="725">
        <f>B35</f>
        <v>111</v>
      </c>
      <c r="C107" s="657"/>
      <c r="D107" s="657"/>
      <c r="E107" s="657"/>
      <c r="F107" s="657"/>
      <c r="G107" s="726"/>
      <c r="H107" s="726"/>
      <c r="I107" s="726"/>
      <c r="J107" s="727"/>
      <c r="K107" s="727"/>
      <c r="L107" s="728"/>
      <c r="M107" s="729"/>
      <c r="N107" s="2164"/>
      <c r="O107" s="2164"/>
      <c r="P107" s="2165"/>
      <c r="Q107" s="2166"/>
      <c r="R107" s="2167"/>
      <c r="S107" s="2167"/>
      <c r="T107" s="2167"/>
      <c r="U107" s="2167"/>
      <c r="V107" s="2167"/>
      <c r="W107" s="2167"/>
      <c r="X107" s="2167"/>
      <c r="Y107" s="2167"/>
      <c r="Z107" s="2167"/>
      <c r="AA107" s="2167"/>
      <c r="AB107" s="2167"/>
      <c r="AC107" s="2167"/>
    </row>
    <row r="108" spans="1:29" s="1335" customFormat="1" ht="15.75" thickBot="1">
      <c r="A108" s="683"/>
      <c r="B108" s="677"/>
      <c r="C108" s="696"/>
      <c r="D108" s="696"/>
      <c r="E108" s="696"/>
      <c r="F108" s="696"/>
      <c r="G108" s="588"/>
      <c r="H108" s="588"/>
      <c r="I108" s="588"/>
      <c r="J108" s="588"/>
      <c r="K108" s="588"/>
      <c r="L108" s="588"/>
      <c r="M108" s="730"/>
      <c r="N108" s="2163"/>
      <c r="O108" s="2163"/>
      <c r="P108" s="2165"/>
      <c r="Q108" s="2166"/>
      <c r="R108" s="2167"/>
      <c r="S108" s="2167"/>
      <c r="T108" s="2167"/>
      <c r="U108" s="2167"/>
      <c r="V108" s="2167"/>
      <c r="W108" s="2167"/>
      <c r="X108" s="2167"/>
      <c r="Y108" s="2167"/>
      <c r="Z108" s="2167"/>
      <c r="AA108" s="2167"/>
      <c r="AB108" s="2167"/>
      <c r="AC108" s="2167"/>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7" t="str">
        <f t="shared" si="25"/>
        <v>(含)-</v>
      </c>
      <c r="L109" s="3088" t="str">
        <f t="shared" si="25"/>
        <v>(含)-</v>
      </c>
      <c r="M109" s="3089"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5"/>
      <c r="B110" s="677"/>
      <c r="C110" s="726"/>
      <c r="D110" s="726"/>
      <c r="E110" s="726"/>
      <c r="F110" s="726"/>
      <c r="G110" s="726"/>
      <c r="H110" s="726"/>
      <c r="I110" s="726"/>
      <c r="J110" s="727"/>
      <c r="K110" s="727"/>
      <c r="L110" s="728"/>
      <c r="M110" s="729"/>
      <c r="N110" s="2161"/>
      <c r="O110" s="2161"/>
      <c r="P110" s="2162"/>
      <c r="Q110" s="2155"/>
      <c r="R110" s="2142"/>
      <c r="S110" s="2142"/>
      <c r="T110" s="2142"/>
      <c r="U110" s="2142"/>
      <c r="V110" s="2142"/>
      <c r="W110" s="2142"/>
      <c r="X110" s="2142"/>
      <c r="Y110" s="2142"/>
      <c r="Z110" s="2142"/>
      <c r="AA110" s="2142"/>
      <c r="AB110" s="2142"/>
      <c r="AC110" s="2142"/>
    </row>
    <row r="111" spans="1:29" ht="15.75" thickBot="1">
      <c r="A111" s="665"/>
      <c r="B111" s="674"/>
      <c r="C111" s="696"/>
      <c r="D111" s="722"/>
      <c r="E111" s="722"/>
      <c r="F111" s="722"/>
      <c r="G111" s="722"/>
      <c r="H111" s="722"/>
      <c r="I111" s="722"/>
      <c r="J111" s="722"/>
      <c r="K111" s="722"/>
      <c r="L111" s="722"/>
      <c r="M111" s="723"/>
      <c r="N111" s="2163"/>
      <c r="O111" s="2163"/>
      <c r="P111" s="2162"/>
      <c r="Q111" s="2155"/>
      <c r="R111" s="2142"/>
      <c r="S111" s="2142"/>
      <c r="T111" s="2142"/>
      <c r="U111" s="2142"/>
      <c r="V111" s="2142"/>
      <c r="W111" s="2142"/>
      <c r="X111" s="2142"/>
      <c r="Y111" s="2142"/>
      <c r="Z111" s="2142"/>
      <c r="AA111" s="2142"/>
      <c r="AB111" s="2142"/>
      <c r="AC111" s="2142"/>
    </row>
    <row r="112" spans="1:29" ht="15" thickTop="1">
      <c r="A112" s="731"/>
      <c r="B112" s="669" t="s">
        <v>588</v>
      </c>
      <c r="C112" s="714"/>
      <c r="D112" s="714"/>
      <c r="E112" s="714"/>
      <c r="F112" s="714"/>
      <c r="G112" s="714"/>
      <c r="H112" s="714"/>
      <c r="I112" s="714"/>
      <c r="J112" s="714"/>
      <c r="K112" s="715"/>
      <c r="L112" s="716"/>
      <c r="M112" s="717"/>
      <c r="N112" s="2161"/>
      <c r="O112" s="2161"/>
      <c r="P112" s="2162"/>
      <c r="Q112" s="2155"/>
      <c r="R112" s="2142"/>
      <c r="S112" s="2142"/>
      <c r="T112" s="2142"/>
      <c r="U112" s="2142"/>
      <c r="V112" s="2142"/>
      <c r="W112" s="2142"/>
      <c r="X112" s="2142"/>
      <c r="Y112" s="2142"/>
      <c r="Z112" s="2142"/>
      <c r="AA112" s="2142"/>
      <c r="AB112" s="2142"/>
      <c r="AC112" s="2142"/>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4"/>
      <c r="B114" s="1893" t="s">
        <v>2420</v>
      </c>
      <c r="C114" s="1371"/>
      <c r="D114" s="1371"/>
      <c r="E114" s="1371"/>
      <c r="F114" s="1371"/>
      <c r="G114" s="1371"/>
      <c r="H114" s="714"/>
      <c r="I114" s="714"/>
      <c r="J114" s="714"/>
      <c r="K114" s="715"/>
      <c r="L114" s="716"/>
      <c r="M114" s="717"/>
      <c r="N114" s="2164"/>
      <c r="O114" s="2164"/>
      <c r="P114" s="2165"/>
      <c r="Q114" s="2166"/>
      <c r="R114" s="2167"/>
      <c r="S114" s="2167"/>
      <c r="T114" s="2167"/>
      <c r="U114" s="2167"/>
      <c r="V114" s="2167"/>
      <c r="W114" s="2167"/>
      <c r="X114" s="2167"/>
      <c r="Y114" s="2167"/>
      <c r="Z114" s="2167"/>
      <c r="AA114" s="2167"/>
      <c r="AB114" s="2167"/>
      <c r="AC114" s="2167"/>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1"/>
      <c r="B116" s="669" t="s">
        <v>590</v>
      </c>
      <c r="C116" s="684"/>
      <c r="D116" s="684"/>
      <c r="E116" s="714"/>
      <c r="F116" s="714"/>
      <c r="G116" s="714"/>
      <c r="H116" s="714"/>
      <c r="I116" s="714"/>
      <c r="J116" s="714"/>
      <c r="K116" s="715"/>
      <c r="L116" s="716"/>
      <c r="M116" s="717"/>
      <c r="N116" s="2161"/>
      <c r="O116" s="2161"/>
      <c r="P116" s="2162"/>
      <c r="Q116" s="2155"/>
      <c r="R116" s="2142"/>
      <c r="S116" s="2142"/>
      <c r="T116" s="2142"/>
      <c r="U116" s="2142"/>
      <c r="V116" s="2142"/>
      <c r="W116" s="2142"/>
      <c r="X116" s="2142"/>
      <c r="Y116" s="2142"/>
      <c r="Z116" s="2142"/>
      <c r="AA116" s="2142"/>
      <c r="AB116" s="2142"/>
      <c r="AC116" s="2142"/>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1"/>
      <c r="B118" s="669">
        <f>B40</f>
        <v>111</v>
      </c>
      <c r="C118" s="684"/>
      <c r="D118" s="684"/>
      <c r="E118" s="684"/>
      <c r="F118" s="684"/>
      <c r="G118" s="684"/>
      <c r="H118" s="714"/>
      <c r="I118" s="714"/>
      <c r="J118" s="714"/>
      <c r="K118" s="715"/>
      <c r="L118" s="716"/>
      <c r="M118" s="717"/>
      <c r="N118" s="2161"/>
      <c r="O118" s="2161"/>
      <c r="P118" s="2162"/>
      <c r="Q118" s="2155"/>
      <c r="R118" s="2142"/>
      <c r="S118" s="2142"/>
      <c r="T118" s="2142"/>
      <c r="U118" s="2142"/>
      <c r="V118" s="2142"/>
      <c r="W118" s="2142"/>
      <c r="X118" s="2142"/>
      <c r="Y118" s="2142"/>
      <c r="Z118" s="2142"/>
      <c r="AA118" s="2142"/>
      <c r="AB118" s="2142"/>
      <c r="AC118" s="2142"/>
    </row>
    <row r="119" spans="1:29" ht="15.75" thickBot="1">
      <c r="A119" s="665"/>
      <c r="B119" s="674"/>
      <c r="C119" s="688"/>
      <c r="D119" s="667"/>
      <c r="E119" s="667"/>
      <c r="F119" s="667"/>
      <c r="G119" s="667"/>
      <c r="H119" s="667"/>
      <c r="I119" s="667"/>
      <c r="J119" s="667"/>
      <c r="K119" s="667"/>
      <c r="L119" s="667"/>
      <c r="M119" s="668"/>
      <c r="N119" s="2163"/>
      <c r="O119" s="2163"/>
      <c r="P119" s="2162"/>
      <c r="Q119" s="2155"/>
      <c r="R119" s="2142"/>
      <c r="S119" s="2142"/>
      <c r="T119" s="2142"/>
      <c r="U119" s="2142"/>
      <c r="V119" s="2142"/>
      <c r="W119" s="2142"/>
      <c r="X119" s="2142"/>
      <c r="Y119" s="2142"/>
      <c r="Z119" s="2142"/>
      <c r="AA119" s="2142"/>
      <c r="AB119" s="2142"/>
      <c r="AC119" s="2142"/>
    </row>
    <row r="120" spans="1:29" ht="15" thickTop="1">
      <c r="A120" s="731"/>
      <c r="B120" s="669">
        <f>B41</f>
        <v>111</v>
      </c>
      <c r="C120" s="684"/>
      <c r="D120" s="684"/>
      <c r="E120" s="684"/>
      <c r="F120" s="684"/>
      <c r="G120" s="714"/>
      <c r="H120" s="714"/>
      <c r="I120" s="714"/>
      <c r="J120" s="714"/>
      <c r="K120" s="715"/>
      <c r="L120" s="716"/>
      <c r="M120" s="717"/>
      <c r="N120" s="2161"/>
      <c r="O120" s="2161"/>
      <c r="P120" s="2162"/>
      <c r="Q120" s="2155"/>
      <c r="R120" s="2142"/>
      <c r="S120" s="2142"/>
      <c r="T120" s="2142"/>
      <c r="U120" s="2142"/>
      <c r="V120" s="2142"/>
      <c r="W120" s="2142"/>
      <c r="X120" s="2142"/>
      <c r="Y120" s="2142"/>
      <c r="Z120" s="2142"/>
      <c r="AA120" s="2142"/>
      <c r="AB120" s="2142"/>
      <c r="AC120" s="2142"/>
    </row>
    <row r="121" spans="1:29" ht="15.75" thickBot="1">
      <c r="A121" s="665"/>
      <c r="B121" s="674"/>
      <c r="C121" s="688"/>
      <c r="D121" s="688"/>
      <c r="E121" s="688"/>
      <c r="F121" s="688"/>
      <c r="G121" s="667"/>
      <c r="H121" s="667"/>
      <c r="I121" s="667"/>
      <c r="J121" s="667"/>
      <c r="K121" s="667"/>
      <c r="L121" s="667"/>
      <c r="M121" s="668"/>
      <c r="N121" s="2163"/>
      <c r="O121" s="2163"/>
      <c r="P121" s="2162"/>
      <c r="Q121" s="2155"/>
      <c r="R121" s="2142"/>
      <c r="S121" s="2142"/>
      <c r="T121" s="2142"/>
      <c r="U121" s="2142"/>
      <c r="V121" s="2142"/>
      <c r="W121" s="2142"/>
      <c r="X121" s="2142"/>
      <c r="Y121" s="2142"/>
      <c r="Z121" s="2142"/>
      <c r="AA121" s="2142"/>
      <c r="AB121" s="2142"/>
      <c r="AC121" s="2142"/>
    </row>
    <row r="122" spans="1:29" s="1335" customFormat="1" ht="15" thickTop="1">
      <c r="A122" s="724"/>
      <c r="B122" s="669">
        <f>B42</f>
        <v>111</v>
      </c>
      <c r="C122" s="657"/>
      <c r="D122" s="657"/>
      <c r="E122" s="657"/>
      <c r="F122" s="657"/>
      <c r="G122" s="685"/>
      <c r="H122" s="685"/>
      <c r="I122" s="685"/>
      <c r="J122" s="685"/>
      <c r="K122" s="685"/>
      <c r="L122" s="686"/>
      <c r="M122" s="687"/>
      <c r="N122" s="2164"/>
      <c r="O122" s="2164"/>
      <c r="P122" s="2165"/>
      <c r="Q122" s="2166"/>
      <c r="R122" s="2167"/>
      <c r="S122" s="2167"/>
      <c r="T122" s="2167"/>
      <c r="U122" s="2167"/>
      <c r="V122" s="2167"/>
      <c r="W122" s="2167"/>
      <c r="X122" s="2167"/>
      <c r="Y122" s="2167"/>
      <c r="Z122" s="2167"/>
      <c r="AA122" s="2167"/>
      <c r="AB122" s="2167"/>
      <c r="AC122" s="2167"/>
    </row>
    <row r="123" spans="1:29" s="1335" customFormat="1" ht="15.75" thickBot="1">
      <c r="A123" s="694"/>
      <c r="B123" s="732"/>
      <c r="C123" s="696"/>
      <c r="D123" s="696"/>
      <c r="E123" s="696"/>
      <c r="F123" s="696"/>
      <c r="G123" s="722"/>
      <c r="H123" s="722"/>
      <c r="I123" s="722"/>
      <c r="J123" s="722"/>
      <c r="K123" s="722"/>
      <c r="L123" s="722"/>
      <c r="M123" s="723"/>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7" priority="14" stopIfTrue="1" operator="containsText" text="超过">
      <formula>NOT(ISERROR(SEARCH("超过",F48)))</formula>
    </cfRule>
  </conditionalFormatting>
  <conditionalFormatting sqref="J50">
    <cfRule type="containsText" dxfId="96" priority="13" stopIfTrue="1" operator="containsText" text="超过">
      <formula>NOT(ISERROR(SEARCH("超过",J50)))</formula>
    </cfRule>
  </conditionalFormatting>
  <conditionalFormatting sqref="H50">
    <cfRule type="containsText" dxfId="95" priority="12" stopIfTrue="1" operator="containsText" text="超过">
      <formula>NOT(ISERROR(SEARCH("超过",H50)))</formula>
    </cfRule>
  </conditionalFormatting>
  <conditionalFormatting sqref="F50">
    <cfRule type="containsText" dxfId="94" priority="11" stopIfTrue="1" operator="containsText" text="超过">
      <formula>NOT(ISERROR(SEARCH("超过",F50)))</formula>
    </cfRule>
  </conditionalFormatting>
  <conditionalFormatting sqref="F49 H49 J49">
    <cfRule type="containsText" dxfId="93" priority="10" stopIfTrue="1" operator="containsText" text="超过">
      <formula>NOT(ISERROR(SEARCH("超过",F49)))</formula>
    </cfRule>
  </conditionalFormatting>
  <conditionalFormatting sqref="E48">
    <cfRule type="expression" dxfId="92" priority="9" stopIfTrue="1">
      <formula>$F$48="超过30%"</formula>
    </cfRule>
  </conditionalFormatting>
  <conditionalFormatting sqref="G50">
    <cfRule type="expression" dxfId="91" priority="8" stopIfTrue="1">
      <formula>$H$50="超过30%"</formula>
    </cfRule>
  </conditionalFormatting>
  <conditionalFormatting sqref="E50">
    <cfRule type="expression" dxfId="90" priority="6" stopIfTrue="1">
      <formula>$F$50="超过30%"</formula>
    </cfRule>
  </conditionalFormatting>
  <conditionalFormatting sqref="G48">
    <cfRule type="expression" dxfId="89" priority="5" stopIfTrue="1">
      <formula>$H$48="超过30%"</formula>
    </cfRule>
  </conditionalFormatting>
  <conditionalFormatting sqref="G49">
    <cfRule type="expression" dxfId="88" priority="4" stopIfTrue="1">
      <formula>$H$49="超过20%"</formula>
    </cfRule>
  </conditionalFormatting>
  <conditionalFormatting sqref="I48">
    <cfRule type="expression" dxfId="87" priority="3" stopIfTrue="1">
      <formula>$J$48="超过30%"</formula>
    </cfRule>
  </conditionalFormatting>
  <conditionalFormatting sqref="I49">
    <cfRule type="expression" dxfId="86" priority="2" stopIfTrue="1">
      <formula>$J$49="超过20%"</formula>
    </cfRule>
  </conditionalFormatting>
  <conditionalFormatting sqref="I50">
    <cfRule type="expression" dxfId="85" priority="1" stopIfTrue="1">
      <formula>$J$50="超过30%"</formula>
    </cfRule>
  </conditionalFormatting>
  <conditionalFormatting sqref="E49">
    <cfRule type="expression" dxfId="8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1687</v>
      </c>
      <c r="B1" s="1396"/>
      <c r="C1" s="1402" t="s">
        <v>2421</v>
      </c>
      <c r="D1" s="1517">
        <f>SUM(D29:D30,D33:D39)</f>
        <v>0</v>
      </c>
      <c r="E1" s="1402" t="s">
        <v>2422</v>
      </c>
      <c r="F1" s="2449"/>
      <c r="G1" s="1397"/>
      <c r="H1" s="1397"/>
      <c r="I1" s="1397"/>
      <c r="J1" s="1397"/>
      <c r="K1" s="1397"/>
      <c r="L1" s="1879" t="s">
        <v>2233</v>
      </c>
      <c r="M1" s="1880">
        <f>SUMPRODUCT((区片价!B5:B9=I2)*(区片价!C3:F3=E2)*(区片价!C5:F9))</f>
        <v>0</v>
      </c>
      <c r="N1" s="1881">
        <f>SUMPRODUCT((因素修正幅度!B5:B9=I2)*(因素修正幅度!C3:F3=E2)*(因素修正幅度!C5:F9))</f>
        <v>0</v>
      </c>
      <c r="O1" s="2186"/>
      <c r="P1" s="2186"/>
      <c r="Q1" s="2186"/>
      <c r="R1" s="2933" t="s">
        <v>2757</v>
      </c>
      <c r="S1" s="2933" t="s">
        <v>2758</v>
      </c>
      <c r="T1" s="2933" t="s">
        <v>2779</v>
      </c>
      <c r="U1" s="2933" t="s">
        <v>2780</v>
      </c>
      <c r="V1" s="2933" t="s">
        <v>2781</v>
      </c>
      <c r="W1" s="2186"/>
      <c r="X1" s="2186"/>
      <c r="Y1" s="2186"/>
      <c r="Z1" s="2186"/>
      <c r="AA1" s="2186"/>
      <c r="AB1" s="2186"/>
      <c r="AC1" s="2187"/>
    </row>
    <row r="2" spans="1:39" ht="15.75">
      <c r="A2" s="1402" t="s">
        <v>914</v>
      </c>
      <c r="B2" s="1034" t="e">
        <f>C26</f>
        <v>#DIV/0!</v>
      </c>
      <c r="C2" s="1403" t="s">
        <v>915</v>
      </c>
      <c r="D2" s="1404" t="s">
        <v>916</v>
      </c>
      <c r="E2" s="1405"/>
      <c r="F2" s="1404" t="s">
        <v>918</v>
      </c>
      <c r="G2" s="1648">
        <f>IF(E2="商业",项目基本情况!B43,IF(E2="办公",项目基本情况!C43,IF(E2="住宅",项目基本情况!D43,项目基本情况!E43)))</f>
        <v>0</v>
      </c>
      <c r="H2" s="1404" t="s">
        <v>920</v>
      </c>
      <c r="I2" s="1649">
        <f>IF(E2="商业",项目基本情况!B44,IF(E2="办公",项目基本情况!C44,IF(E2="住宅",项目基本情况!D44,项目基本情况!E44)))</f>
        <v>0</v>
      </c>
      <c r="J2" s="1406"/>
      <c r="K2" s="1397"/>
      <c r="L2" s="1882" t="s">
        <v>2234</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7" t="s">
        <v>1680</v>
      </c>
      <c r="B3" s="1034" t="e">
        <f>ROUND(B2*10000/D1,0)</f>
        <v>#DIV/0!</v>
      </c>
      <c r="C3" s="1403" t="s">
        <v>921</v>
      </c>
      <c r="D3" s="1404" t="s">
        <v>922</v>
      </c>
      <c r="E3" s="1408"/>
      <c r="F3" s="1409" t="s">
        <v>2932</v>
      </c>
      <c r="G3" s="1035">
        <f>IF(F3="宗地容积率",'数据-汇总表'!I4,IF(F3="估价对象容积率",'数据-汇总表'!I6,'数据-汇总表'!I7))</f>
        <v>2.5</v>
      </c>
      <c r="H3" s="1410" t="s">
        <v>923</v>
      </c>
      <c r="I3" s="1036">
        <v>8</v>
      </c>
      <c r="J3" s="1406" t="s">
        <v>924</v>
      </c>
      <c r="K3" s="1397"/>
      <c r="L3" s="1882" t="s">
        <v>2235</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2275</v>
      </c>
      <c r="B4" s="2450" t="e">
        <f>ROUND(B2*10000/F1,0)</f>
        <v>#DIV/0!</v>
      </c>
      <c r="C4" s="1891" t="s">
        <v>2249</v>
      </c>
      <c r="D4" s="1891" t="e">
        <f>ROUND(B2/(F1/666.67),0)</f>
        <v>#DIV/0!</v>
      </c>
      <c r="E4" s="1891" t="s">
        <v>2250</v>
      </c>
      <c r="F4" s="1889"/>
      <c r="G4" s="1889"/>
      <c r="H4" s="1889"/>
      <c r="I4" s="1889"/>
      <c r="J4" s="1890"/>
      <c r="K4" s="1397"/>
      <c r="L4" s="1882" t="s">
        <v>2236</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75" thickBot="1">
      <c r="A5" s="1634" t="s">
        <v>1816</v>
      </c>
      <c r="B5" s="1411" t="s">
        <v>925</v>
      </c>
      <c r="C5" s="1037" t="e">
        <f>ROUND(IF(E2="商业",IF(F16="增加",C6*C7+C16,C6*C7-C16),IF(E2="住宅",IF(F16="增加",C6*C12+C16,C6*C12-C16),IF(F16="增加",C6+C16,C6-C16))),0)</f>
        <v>#DIV/0!</v>
      </c>
      <c r="D5" s="3115">
        <f>ROUND(IF(E2="商业",IF(F16="增加",C6+C16,C6-C16)),0)</f>
        <v>0</v>
      </c>
      <c r="E5" s="1412"/>
      <c r="F5" s="1412"/>
      <c r="G5" s="1413"/>
      <c r="H5" s="1413"/>
      <c r="I5" s="1413"/>
      <c r="J5" s="1414"/>
      <c r="K5" s="1590"/>
      <c r="L5" s="1882" t="s">
        <v>2237</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1863</v>
      </c>
      <c r="B6" s="1418" t="s">
        <v>925</v>
      </c>
      <c r="C6" s="1038">
        <f>SUMIF(L1:L12,基准地价!G2,M1:M12)</f>
        <v>0</v>
      </c>
      <c r="D6" s="1419" t="s">
        <v>1688</v>
      </c>
      <c r="E6" s="1420"/>
      <c r="F6" s="1420"/>
      <c r="G6" s="1421"/>
      <c r="H6" s="1421"/>
      <c r="I6" s="1421"/>
      <c r="J6" s="1422"/>
      <c r="K6" s="1591"/>
      <c r="L6" s="1882" t="s">
        <v>2238</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516" t="str">
        <f>IF(E2="商业",IF(C8="不临58条商业街","",2),"")</f>
        <v/>
      </c>
      <c r="B7" s="1423" t="s">
        <v>926</v>
      </c>
      <c r="C7" s="1039" t="e">
        <f>IF(C8="不临58条商业街",1,ROUND(1+(1.6*E8+1.2*E9+0.8*E10+0.4*E11)*C9,4))</f>
        <v>#DIV/0!</v>
      </c>
      <c r="D7" s="1424" t="s">
        <v>927</v>
      </c>
      <c r="E7" s="1040"/>
      <c r="F7" s="1425"/>
      <c r="G7" s="1426"/>
      <c r="H7" s="1426"/>
      <c r="I7" s="1426"/>
      <c r="J7" s="1427"/>
      <c r="K7" s="1591"/>
      <c r="L7" s="1882" t="s">
        <v>2239</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2760</v>
      </c>
      <c r="X7" s="2924">
        <f>G2</f>
        <v>0</v>
      </c>
      <c r="Y7" s="2924" t="s">
        <v>2761</v>
      </c>
      <c r="Z7" s="2925">
        <f>G3</f>
        <v>2.5</v>
      </c>
      <c r="AA7" s="2189"/>
      <c r="AB7" s="2189"/>
      <c r="AC7" s="2190"/>
      <c r="AD7" s="2926"/>
      <c r="AE7" s="2926"/>
      <c r="AF7" s="2926"/>
      <c r="AG7" s="2926"/>
      <c r="AH7" s="2926"/>
      <c r="AI7" s="2926"/>
      <c r="AJ7" s="2927"/>
    </row>
    <row r="8" spans="1:39" ht="15">
      <c r="A8" s="3517"/>
      <c r="B8" s="1410" t="s">
        <v>928</v>
      </c>
      <c r="C8" s="1525"/>
      <c r="D8" s="1041" t="s">
        <v>929</v>
      </c>
      <c r="E8" s="1042" t="e">
        <f>ROUND(C11/E7,4)</f>
        <v>#DIV/0!</v>
      </c>
      <c r="F8" s="1428" t="s">
        <v>930</v>
      </c>
      <c r="G8" s="1429"/>
      <c r="H8" s="1429"/>
      <c r="I8" s="1429"/>
      <c r="J8" s="1430"/>
      <c r="K8" s="1397"/>
      <c r="L8" s="1882" t="s">
        <v>2240</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518" t="s">
        <v>2778</v>
      </c>
      <c r="X8" s="3519"/>
      <c r="Y8" s="1846" t="s">
        <v>2762</v>
      </c>
      <c r="Z8" s="1846" t="s">
        <v>2763</v>
      </c>
      <c r="AA8" s="1846" t="s">
        <v>2764</v>
      </c>
      <c r="AB8" s="1846" t="s">
        <v>2765</v>
      </c>
      <c r="AC8" s="1846" t="s">
        <v>2766</v>
      </c>
      <c r="AD8" s="1846" t="s">
        <v>2767</v>
      </c>
      <c r="AE8" s="1846" t="s">
        <v>2768</v>
      </c>
      <c r="AF8" s="1846" t="s">
        <v>2769</v>
      </c>
      <c r="AG8" s="1846" t="s">
        <v>2770</v>
      </c>
      <c r="AH8" s="1846" t="s">
        <v>2771</v>
      </c>
      <c r="AI8" s="1846" t="s">
        <v>2772</v>
      </c>
      <c r="AJ8" s="1846" t="s">
        <v>2773</v>
      </c>
    </row>
    <row r="9" spans="1:39" ht="15">
      <c r="A9" s="3517"/>
      <c r="B9" s="1410" t="s">
        <v>931</v>
      </c>
      <c r="C9" s="1043">
        <f>SUMIF(修正!C59:C119,C8,修正!E59:E119)</f>
        <v>0</v>
      </c>
      <c r="D9" s="1044" t="s">
        <v>932</v>
      </c>
      <c r="E9" s="1044" t="e">
        <f>ROUND(C11/E7,4)</f>
        <v>#DIV/0!</v>
      </c>
      <c r="F9" s="1428" t="s">
        <v>933</v>
      </c>
      <c r="G9" s="1429"/>
      <c r="H9" s="1429"/>
      <c r="I9" s="1429"/>
      <c r="J9" s="1430"/>
      <c r="K9" s="1397"/>
      <c r="L9" s="1882" t="s">
        <v>2241</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520" t="s">
        <v>2774</v>
      </c>
      <c r="X9" s="2928" t="s">
        <v>2775</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17"/>
      <c r="B10" s="1410" t="s">
        <v>934</v>
      </c>
      <c r="C10" s="1044">
        <f>SUMIF(修正!C59:C119,C8,修正!F59:F119)</f>
        <v>0</v>
      </c>
      <c r="D10" s="1044" t="s">
        <v>935</v>
      </c>
      <c r="E10" s="1044" t="e">
        <f>ROUND(C11/E7,4)</f>
        <v>#DIV/0!</v>
      </c>
      <c r="F10" s="1428" t="s">
        <v>936</v>
      </c>
      <c r="G10" s="1429"/>
      <c r="H10" s="1429"/>
      <c r="I10" s="1429"/>
      <c r="J10" s="1430"/>
      <c r="K10" s="1397"/>
      <c r="L10" s="1882" t="s">
        <v>2242</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520"/>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17"/>
      <c r="B11" s="1431" t="s">
        <v>937</v>
      </c>
      <c r="C11" s="1045">
        <f>C10/4</f>
        <v>0</v>
      </c>
      <c r="D11" s="1045" t="s">
        <v>938</v>
      </c>
      <c r="E11" s="1045" t="e">
        <f>ROUND(C11/E7,4)</f>
        <v>#DIV/0!</v>
      </c>
      <c r="F11" s="1432" t="s">
        <v>939</v>
      </c>
      <c r="G11" s="1433"/>
      <c r="H11" s="1433"/>
      <c r="I11" s="1433"/>
      <c r="J11" s="1434"/>
      <c r="K11" s="1397"/>
      <c r="L11" s="1882" t="s">
        <v>2243</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520" t="s">
        <v>2776</v>
      </c>
      <c r="X11" s="1044" t="s">
        <v>2761</v>
      </c>
      <c r="Y11" s="1649">
        <f>$G$3</f>
        <v>2.5</v>
      </c>
      <c r="Z11" s="1649">
        <f t="shared" ref="Z11:AJ11" si="3">$G$3</f>
        <v>2.5</v>
      </c>
      <c r="AA11" s="1649">
        <f t="shared" si="3"/>
        <v>2.5</v>
      </c>
      <c r="AB11" s="1649">
        <f t="shared" si="3"/>
        <v>2.5</v>
      </c>
      <c r="AC11" s="1649">
        <f t="shared" si="3"/>
        <v>2.5</v>
      </c>
      <c r="AD11" s="1649">
        <f t="shared" si="3"/>
        <v>2.5</v>
      </c>
      <c r="AE11" s="1649">
        <f t="shared" si="3"/>
        <v>2.5</v>
      </c>
      <c r="AF11" s="1649">
        <f t="shared" si="3"/>
        <v>2.5</v>
      </c>
      <c r="AG11" s="1649">
        <f t="shared" si="3"/>
        <v>2.5</v>
      </c>
      <c r="AH11" s="1649">
        <f t="shared" si="3"/>
        <v>2.5</v>
      </c>
      <c r="AI11" s="1649">
        <f t="shared" si="3"/>
        <v>2.5</v>
      </c>
      <c r="AJ11" s="1649">
        <f t="shared" si="3"/>
        <v>2.5</v>
      </c>
    </row>
    <row r="12" spans="1:39" ht="25.5" thickBot="1">
      <c r="A12" s="3516" t="s">
        <v>1864</v>
      </c>
      <c r="B12" s="1435" t="s">
        <v>940</v>
      </c>
      <c r="C12" s="1039">
        <f>ROUND(C15*D15*E15*F15*G15*H15*I15*J15,4)</f>
        <v>1</v>
      </c>
      <c r="D12" s="1436" t="s">
        <v>941</v>
      </c>
      <c r="E12" s="1437"/>
      <c r="F12" s="1437"/>
      <c r="G12" s="1438"/>
      <c r="H12" s="1438"/>
      <c r="I12" s="1438"/>
      <c r="J12" s="1439"/>
      <c r="K12" s="1397"/>
      <c r="L12" s="1885" t="s">
        <v>2244</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520"/>
      <c r="X12" s="2931" t="s">
        <v>2777</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21"/>
      <c r="B13" s="1440" t="s">
        <v>1689</v>
      </c>
      <c r="C13" s="1441" t="s">
        <v>1690</v>
      </c>
      <c r="D13" s="1085" t="s">
        <v>1691</v>
      </c>
      <c r="E13" s="1085" t="s">
        <v>1692</v>
      </c>
      <c r="F13" s="1442" t="s">
        <v>942</v>
      </c>
      <c r="G13" s="1443" t="s">
        <v>1637</v>
      </c>
      <c r="H13" s="1444" t="s">
        <v>1637</v>
      </c>
      <c r="I13" s="1445" t="s">
        <v>1637</v>
      </c>
      <c r="J13" s="1446" t="s">
        <v>1637</v>
      </c>
      <c r="K13" s="1397"/>
      <c r="L13" s="2186"/>
      <c r="M13" s="2186"/>
      <c r="N13" s="2186"/>
      <c r="O13" s="2186"/>
      <c r="P13" s="2186"/>
      <c r="Q13" s="2186"/>
      <c r="R13" s="2934">
        <v>12</v>
      </c>
      <c r="S13" s="2923"/>
      <c r="T13" s="2934" t="e">
        <f t="shared" si="0"/>
        <v>#DIV/0!</v>
      </c>
      <c r="U13" s="2923"/>
      <c r="V13" s="2934" t="e">
        <f t="shared" si="1"/>
        <v>#DIV/0!</v>
      </c>
      <c r="W13" s="3520"/>
      <c r="X13" s="2931"/>
      <c r="Y13" s="2930">
        <f>(-0.163*(Y12^2)-0.59*Y12+7617)*(10^(-4))/Y11</f>
        <v>0.30468000000000001</v>
      </c>
      <c r="Z13" s="2930">
        <f t="shared" ref="Z13:AJ13" si="5">(-0.163*(Z12^2)-0.59*Z12+7617)*(10^(-4))/Z11</f>
        <v>0.30468000000000001</v>
      </c>
      <c r="AA13" s="2930">
        <f t="shared" si="5"/>
        <v>0.30468000000000001</v>
      </c>
      <c r="AB13" s="2930">
        <f t="shared" si="5"/>
        <v>0.30468000000000001</v>
      </c>
      <c r="AC13" s="2930">
        <f t="shared" si="5"/>
        <v>0.30468000000000001</v>
      </c>
      <c r="AD13" s="2930">
        <f t="shared" si="5"/>
        <v>0.30468000000000001</v>
      </c>
      <c r="AE13" s="2930">
        <f t="shared" si="5"/>
        <v>0.30468000000000001</v>
      </c>
      <c r="AF13" s="2930">
        <f t="shared" si="5"/>
        <v>0.30468000000000001</v>
      </c>
      <c r="AG13" s="2930">
        <f t="shared" si="5"/>
        <v>0.30468000000000001</v>
      </c>
      <c r="AH13" s="2930">
        <f t="shared" si="5"/>
        <v>0.30468000000000001</v>
      </c>
      <c r="AI13" s="2930">
        <f t="shared" si="5"/>
        <v>0.30468000000000001</v>
      </c>
      <c r="AJ13" s="2930">
        <f t="shared" si="5"/>
        <v>0.30468000000000001</v>
      </c>
    </row>
    <row r="14" spans="1:39" ht="12.75" customHeight="1" thickBot="1">
      <c r="A14" s="3521"/>
      <c r="B14" s="1447"/>
      <c r="C14" s="1448"/>
      <c r="D14" s="1449"/>
      <c r="E14" s="1449"/>
      <c r="F14" s="1450"/>
      <c r="G14" s="1451" t="s">
        <v>943</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522"/>
      <c r="B15" s="1455" t="s">
        <v>1693</v>
      </c>
      <c r="C15" s="1047">
        <f>IF(C14="有",1.1,1)</f>
        <v>1</v>
      </c>
      <c r="D15" s="1047">
        <f>IF(D14="有",1.1,1)</f>
        <v>1</v>
      </c>
      <c r="E15" s="1047">
        <f>IF(E14="有",1.1,1)</f>
        <v>1</v>
      </c>
      <c r="F15" s="1047">
        <f>IF(F14="500米范围内",1.2,IF(F14="500-1000米",1.1,1))</f>
        <v>1</v>
      </c>
      <c r="G15" s="1048">
        <v>1</v>
      </c>
      <c r="H15" s="1048">
        <v>1</v>
      </c>
      <c r="I15" s="1048">
        <v>1</v>
      </c>
      <c r="J15" s="1049">
        <v>1</v>
      </c>
      <c r="K15" s="1397"/>
      <c r="L15" s="1594" t="s">
        <v>892</v>
      </c>
      <c r="M15" s="1424" t="s">
        <v>978</v>
      </c>
      <c r="N15" s="1424" t="s">
        <v>979</v>
      </c>
      <c r="O15" s="1424" t="s">
        <v>896</v>
      </c>
      <c r="P15" s="1472" t="s">
        <v>980</v>
      </c>
      <c r="Q15" s="2186"/>
      <c r="R15" s="2934">
        <v>14</v>
      </c>
      <c r="S15" s="2923"/>
      <c r="T15" s="2934" t="e">
        <f t="shared" si="0"/>
        <v>#DIV/0!</v>
      </c>
      <c r="U15" s="2923"/>
      <c r="V15" s="2934" t="e">
        <f t="shared" si="1"/>
        <v>#DIV/0!</v>
      </c>
      <c r="W15" s="2186"/>
      <c r="X15" s="2186"/>
      <c r="Y15" s="2186"/>
      <c r="Z15" s="2186"/>
      <c r="AA15" s="2186"/>
      <c r="AB15" s="2186"/>
      <c r="AC15" s="2187"/>
    </row>
    <row r="16" spans="1:39" ht="24">
      <c r="A16" s="3516" t="s">
        <v>1831</v>
      </c>
      <c r="B16" s="1423" t="s">
        <v>944</v>
      </c>
      <c r="C16" s="1050" t="e">
        <f>ROUND(SUM(G17:J17)/C17,0)</f>
        <v>#DIV/0!</v>
      </c>
      <c r="D16" s="1456" t="s">
        <v>945</v>
      </c>
      <c r="E16" s="1457"/>
      <c r="F16" s="1458"/>
      <c r="G16" s="1459"/>
      <c r="H16" s="1459"/>
      <c r="I16" s="1459"/>
      <c r="J16" s="1459"/>
      <c r="K16" s="1397"/>
      <c r="L16" s="1460" t="s">
        <v>982</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517"/>
      <c r="B17" s="1461" t="s">
        <v>947</v>
      </c>
      <c r="C17" s="1051">
        <f>SUMPRODUCT((修正!A2:A5=E2)*(修正!B1:M1=G2)*(修正!B2:M5))</f>
        <v>0</v>
      </c>
      <c r="D17" s="1463" t="s">
        <v>948</v>
      </c>
      <c r="E17" s="1464" t="str">
        <f>IF(OR(G2="八级",G2="九级",G2="十级",G2="十一级",G2="十二级"),"五通一平","七通一平")</f>
        <v>七通一平</v>
      </c>
      <c r="F17" s="1462" t="s">
        <v>949</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968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1822</v>
      </c>
      <c r="B18" s="2769" t="s">
        <v>950</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1828</v>
      </c>
      <c r="B19" s="1466" t="s">
        <v>951</v>
      </c>
      <c r="C19" s="1053" t="e">
        <f>ROUND(IF(H19="按公示增长率计算",SUMPRODUCT((地价!A3:A24=YEAR(G19)&amp;"-"&amp;ROUNDUP(MONTH(G19)/3,0))*(地价!X2:AB2=E2)*(地价!X3:AB24)),IF(H19="地价指数",M20/M19,(1+I19)^O19)),4)</f>
        <v>#DIV/0!</v>
      </c>
      <c r="D19" s="1470" t="s">
        <v>952</v>
      </c>
      <c r="E19" s="1054">
        <v>41640</v>
      </c>
      <c r="F19" s="1470" t="s">
        <v>953</v>
      </c>
      <c r="G19" s="1055">
        <f>'数据-取费表'!B2</f>
        <v>43388</v>
      </c>
      <c r="H19" s="1471" t="s">
        <v>2933</v>
      </c>
      <c r="I19" s="2781" t="str">
        <f>IF(H19="季度增幅（自定义）",SUMIF(N21:N24,E2,O21:O24),"")</f>
        <v/>
      </c>
      <c r="J19" s="1467"/>
      <c r="K19" s="1477"/>
      <c r="L19" s="3034" t="s">
        <v>2836</v>
      </c>
      <c r="M19" s="3035">
        <f>ROUND(SUMIF(地价!B2:F2,E2,地价!B24:F24),0)</f>
        <v>0</v>
      </c>
      <c r="N19" s="2783" t="s">
        <v>1671</v>
      </c>
      <c r="O19" s="2782">
        <f>ROUNDDOWN(DATEDIF(E19,G19,"M")/3,0)</f>
        <v>19</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1829</v>
      </c>
      <c r="B20" s="2776" t="s">
        <v>966</v>
      </c>
      <c r="C20" s="2777" t="e">
        <f>ROUND(POWER(1+G20,J20-I20)*(POWER(1+G20,I20)-1)/(POWER(1+G20,J20)-1),4)</f>
        <v>#DIV/0!</v>
      </c>
      <c r="D20" s="2778" t="s">
        <v>967</v>
      </c>
      <c r="E20" s="3090">
        <f ca="1">存贷款利率!I4/100</f>
        <v>4.3499999999999997E-2</v>
      </c>
      <c r="F20" s="2778" t="s">
        <v>968</v>
      </c>
      <c r="G20" s="2779">
        <f>SUMIF(M15:P15,E2,M17:P17)</f>
        <v>0</v>
      </c>
      <c r="H20" s="2778" t="s">
        <v>969</v>
      </c>
      <c r="I20" s="2768" t="e">
        <f>SUMIF('数据-取费表'!C6:C15,E2,'数据-取费表'!F6:F15)/COUNTIF('数据-取费表'!C6:C15,E2)</f>
        <v>#DIV/0!</v>
      </c>
      <c r="J20" s="2780">
        <f>IF(E2="住宅",70,IF(E2="商业",40,50))</f>
        <v>50</v>
      </c>
      <c r="K20" s="1477"/>
      <c r="L20" s="3036" t="s">
        <v>2837</v>
      </c>
      <c r="M20" s="3037">
        <f>ROUND(SUMPRODUCT((地价!A4:A24=YEAR(G19)&amp;"-"&amp;ROUNDUP(MONTH(G19)/3,0))*(地价!B2:F2=E2)*(地价!B4:F24)),0)</f>
        <v>0</v>
      </c>
      <c r="N20" s="2786" t="s">
        <v>2640</v>
      </c>
      <c r="O20" s="2784" t="s">
        <v>2639</v>
      </c>
      <c r="P20" s="2785" t="s">
        <v>2645</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25">
      <c r="A21" s="1638" t="s">
        <v>1830</v>
      </c>
      <c r="B21" s="1476" t="s">
        <v>2756</v>
      </c>
      <c r="C21" s="1154">
        <f>IF(B21="容积率修正",IF(G3&lt;=10,D22,J22),C23)</f>
        <v>0</v>
      </c>
      <c r="D21" s="1477"/>
      <c r="E21" s="1477"/>
      <c r="F21" s="1477"/>
      <c r="G21" s="1477"/>
      <c r="H21" s="1477"/>
      <c r="I21" s="1477"/>
      <c r="J21" s="1478"/>
      <c r="K21" s="1477"/>
      <c r="L21" s="1477"/>
      <c r="M21" s="1477"/>
      <c r="N21" s="1474" t="s">
        <v>970</v>
      </c>
      <c r="O21" s="1538"/>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25">
      <c r="A22" s="1639" t="s">
        <v>1863</v>
      </c>
      <c r="B22" s="1479" t="s">
        <v>971</v>
      </c>
      <c r="C22" s="1056" t="s">
        <v>1695</v>
      </c>
      <c r="D22" s="1056" t="b">
        <f>IF(E22=G22,F22,IF(G3&lt;=10,ROUND(F22+(H22-F22)*(G3-E22)/(G22-E22),4),"——"))</f>
        <v>0</v>
      </c>
      <c r="E22" s="1035">
        <f>ROUNDDOWN(G3,1)</f>
        <v>2.5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972</v>
      </c>
      <c r="J22" s="1056" t="str">
        <f>IF(G3&gt;10,D113,"——")</f>
        <v>——</v>
      </c>
      <c r="K22" s="1477"/>
      <c r="L22" s="1477"/>
      <c r="M22" s="1477"/>
      <c r="N22" s="1474" t="s">
        <v>973</v>
      </c>
      <c r="O22" s="1538"/>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8"/>
      <c r="AE22" s="1468"/>
      <c r="AF22" s="1468"/>
      <c r="AG22" s="1468"/>
      <c r="AH22" s="1468"/>
      <c r="AI22" s="1468"/>
    </row>
    <row r="23" spans="1:40" ht="27.75" thickBot="1">
      <c r="A23" s="1639" t="s">
        <v>1864</v>
      </c>
      <c r="B23" s="1479" t="s">
        <v>974</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917</v>
      </c>
      <c r="O23" s="1538"/>
      <c r="P23" s="2766">
        <f>SUMPRODUCT((地价!A3:A24=YEAR(G19)&amp;"-"&amp;ROUNDUP(MONTH(G19)/3,0))*(地价!AD2:AH2=N23)*(地价!AD3:AH24))</f>
        <v>2.41E-2</v>
      </c>
      <c r="R23" s="2922"/>
      <c r="S23" s="2922"/>
      <c r="T23" s="2922"/>
      <c r="U23" s="2922"/>
      <c r="V23" s="2922"/>
      <c r="W23" s="2192"/>
      <c r="X23" s="2192"/>
      <c r="Y23" s="2192"/>
      <c r="Z23" s="2192"/>
      <c r="AA23" s="2192"/>
      <c r="AB23" s="2192"/>
      <c r="AC23" s="2192"/>
      <c r="AN23" s="1400"/>
    </row>
    <row r="24" spans="1:40" s="1417" customFormat="1" ht="15.75" thickBot="1">
      <c r="A24" s="1637" t="s">
        <v>1865</v>
      </c>
      <c r="B24" s="1411" t="s">
        <v>975</v>
      </c>
      <c r="C24" s="1058">
        <f>SUMIF(A44:A87,E2,B44:B87)</f>
        <v>0</v>
      </c>
      <c r="D24" s="1531"/>
      <c r="E24" s="1532"/>
      <c r="F24" s="1532"/>
      <c r="G24" s="1532"/>
      <c r="H24" s="1532"/>
      <c r="I24" s="1532"/>
      <c r="J24" s="1532"/>
      <c r="K24" s="1477"/>
      <c r="L24" s="1477"/>
      <c r="M24" s="1477"/>
      <c r="N24" s="1480" t="s">
        <v>976</v>
      </c>
      <c r="O24" s="1539"/>
      <c r="P24" s="1537">
        <f>SUMPRODUCT((地价!A3:A24=YEAR(G19)&amp;"-"&amp;ROUNDUP(MONTH(G19)/3,0))*(地价!AD2:AH2=N24)*(地价!AD3:AH24))</f>
        <v>1.4200000000000001E-2</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1866</v>
      </c>
      <c r="B25" s="1482" t="s">
        <v>977</v>
      </c>
      <c r="C25" s="1483"/>
      <c r="D25" s="1426"/>
      <c r="E25" s="1426"/>
      <c r="F25" s="1484"/>
      <c r="G25" s="1426"/>
      <c r="H25" s="1426"/>
      <c r="I25" s="1426"/>
      <c r="J25" s="1427"/>
      <c r="K25" s="1397"/>
      <c r="L25" s="2192"/>
      <c r="M25" s="2192"/>
      <c r="N25" s="2794" t="s">
        <v>2643</v>
      </c>
      <c r="O25" s="2192"/>
      <c r="P25" s="1537">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5"/>
      <c r="B26" s="1479" t="s">
        <v>981</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983</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25">
      <c r="A28" s="1481"/>
      <c r="B28" s="1494" t="s">
        <v>984</v>
      </c>
      <c r="C28" s="1495" t="s">
        <v>985</v>
      </c>
      <c r="D28" s="1495" t="s">
        <v>986</v>
      </c>
      <c r="E28" s="1496" t="s">
        <v>987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988</v>
      </c>
      <c r="C29" s="1059" t="e">
        <f>ROUND(C5*C18*C19*C20*C21*C24,0)</f>
        <v>#DIV/0!</v>
      </c>
      <c r="D29" s="1500"/>
      <c r="E29" s="1846" t="e">
        <f>ROUND(C29*D29/10000,0)</f>
        <v>#DIV/0!</v>
      </c>
      <c r="F29" s="1501" t="s">
        <v>1694</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75" thickBot="1">
      <c r="A30" s="1504"/>
      <c r="B30" s="1505" t="s">
        <v>989</v>
      </c>
      <c r="C30" s="1047" t="e">
        <f>ROUND(IF(E2="工业",C29*M39,C29*M38),0)</f>
        <v>#DIV/0!</v>
      </c>
      <c r="D30" s="1506"/>
      <c r="E30" s="1846" t="e">
        <f>ROUND(C30*D30/10000,0)</f>
        <v>#DIV/0!</v>
      </c>
      <c r="F30" s="1507" t="s">
        <v>990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991</v>
      </c>
      <c r="C31" s="1512" t="s">
        <v>992</v>
      </c>
      <c r="D31" s="1438"/>
      <c r="E31" s="1512"/>
      <c r="F31" s="1512"/>
      <c r="G31" s="1436" t="s">
        <v>990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985</v>
      </c>
      <c r="D32" s="1516" t="s">
        <v>986</v>
      </c>
      <c r="E32" s="1516" t="s">
        <v>987</v>
      </c>
      <c r="F32" s="1517" t="s">
        <v>993</v>
      </c>
      <c r="G32" s="1475" t="s">
        <v>985</v>
      </c>
      <c r="H32" s="1475" t="s">
        <v>986</v>
      </c>
      <c r="I32" s="1475" t="s">
        <v>987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524" t="s">
        <v>2958</v>
      </c>
      <c r="B33" s="1520" t="s">
        <v>994</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525"/>
      <c r="B34" s="1441" t="s">
        <v>995</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525"/>
      <c r="B35" s="1441" t="s">
        <v>996</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26"/>
      <c r="B36" s="1441" t="s">
        <v>997</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998</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1696</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999</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1698</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1000</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1697</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1002</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1003</v>
      </c>
      <c r="B46" s="2405" t="s">
        <v>1004</v>
      </c>
      <c r="C46" s="2427" t="s">
        <v>1005</v>
      </c>
      <c r="D46" s="2428" t="s">
        <v>1006</v>
      </c>
      <c r="E46" s="2429" t="s">
        <v>1008</v>
      </c>
      <c r="F46" s="2430" t="s">
        <v>2245</v>
      </c>
      <c r="G46" s="2428" t="s">
        <v>1009</v>
      </c>
      <c r="H46" s="2411" t="s">
        <v>2413</v>
      </c>
      <c r="I46" s="2428" t="s">
        <v>1007</v>
      </c>
      <c r="J46" s="2431" t="s">
        <v>1010</v>
      </c>
      <c r="K46" s="2431" t="s">
        <v>1011</v>
      </c>
      <c r="L46" s="2431" t="s">
        <v>1012</v>
      </c>
      <c r="M46" s="2431" t="s">
        <v>1013</v>
      </c>
      <c r="N46" s="2431" t="s">
        <v>1014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c r="A47" s="1063" t="s">
        <v>1015</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c r="A48" s="1063" t="s">
        <v>1016</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1017</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3" t="s">
        <v>1018</v>
      </c>
      <c r="B50" s="3092" t="s">
        <v>2935</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1019</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3" t="s">
        <v>1020</v>
      </c>
      <c r="B52" s="3091" t="s">
        <v>2934</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1021</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1022</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38" t="s">
        <v>1023</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1024</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1003</v>
      </c>
      <c r="B57" s="2405"/>
      <c r="C57" s="2427" t="s">
        <v>1005</v>
      </c>
      <c r="D57" s="2428" t="s">
        <v>1006</v>
      </c>
      <c r="E57" s="2429" t="s">
        <v>1008</v>
      </c>
      <c r="F57" s="2430" t="s">
        <v>2246</v>
      </c>
      <c r="G57" s="2428" t="s">
        <v>1009</v>
      </c>
      <c r="H57" s="2411" t="s">
        <v>2413</v>
      </c>
      <c r="I57" s="2428" t="s">
        <v>1007</v>
      </c>
      <c r="J57" s="2431" t="s">
        <v>1010</v>
      </c>
      <c r="K57" s="2431" t="s">
        <v>1011</v>
      </c>
      <c r="L57" s="2431" t="s">
        <v>1012</v>
      </c>
      <c r="M57" s="2431" t="s">
        <v>1013</v>
      </c>
      <c r="N57" s="2431" t="s">
        <v>1014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3" t="s">
        <v>1025</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c r="A59" s="1063" t="s">
        <v>1016</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1017</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3" t="s">
        <v>1018</v>
      </c>
      <c r="B61" s="3092" t="s">
        <v>2936</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1019</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3" t="s">
        <v>1020</v>
      </c>
      <c r="B63" s="3091" t="s">
        <v>2934</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1021</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1022</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38" t="s">
        <v>1023</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1026</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1003</v>
      </c>
      <c r="B68" s="2405"/>
      <c r="C68" s="2427" t="s">
        <v>1005</v>
      </c>
      <c r="D68" s="2428" t="s">
        <v>1006</v>
      </c>
      <c r="E68" s="2429" t="s">
        <v>1008</v>
      </c>
      <c r="F68" s="2430" t="s">
        <v>2247</v>
      </c>
      <c r="G68" s="2428" t="s">
        <v>1009</v>
      </c>
      <c r="H68" s="2411" t="s">
        <v>2413</v>
      </c>
      <c r="I68" s="2428" t="s">
        <v>1007</v>
      </c>
      <c r="J68" s="2431" t="s">
        <v>1010</v>
      </c>
      <c r="K68" s="2431" t="s">
        <v>1011</v>
      </c>
      <c r="L68" s="2431" t="s">
        <v>1012</v>
      </c>
      <c r="M68" s="2431" t="s">
        <v>1013</v>
      </c>
      <c r="N68" s="2431" t="s">
        <v>1014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3" t="s">
        <v>1027</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c r="A70" s="1063" t="s">
        <v>1028</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1017</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3" t="s">
        <v>1029</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1021</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1022</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3" t="s">
        <v>1020</v>
      </c>
      <c r="B75" s="3091" t="s">
        <v>2934</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1023</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1030</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1031</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1003</v>
      </c>
      <c r="B79" s="2405"/>
      <c r="C79" s="2427" t="s">
        <v>1005</v>
      </c>
      <c r="D79" s="2428" t="s">
        <v>1006</v>
      </c>
      <c r="E79" s="2429" t="s">
        <v>1008</v>
      </c>
      <c r="F79" s="2430" t="s">
        <v>2248</v>
      </c>
      <c r="G79" s="2428" t="s">
        <v>1009</v>
      </c>
      <c r="H79" s="2411" t="s">
        <v>2413</v>
      </c>
      <c r="I79" s="2428" t="s">
        <v>1007</v>
      </c>
      <c r="J79" s="2431" t="s">
        <v>1010</v>
      </c>
      <c r="K79" s="2431" t="s">
        <v>1011</v>
      </c>
      <c r="L79" s="2431" t="s">
        <v>1012</v>
      </c>
      <c r="M79" s="2431" t="s">
        <v>1013</v>
      </c>
      <c r="N79" s="2431" t="s">
        <v>1014</v>
      </c>
      <c r="AC79" s="1401"/>
      <c r="AD79" s="1400"/>
      <c r="AJ79" s="1399"/>
      <c r="AN79" s="1400"/>
    </row>
    <row r="80" spans="1:40" ht="36">
      <c r="A80" s="1063" t="s">
        <v>1032</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3" t="s">
        <v>1028</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1017</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3" t="s">
        <v>1029</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1021</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1022</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3" t="s">
        <v>1020</v>
      </c>
      <c r="B86" s="3091" t="s">
        <v>2934</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1033</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527" t="s">
        <v>1628</v>
      </c>
      <c r="B90" s="3527"/>
      <c r="C90" s="3527"/>
      <c r="D90" s="3527"/>
      <c r="E90" s="3527"/>
      <c r="F90" s="3527"/>
      <c r="G90" s="3527"/>
      <c r="H90" s="3527"/>
      <c r="I90" s="3527"/>
      <c r="J90" s="3527"/>
      <c r="K90" s="2447"/>
      <c r="L90" s="2447"/>
      <c r="M90" s="2447"/>
      <c r="N90" s="2447"/>
    </row>
    <row r="91" spans="1:40">
      <c r="A91" s="3528" t="s">
        <v>1438</v>
      </c>
      <c r="B91" s="3528" t="s">
        <v>1629</v>
      </c>
      <c r="C91" s="1136" t="s">
        <v>1630</v>
      </c>
      <c r="D91" s="1137"/>
      <c r="E91" s="1137"/>
      <c r="F91" s="1137"/>
      <c r="G91" s="1137"/>
      <c r="H91" s="1137"/>
      <c r="I91" s="1137"/>
      <c r="J91" s="1138"/>
      <c r="K91" s="1130"/>
      <c r="L91" s="1130"/>
      <c r="M91" s="1130"/>
      <c r="N91" s="1130"/>
    </row>
    <row r="92" spans="1:40">
      <c r="A92" s="3528"/>
      <c r="B92" s="3528"/>
      <c r="C92" s="2446" t="s">
        <v>901</v>
      </c>
      <c r="D92" s="2446" t="s">
        <v>879</v>
      </c>
      <c r="E92" s="2446" t="s">
        <v>880</v>
      </c>
      <c r="F92" s="2446" t="s">
        <v>904</v>
      </c>
      <c r="G92" s="2446" t="s">
        <v>882</v>
      </c>
      <c r="H92" s="2446" t="s">
        <v>883</v>
      </c>
      <c r="I92" s="2446" t="s">
        <v>884</v>
      </c>
      <c r="J92" s="2446" t="s">
        <v>885</v>
      </c>
      <c r="K92" s="2446" t="s">
        <v>909</v>
      </c>
      <c r="L92" s="2446" t="s">
        <v>887</v>
      </c>
      <c r="M92" s="2446" t="s">
        <v>888</v>
      </c>
      <c r="N92" s="2446" t="s">
        <v>912</v>
      </c>
    </row>
    <row r="93" spans="1:40">
      <c r="A93" s="3529"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0"/>
      <c r="B99" s="1139" t="s">
        <v>1631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29" t="s">
        <v>1632</v>
      </c>
      <c r="B101" s="1143" t="s">
        <v>900</v>
      </c>
      <c r="C101" s="1144">
        <f>$G$3</f>
        <v>2.5</v>
      </c>
      <c r="D101" s="1144">
        <f t="shared" ref="D101:N101" si="31">$G$3</f>
        <v>2.5</v>
      </c>
      <c r="E101" s="1144">
        <f t="shared" si="31"/>
        <v>2.5</v>
      </c>
      <c r="F101" s="1144">
        <f t="shared" si="31"/>
        <v>2.5</v>
      </c>
      <c r="G101" s="1144">
        <f t="shared" si="31"/>
        <v>2.5</v>
      </c>
      <c r="H101" s="1144">
        <f t="shared" si="31"/>
        <v>2.5</v>
      </c>
      <c r="I101" s="1144">
        <f t="shared" si="31"/>
        <v>2.5</v>
      </c>
      <c r="J101" s="1144">
        <f t="shared" si="31"/>
        <v>2.5</v>
      </c>
      <c r="K101" s="1144">
        <f t="shared" si="31"/>
        <v>2.5</v>
      </c>
      <c r="L101" s="1144">
        <f t="shared" si="31"/>
        <v>2.5</v>
      </c>
      <c r="M101" s="1144">
        <f t="shared" si="31"/>
        <v>2.5</v>
      </c>
      <c r="N101" s="1144">
        <f t="shared" si="31"/>
        <v>2.5</v>
      </c>
    </row>
    <row r="102" spans="1:14">
      <c r="A102" s="3530"/>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530"/>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530"/>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530"/>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530"/>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530"/>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530"/>
      <c r="B108" s="3532" t="s">
        <v>1633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1"/>
      <c r="B109" s="3533"/>
      <c r="C109" s="1142">
        <f>(-0.163*(C108^2)-0.59*C108+7617)*(10^(-4))/C101</f>
        <v>0.30407392</v>
      </c>
      <c r="D109" s="1142">
        <f>(-0.163*(D108^2)-0.59*D108+7617)*(10^(-4))/D101</f>
        <v>0.30407392</v>
      </c>
      <c r="E109" s="1142">
        <f>(-0.161*(E108^2)-7.509*E108+6533)*(10^(-4))/E101</f>
        <v>0.25850496000000001</v>
      </c>
      <c r="F109" s="1142">
        <f>(-0.161*(F108^2)-7.509*F108+6533)*(10^(-4))/F101</f>
        <v>0.25850496000000001</v>
      </c>
      <c r="G109" s="1142">
        <f>(-0.161*(G108^2)-7.509*G108+6533)*(10^(-4))/G101</f>
        <v>0.25850496000000001</v>
      </c>
      <c r="H109" s="1142">
        <f>(-0.161*(H108^2)-7.509*H108+6533)*(10^(-4))/H101</f>
        <v>0.25850496000000001</v>
      </c>
      <c r="I109" s="1142">
        <f>(-0.161*(I108^2)-7.509*I108+6533)*(10^(-4))/I101</f>
        <v>0.25850496000000001</v>
      </c>
      <c r="J109" s="1142">
        <f>(-0.214*(J108^2)-21.991*J108+4665)*(10^(-4))/J101</f>
        <v>0.17901504000000001</v>
      </c>
      <c r="K109" s="1142">
        <f>(-0.214*(K108^2)-21.991*K108+4665)*(10^(-4))/K101</f>
        <v>0.17901504000000001</v>
      </c>
      <c r="L109" s="1142">
        <f>(-0.214*(L108^2)-21.991*L108+4665)*(10^(-4))/L101</f>
        <v>0.17901504000000001</v>
      </c>
      <c r="M109" s="1142">
        <f>(-0.214*(M108^2)-21.991*M108+4665)*(10^(-4))/M101</f>
        <v>0.17901504000000001</v>
      </c>
      <c r="N109" s="1142">
        <f>(-0.214*(N108^2)-21.991*N108+4665)*(10^(-4))/N101</f>
        <v>0.17901504000000001</v>
      </c>
    </row>
    <row r="110" spans="1:14">
      <c r="A110" s="3523" t="s">
        <v>1634</v>
      </c>
      <c r="B110" s="3523"/>
      <c r="C110" s="3523"/>
      <c r="D110" s="3523"/>
      <c r="E110" s="3523"/>
      <c r="F110" s="3523"/>
      <c r="G110" s="3523"/>
      <c r="H110" s="3523"/>
      <c r="I110" s="3523"/>
      <c r="J110" s="3523"/>
      <c r="K110" s="2445"/>
      <c r="L110" s="2445"/>
      <c r="M110" s="2445"/>
      <c r="N110" s="2445"/>
    </row>
    <row r="112" spans="1:14" ht="12.75" thickBot="1"/>
    <row r="113" spans="1:13" ht="25.5" thickBot="1">
      <c r="A113" s="1012" t="s">
        <v>890</v>
      </c>
      <c r="B113" s="2448">
        <f>G3</f>
        <v>2.5</v>
      </c>
      <c r="C113" s="1013" t="s">
        <v>891</v>
      </c>
      <c r="D113" s="1014">
        <f>SUMPRODUCT((A115:A118=F113)*(B114:M114=H113)*B115:M118)</f>
        <v>0</v>
      </c>
      <c r="E113" s="1015" t="s">
        <v>892</v>
      </c>
      <c r="F113" s="1016">
        <f>E2</f>
        <v>0</v>
      </c>
      <c r="G113" s="1015" t="s">
        <v>893</v>
      </c>
      <c r="H113" s="1016">
        <f>G2</f>
        <v>0</v>
      </c>
      <c r="I113" s="1015"/>
      <c r="J113" s="1007"/>
      <c r="K113" s="1007"/>
      <c r="L113" s="1007"/>
      <c r="M113" s="1007"/>
    </row>
    <row r="114" spans="1:13" ht="12.75">
      <c r="A114" s="1019"/>
      <c r="B114" s="1020" t="s">
        <v>878</v>
      </c>
      <c r="C114" s="1020" t="s">
        <v>879</v>
      </c>
      <c r="D114" s="1020" t="s">
        <v>880</v>
      </c>
      <c r="E114" s="1021" t="s">
        <v>881</v>
      </c>
      <c r="F114" s="1021" t="s">
        <v>882</v>
      </c>
      <c r="G114" s="1021" t="s">
        <v>883</v>
      </c>
      <c r="H114" s="1022" t="s">
        <v>884</v>
      </c>
      <c r="I114" s="1022" t="s">
        <v>885</v>
      </c>
      <c r="J114" s="1023" t="s">
        <v>886</v>
      </c>
      <c r="K114" s="1023" t="s">
        <v>887</v>
      </c>
      <c r="L114" s="1023" t="s">
        <v>888</v>
      </c>
      <c r="M114" s="1024" t="s">
        <v>889</v>
      </c>
    </row>
    <row r="115" spans="1:13" ht="12.75">
      <c r="A115" s="1025" t="s">
        <v>894</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3">I115</f>
        <v>0.65029999999999999</v>
      </c>
      <c r="K115" s="1026">
        <f t="shared" si="33"/>
        <v>0.65029999999999999</v>
      </c>
      <c r="L115" s="1026">
        <f t="shared" si="33"/>
        <v>0.65029999999999999</v>
      </c>
      <c r="M115" s="1027">
        <f t="shared" si="33"/>
        <v>0.65029999999999999</v>
      </c>
    </row>
    <row r="116" spans="1:13" ht="12.75">
      <c r="A116" s="1025" t="s">
        <v>895</v>
      </c>
      <c r="B116" s="1026">
        <f>ROUND(0.949-0.012*B113,4)</f>
        <v>0.91900000000000004</v>
      </c>
      <c r="C116" s="1026">
        <f>B116</f>
        <v>0.91900000000000004</v>
      </c>
      <c r="D116" s="1026">
        <f>ROUND(0.8567-0.013*B113,4)</f>
        <v>0.82420000000000004</v>
      </c>
      <c r="E116" s="1026">
        <f t="shared" ref="E116:H117" si="34">D116</f>
        <v>0.82420000000000004</v>
      </c>
      <c r="F116" s="1026">
        <f t="shared" si="34"/>
        <v>0.82420000000000004</v>
      </c>
      <c r="G116" s="1026">
        <f t="shared" si="34"/>
        <v>0.82420000000000004</v>
      </c>
      <c r="H116" s="1026">
        <f t="shared" si="34"/>
        <v>0.82420000000000004</v>
      </c>
      <c r="I116" s="1026">
        <f>ROUND(0.7694-0.014*B113,4)</f>
        <v>0.73440000000000005</v>
      </c>
      <c r="J116" s="1026">
        <f t="shared" si="33"/>
        <v>0.73440000000000005</v>
      </c>
      <c r="K116" s="1026">
        <f t="shared" si="33"/>
        <v>0.73440000000000005</v>
      </c>
      <c r="L116" s="1026">
        <f t="shared" si="33"/>
        <v>0.73440000000000005</v>
      </c>
      <c r="M116" s="1027">
        <f t="shared" si="33"/>
        <v>0.73440000000000005</v>
      </c>
    </row>
    <row r="117" spans="1:13" ht="12.75">
      <c r="A117" s="1028" t="s">
        <v>896</v>
      </c>
      <c r="B117" s="1026">
        <f>ROUND(0.8808-0.006*B113,4)</f>
        <v>0.86580000000000001</v>
      </c>
      <c r="C117" s="1026">
        <f>B117</f>
        <v>0.86580000000000001</v>
      </c>
      <c r="D117" s="1026">
        <f>ROUND(0.8748-0.008*B113,4)</f>
        <v>0.8548</v>
      </c>
      <c r="E117" s="1026">
        <f t="shared" si="34"/>
        <v>0.8548</v>
      </c>
      <c r="F117" s="1026">
        <f t="shared" si="34"/>
        <v>0.8548</v>
      </c>
      <c r="G117" s="1026">
        <f t="shared" si="34"/>
        <v>0.8548</v>
      </c>
      <c r="H117" s="1026">
        <f t="shared" si="34"/>
        <v>0.8548</v>
      </c>
      <c r="I117" s="1026">
        <f>ROUND(0.7412-0.0095*B113,4)</f>
        <v>0.71750000000000003</v>
      </c>
      <c r="J117" s="1026">
        <f t="shared" si="33"/>
        <v>0.71750000000000003</v>
      </c>
      <c r="K117" s="1026">
        <f t="shared" si="33"/>
        <v>0.71750000000000003</v>
      </c>
      <c r="L117" s="1026">
        <f t="shared" si="33"/>
        <v>0.71750000000000003</v>
      </c>
      <c r="M117" s="1027">
        <f t="shared" si="33"/>
        <v>0.71750000000000003</v>
      </c>
    </row>
    <row r="118" spans="1:13" ht="13.5" thickBot="1">
      <c r="A118" s="1029" t="s">
        <v>897</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3"/>
        <v>0.53269999999999995</v>
      </c>
      <c r="K118" s="1030">
        <f t="shared" si="33"/>
        <v>0.53269999999999995</v>
      </c>
      <c r="L118" s="1030">
        <f t="shared" si="33"/>
        <v>0.53269999999999995</v>
      </c>
      <c r="M118" s="1031">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3" priority="5" stopIfTrue="1" operator="notEqual">
      <formula>"——"</formula>
    </cfRule>
  </conditionalFormatting>
  <conditionalFormatting sqref="F58">
    <cfRule type="cellIs" dxfId="82" priority="4" stopIfTrue="1" operator="notEqual">
      <formula>"——"</formula>
    </cfRule>
  </conditionalFormatting>
  <conditionalFormatting sqref="F69">
    <cfRule type="cellIs" dxfId="81" priority="3" stopIfTrue="1" operator="notEqual">
      <formula>"——"</formula>
    </cfRule>
  </conditionalFormatting>
  <conditionalFormatting sqref="F80">
    <cfRule type="cellIs" dxfId="80" priority="2" stopIfTrue="1" operator="notEqual">
      <formula>"——"</formula>
    </cfRule>
  </conditionalFormatting>
  <conditionalFormatting sqref="H58:H66 H47:H55 H69:H77 H80:H87">
    <cfRule type="cellIs" dxfId="7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1897</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受贵公司委托，我公司对北京市出让国有建设用地使用权市场价格进行了预评估。</v>
      </c>
    </row>
    <row r="5" spans="1:4" ht="18.75">
      <c r="A5" s="1791" t="s">
        <v>1898</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183040.85平方米。根据《建设工程规划许可证》[]、《出让合同》[]，估价对象规划建筑面积为709912平方米。</v>
      </c>
    </row>
    <row r="7" spans="1:4" ht="93.75">
      <c r="A7" s="2870" t="s">
        <v>2743</v>
      </c>
    </row>
    <row r="8" spans="1:4" ht="18.75">
      <c r="A8" s="1791" t="s">
        <v>1899</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2021</v>
      </c>
    </row>
    <row r="11" spans="1:4" ht="18.75">
      <c r="A11" s="1777" t="str">
        <f>TEXT(项目基本情况!D3,"yyyy年m月d日;;")&amp;IF(项目基本情况!B3=项目基本情况!D3,"（评估专业人员勘察现场之日）","")</f>
        <v>2018年10月15日</v>
      </c>
    </row>
    <row r="12" spans="1:4" ht="18.75">
      <c r="A12" s="1794" t="s">
        <v>2020</v>
      </c>
    </row>
    <row r="13" spans="1:4" ht="18.75">
      <c r="A13" s="1788" t="s">
        <v>2066</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2067</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2068</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根据《国有土地使用证》[]，估价对象（分摊）出让国有建设用地使用权面积为183040.85平方米。根据《建设工程规划许可证》[]、《出让合同》[]，估价对象规划建筑面积为709912平方米。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2069</v>
      </c>
    </row>
    <row r="23" spans="1:1" ht="18.75">
      <c r="A23" s="2872" t="s">
        <v>2744</v>
      </c>
    </row>
    <row r="24" spans="1:1" ht="18.75">
      <c r="A24" s="1788" t="s">
        <v>2070</v>
      </c>
    </row>
    <row r="25" spans="1:1" ht="75">
      <c r="A25" s="1788"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的出让国有建设用地使用权价格。</v>
      </c>
    </row>
    <row r="26" spans="1:1" ht="9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2022</v>
      </c>
    </row>
    <row r="30" spans="1:1" ht="75">
      <c r="A30" s="1788" t="str">
        <f>"评估专业人员根据估价的目的，按照估价的程序，采用科学的估价方法"&amp;'结果表-住宅'!L4&amp;"、"&amp;'结果表-住宅'!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1426</v>
      </c>
      <c r="B1" s="1068" t="s">
        <v>901</v>
      </c>
      <c r="C1" s="1068" t="s">
        <v>902</v>
      </c>
      <c r="D1" s="1068" t="s">
        <v>903</v>
      </c>
      <c r="E1" s="1068" t="s">
        <v>904</v>
      </c>
      <c r="F1" s="1068" t="s">
        <v>905</v>
      </c>
      <c r="G1" s="1068" t="s">
        <v>906</v>
      </c>
      <c r="H1" s="1068" t="s">
        <v>907</v>
      </c>
      <c r="I1" s="1068" t="s">
        <v>908</v>
      </c>
      <c r="J1" s="1068" t="s">
        <v>909</v>
      </c>
      <c r="K1" s="1068" t="s">
        <v>910</v>
      </c>
      <c r="L1" s="1068" t="s">
        <v>911</v>
      </c>
      <c r="M1" s="1069" t="s">
        <v>912</v>
      </c>
    </row>
    <row r="2" spans="1:13" ht="19.5" customHeight="1">
      <c r="A2" s="1103" t="s">
        <v>1002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1427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1428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1429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1436</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1437</v>
      </c>
      <c r="B16" s="1122"/>
      <c r="C16" s="1123"/>
      <c r="D16" s="1123"/>
      <c r="E16" s="1122"/>
      <c r="F16" s="1123"/>
      <c r="G16" s="1123"/>
    </row>
    <row r="17" spans="1:9" ht="19.5" customHeight="1">
      <c r="A17" s="1064" t="s">
        <v>1438</v>
      </c>
      <c r="B17" s="1124" t="s">
        <v>1439</v>
      </c>
      <c r="C17" s="1124" t="s">
        <v>1638</v>
      </c>
      <c r="D17" s="1125"/>
      <c r="E17" s="1064" t="s">
        <v>1440</v>
      </c>
      <c r="F17" s="1126"/>
      <c r="G17" s="1126"/>
    </row>
    <row r="18" spans="1:9" s="1595" customFormat="1" ht="19.5" customHeight="1">
      <c r="A18" s="3528" t="s">
        <v>1002</v>
      </c>
      <c r="B18" s="1150" t="s">
        <v>1441</v>
      </c>
      <c r="C18" s="1127" t="s">
        <v>1442</v>
      </c>
      <c r="D18" s="1128"/>
      <c r="E18" s="1150">
        <v>1</v>
      </c>
      <c r="F18" s="1129" t="s">
        <v>1443</v>
      </c>
      <c r="G18" s="1130"/>
      <c r="H18" s="1101"/>
      <c r="I18" s="1101"/>
    </row>
    <row r="19" spans="1:9" s="1595" customFormat="1" ht="19.5" customHeight="1">
      <c r="A19" s="3528"/>
      <c r="B19" s="3528" t="s">
        <v>1444</v>
      </c>
      <c r="C19" s="1127" t="s">
        <v>1445</v>
      </c>
      <c r="D19" s="1128"/>
      <c r="E19" s="1150">
        <v>0.9</v>
      </c>
      <c r="F19" s="1129" t="s">
        <v>1446</v>
      </c>
      <c r="G19" s="1130"/>
      <c r="H19" s="1101"/>
      <c r="I19" s="1101"/>
    </row>
    <row r="20" spans="1:9" s="1595" customFormat="1" ht="19.5" customHeight="1">
      <c r="A20" s="3528"/>
      <c r="B20" s="3528"/>
      <c r="C20" s="1127" t="s">
        <v>1447</v>
      </c>
      <c r="D20" s="1128"/>
      <c r="E20" s="1150">
        <v>1.1000000000000001</v>
      </c>
      <c r="F20" s="1129" t="s">
        <v>1448</v>
      </c>
      <c r="G20" s="1130"/>
      <c r="H20" s="1101"/>
      <c r="I20" s="1101"/>
    </row>
    <row r="21" spans="1:9" s="1595" customFormat="1" ht="19.5" customHeight="1">
      <c r="A21" s="3528"/>
      <c r="B21" s="3528"/>
      <c r="C21" s="1127" t="s">
        <v>1449</v>
      </c>
      <c r="D21" s="1128"/>
      <c r="E21" s="1150">
        <v>0.8</v>
      </c>
      <c r="F21" s="1129" t="s">
        <v>1450</v>
      </c>
      <c r="G21" s="1130"/>
      <c r="H21" s="1101"/>
      <c r="I21" s="1101"/>
    </row>
    <row r="22" spans="1:9" s="1595" customFormat="1" ht="19.5" customHeight="1">
      <c r="A22" s="3528"/>
      <c r="B22" s="3528"/>
      <c r="C22" s="1127" t="s">
        <v>1451</v>
      </c>
      <c r="D22" s="1128"/>
      <c r="E22" s="1150">
        <v>0.5</v>
      </c>
      <c r="F22" s="1129"/>
      <c r="G22" s="1130"/>
      <c r="H22" s="1101"/>
      <c r="I22" s="1101"/>
    </row>
    <row r="23" spans="1:9" s="1595" customFormat="1" ht="19.5" customHeight="1">
      <c r="A23" s="3528" t="s">
        <v>1024</v>
      </c>
      <c r="B23" s="1150" t="s">
        <v>1441</v>
      </c>
      <c r="C23" s="1127" t="s">
        <v>1452</v>
      </c>
      <c r="D23" s="1128"/>
      <c r="E23" s="1150">
        <v>1</v>
      </c>
      <c r="F23" s="1129" t="s">
        <v>1453</v>
      </c>
      <c r="G23" s="1130"/>
      <c r="H23" s="1101"/>
      <c r="I23" s="1101"/>
    </row>
    <row r="24" spans="1:9" s="1595" customFormat="1" ht="19.5" customHeight="1">
      <c r="A24" s="3528"/>
      <c r="B24" s="3528" t="s">
        <v>1444</v>
      </c>
      <c r="C24" s="1127" t="s">
        <v>1454</v>
      </c>
      <c r="D24" s="1128"/>
      <c r="E24" s="1150">
        <v>0.5</v>
      </c>
      <c r="F24" s="1129"/>
      <c r="G24" s="1130"/>
      <c r="H24" s="1101"/>
      <c r="I24" s="1101"/>
    </row>
    <row r="25" spans="1:9" s="1595" customFormat="1" ht="19.5" customHeight="1">
      <c r="A25" s="3528"/>
      <c r="B25" s="3528"/>
      <c r="C25" s="1127" t="s">
        <v>1455</v>
      </c>
      <c r="D25" s="1128"/>
      <c r="E25" s="1150">
        <v>1.1000000000000001</v>
      </c>
      <c r="F25" s="1129"/>
      <c r="G25" s="1130"/>
      <c r="H25" s="1101"/>
      <c r="I25" s="1101"/>
    </row>
    <row r="26" spans="1:9" s="1595" customFormat="1" ht="19.5" customHeight="1">
      <c r="A26" s="3528"/>
      <c r="B26" s="3528"/>
      <c r="C26" s="1127" t="s">
        <v>1456</v>
      </c>
      <c r="D26" s="1128"/>
      <c r="E26" s="1150">
        <v>1.1000000000000001</v>
      </c>
      <c r="F26" s="1129"/>
      <c r="G26" s="1130"/>
      <c r="H26" s="1101"/>
      <c r="I26" s="1101"/>
    </row>
    <row r="27" spans="1:9" s="1595" customFormat="1" ht="19.5" customHeight="1">
      <c r="A27" s="3528"/>
      <c r="B27" s="3528"/>
      <c r="C27" s="1127" t="s">
        <v>1457</v>
      </c>
      <c r="D27" s="1128"/>
      <c r="E27" s="1150">
        <v>0.9</v>
      </c>
      <c r="F27" s="1129" t="s">
        <v>1458</v>
      </c>
      <c r="G27" s="1130"/>
      <c r="H27" s="1101"/>
      <c r="I27" s="1101"/>
    </row>
    <row r="28" spans="1:9" s="1595" customFormat="1" ht="19.5" customHeight="1">
      <c r="A28" s="3528"/>
      <c r="B28" s="3528"/>
      <c r="C28" s="1127" t="s">
        <v>1459</v>
      </c>
      <c r="D28" s="1128"/>
      <c r="E28" s="1150">
        <v>0.9</v>
      </c>
      <c r="F28" s="1129" t="s">
        <v>1460</v>
      </c>
      <c r="G28" s="1130"/>
      <c r="H28" s="1101"/>
      <c r="I28" s="1101"/>
    </row>
    <row r="29" spans="1:9" s="1595" customFormat="1" ht="19.5" customHeight="1">
      <c r="A29" s="3528"/>
      <c r="B29" s="3528"/>
      <c r="C29" s="1127" t="s">
        <v>1461</v>
      </c>
      <c r="D29" s="1128"/>
      <c r="E29" s="1150">
        <v>0.9</v>
      </c>
      <c r="F29" s="1129" t="s">
        <v>1462</v>
      </c>
      <c r="G29" s="1130"/>
      <c r="H29" s="1101"/>
      <c r="I29" s="1101"/>
    </row>
    <row r="30" spans="1:9" s="1595" customFormat="1" ht="19.5" customHeight="1">
      <c r="A30" s="3528"/>
      <c r="B30" s="3528"/>
      <c r="C30" s="1127" t="s">
        <v>1463</v>
      </c>
      <c r="D30" s="1128"/>
      <c r="E30" s="1150">
        <v>0.9</v>
      </c>
      <c r="F30" s="1129" t="s">
        <v>1464</v>
      </c>
      <c r="G30" s="1130"/>
      <c r="H30" s="1101"/>
      <c r="I30" s="1101"/>
    </row>
    <row r="31" spans="1:9" s="1595" customFormat="1" ht="19.5" customHeight="1">
      <c r="A31" s="3528"/>
      <c r="B31" s="3528"/>
      <c r="C31" s="1127" t="s">
        <v>1465</v>
      </c>
      <c r="D31" s="1128"/>
      <c r="E31" s="1150">
        <v>0.8</v>
      </c>
      <c r="F31" s="1129" t="s">
        <v>1466</v>
      </c>
      <c r="G31" s="1130"/>
      <c r="H31" s="1101"/>
      <c r="I31" s="1101"/>
    </row>
    <row r="32" spans="1:9" s="1595" customFormat="1" ht="19.5" customHeight="1">
      <c r="A32" s="3528"/>
      <c r="B32" s="3528"/>
      <c r="C32" s="1127" t="s">
        <v>1467</v>
      </c>
      <c r="D32" s="1128"/>
      <c r="E32" s="1150">
        <v>0.8</v>
      </c>
      <c r="F32" s="1129" t="s">
        <v>1468</v>
      </c>
      <c r="G32" s="1130"/>
      <c r="H32" s="1101"/>
      <c r="I32" s="1101"/>
    </row>
    <row r="33" spans="1:9" s="1595" customFormat="1" ht="19.5" customHeight="1">
      <c r="A33" s="3528" t="s">
        <v>1469</v>
      </c>
      <c r="B33" s="1150" t="s">
        <v>1441</v>
      </c>
      <c r="C33" s="1127" t="s">
        <v>1470</v>
      </c>
      <c r="D33" s="1128"/>
      <c r="E33" s="1150">
        <v>1</v>
      </c>
      <c r="F33" s="1129" t="s">
        <v>1471</v>
      </c>
      <c r="G33" s="1130"/>
      <c r="H33" s="1101"/>
      <c r="I33" s="1101"/>
    </row>
    <row r="34" spans="1:9" s="1595" customFormat="1" ht="19.5" customHeight="1">
      <c r="A34" s="3528"/>
      <c r="B34" s="1150" t="s">
        <v>1444</v>
      </c>
      <c r="C34" s="1127" t="s">
        <v>1472</v>
      </c>
      <c r="D34" s="1128"/>
      <c r="E34" s="1150">
        <v>1.5</v>
      </c>
      <c r="F34" s="1129" t="s">
        <v>1473</v>
      </c>
      <c r="G34" s="1130"/>
      <c r="H34" s="1101"/>
      <c r="I34" s="1101"/>
    </row>
    <row r="35" spans="1:9" s="1595" customFormat="1" ht="19.5" customHeight="1">
      <c r="A35" s="3528" t="s">
        <v>1427</v>
      </c>
      <c r="B35" s="1150" t="s">
        <v>1441</v>
      </c>
      <c r="C35" s="1127" t="s">
        <v>1474</v>
      </c>
      <c r="D35" s="1128"/>
      <c r="E35" s="1150">
        <v>1</v>
      </c>
      <c r="F35" s="1129" t="s">
        <v>1475</v>
      </c>
      <c r="G35" s="1130"/>
      <c r="H35" s="1101"/>
      <c r="I35" s="1101"/>
    </row>
    <row r="36" spans="1:9" s="1595" customFormat="1" ht="19.5" customHeight="1">
      <c r="A36" s="3528"/>
      <c r="B36" s="3528" t="s">
        <v>1444</v>
      </c>
      <c r="C36" s="1127" t="s">
        <v>1476</v>
      </c>
      <c r="D36" s="1128"/>
      <c r="E36" s="1150">
        <v>1</v>
      </c>
      <c r="F36" s="1129" t="s">
        <v>1477</v>
      </c>
      <c r="G36" s="1130"/>
      <c r="H36" s="1101"/>
      <c r="I36" s="1101"/>
    </row>
    <row r="37" spans="1:9" s="1595" customFormat="1" ht="19.5" customHeight="1">
      <c r="A37" s="3528"/>
      <c r="B37" s="3528"/>
      <c r="C37" s="1127" t="s">
        <v>1478</v>
      </c>
      <c r="D37" s="1128"/>
      <c r="E37" s="1150">
        <v>1.5</v>
      </c>
      <c r="F37" s="1129" t="s">
        <v>1479</v>
      </c>
      <c r="G37" s="1130"/>
      <c r="H37" s="1101"/>
      <c r="I37" s="1101"/>
    </row>
    <row r="38" spans="1:9" s="1595" customFormat="1" ht="19.5" customHeight="1">
      <c r="A38" s="3528"/>
      <c r="B38" s="3528"/>
      <c r="C38" s="1127" t="s">
        <v>1480</v>
      </c>
      <c r="D38" s="1128"/>
      <c r="E38" s="1150">
        <v>1</v>
      </c>
      <c r="F38" s="1129" t="s">
        <v>1481</v>
      </c>
      <c r="G38" s="1130"/>
      <c r="H38" s="1101"/>
      <c r="I38" s="1101"/>
    </row>
    <row r="39" spans="1:9" s="1595" customFormat="1" ht="19.5" customHeight="1">
      <c r="A39" s="3528"/>
      <c r="B39" s="3528"/>
      <c r="C39" s="1127" t="s">
        <v>1482</v>
      </c>
      <c r="D39" s="1128"/>
      <c r="E39" s="1150">
        <v>1</v>
      </c>
      <c r="F39" s="1129" t="s">
        <v>1483</v>
      </c>
      <c r="G39" s="1130"/>
      <c r="H39" s="1101"/>
      <c r="I39" s="1101"/>
    </row>
    <row r="40" spans="1:9" s="1595" customFormat="1" ht="19.5" customHeight="1">
      <c r="A40" s="1596" t="s">
        <v>1484</v>
      </c>
      <c r="B40" s="1596"/>
      <c r="C40" s="1596"/>
      <c r="D40" s="1596"/>
      <c r="E40" s="1596"/>
      <c r="F40" s="1129"/>
      <c r="G40" s="1129"/>
      <c r="H40" s="1101"/>
      <c r="I40" s="1101"/>
    </row>
    <row r="42" spans="1:9" ht="19.5" customHeight="1">
      <c r="A42" s="1131"/>
      <c r="B42" s="1064" t="s">
        <v>1485</v>
      </c>
      <c r="C42" s="1064" t="s">
        <v>1485</v>
      </c>
      <c r="D42" s="1064" t="s">
        <v>1485</v>
      </c>
      <c r="E42" s="1149" t="s">
        <v>1485</v>
      </c>
      <c r="F42" s="1149" t="s">
        <v>1485</v>
      </c>
      <c r="G42" s="1149" t="s">
        <v>1486</v>
      </c>
      <c r="H42" s="1149" t="s">
        <v>1485</v>
      </c>
    </row>
    <row r="43" spans="1:9" ht="19.5" customHeight="1">
      <c r="A43" s="1132"/>
      <c r="B43" s="1149" t="s">
        <v>1002</v>
      </c>
      <c r="C43" s="1149" t="s">
        <v>1002</v>
      </c>
      <c r="D43" s="1149" t="s">
        <v>1002</v>
      </c>
      <c r="E43" s="1149" t="s">
        <v>1002</v>
      </c>
      <c r="F43" s="1064" t="s">
        <v>1024</v>
      </c>
      <c r="G43" s="1064" t="s">
        <v>1427</v>
      </c>
      <c r="H43" s="1064" t="s">
        <v>1487</v>
      </c>
    </row>
    <row r="44" spans="1:9" ht="19.5" customHeight="1">
      <c r="A44" s="1133"/>
      <c r="B44" s="1064">
        <v>1</v>
      </c>
      <c r="C44" s="1064">
        <v>2</v>
      </c>
      <c r="D44" s="1064">
        <v>3</v>
      </c>
      <c r="E44" s="1149">
        <v>4</v>
      </c>
      <c r="F44" s="1125" t="s">
        <v>1488</v>
      </c>
      <c r="G44" s="1125" t="s">
        <v>1488</v>
      </c>
      <c r="H44" s="1125" t="s">
        <v>1488</v>
      </c>
    </row>
    <row r="45" spans="1:9" ht="19.5" customHeight="1">
      <c r="A45" s="1148" t="s">
        <v>901</v>
      </c>
      <c r="B45" s="1064">
        <v>0.8</v>
      </c>
      <c r="C45" s="1064">
        <v>0.5</v>
      </c>
      <c r="D45" s="1064">
        <v>0.36</v>
      </c>
      <c r="E45" s="1064">
        <v>0.3</v>
      </c>
      <c r="F45" s="1125">
        <v>0.3</v>
      </c>
      <c r="G45" s="1064">
        <v>0.3</v>
      </c>
      <c r="H45" s="1064">
        <v>0.25</v>
      </c>
    </row>
    <row r="46" spans="1:9" ht="19.5" customHeight="1">
      <c r="A46" s="1148" t="s">
        <v>902</v>
      </c>
      <c r="B46" s="1064">
        <v>0.8</v>
      </c>
      <c r="C46" s="1064">
        <v>0.5</v>
      </c>
      <c r="D46" s="1064">
        <v>0.36</v>
      </c>
      <c r="E46" s="1064">
        <v>0.3</v>
      </c>
      <c r="F46" s="1064">
        <v>0.3</v>
      </c>
      <c r="G46" s="1064">
        <v>0.3</v>
      </c>
      <c r="H46" s="1064">
        <v>0.25</v>
      </c>
    </row>
    <row r="47" spans="1:9" ht="19.5" customHeight="1">
      <c r="A47" s="1148" t="s">
        <v>903</v>
      </c>
      <c r="B47" s="1064">
        <v>0.7</v>
      </c>
      <c r="C47" s="1064">
        <v>0.4</v>
      </c>
      <c r="D47" s="1064">
        <v>0.28000000000000003</v>
      </c>
      <c r="E47" s="1064">
        <v>0.25</v>
      </c>
      <c r="F47" s="1064">
        <v>0.25</v>
      </c>
      <c r="G47" s="1064">
        <v>0.25</v>
      </c>
      <c r="H47" s="1064">
        <v>0.2</v>
      </c>
    </row>
    <row r="48" spans="1:9" ht="19.5" customHeight="1">
      <c r="A48" s="1148" t="s">
        <v>904</v>
      </c>
      <c r="B48" s="1064">
        <v>0.7</v>
      </c>
      <c r="C48" s="1064">
        <v>0.4</v>
      </c>
      <c r="D48" s="1064">
        <v>0.28000000000000003</v>
      </c>
      <c r="E48" s="1064">
        <v>0.25</v>
      </c>
      <c r="F48" s="1064">
        <v>0.25</v>
      </c>
      <c r="G48" s="1064">
        <v>0.25</v>
      </c>
      <c r="H48" s="1064">
        <v>0.2</v>
      </c>
    </row>
    <row r="49" spans="1:8" s="1101" customFormat="1" ht="19.5" customHeight="1">
      <c r="A49" s="1148" t="s">
        <v>905</v>
      </c>
      <c r="B49" s="1064">
        <v>0.7</v>
      </c>
      <c r="C49" s="1064">
        <v>0.4</v>
      </c>
      <c r="D49" s="1064">
        <v>0.28000000000000003</v>
      </c>
      <c r="E49" s="1064">
        <v>0.25</v>
      </c>
      <c r="F49" s="1064">
        <v>0.25</v>
      </c>
      <c r="G49" s="1064">
        <v>0.25</v>
      </c>
      <c r="H49" s="1064">
        <v>0.2</v>
      </c>
    </row>
    <row r="50" spans="1:8" s="1101" customFormat="1" ht="19.5" customHeight="1">
      <c r="A50" s="1148" t="s">
        <v>906</v>
      </c>
      <c r="B50" s="1064">
        <v>0.7</v>
      </c>
      <c r="C50" s="1064">
        <v>0.4</v>
      </c>
      <c r="D50" s="1064">
        <v>0.28000000000000003</v>
      </c>
      <c r="E50" s="1064">
        <v>0.25</v>
      </c>
      <c r="F50" s="1064">
        <v>0.25</v>
      </c>
      <c r="G50" s="1064">
        <v>0.25</v>
      </c>
      <c r="H50" s="1064">
        <v>0.2</v>
      </c>
    </row>
    <row r="51" spans="1:8" s="1101" customFormat="1" ht="19.5" customHeight="1">
      <c r="A51" s="1148" t="s">
        <v>907</v>
      </c>
      <c r="B51" s="1064">
        <v>0.7</v>
      </c>
      <c r="C51" s="1064">
        <v>0.4</v>
      </c>
      <c r="D51" s="1064">
        <v>0.28000000000000003</v>
      </c>
      <c r="E51" s="1064">
        <v>0.25</v>
      </c>
      <c r="F51" s="1064">
        <v>0.25</v>
      </c>
      <c r="G51" s="1064">
        <v>0.25</v>
      </c>
      <c r="H51" s="1064">
        <v>0.2</v>
      </c>
    </row>
    <row r="52" spans="1:8" s="1101" customFormat="1" ht="19.5" customHeight="1">
      <c r="A52" s="1148" t="s">
        <v>908</v>
      </c>
      <c r="B52" s="1064">
        <v>0.6</v>
      </c>
      <c r="C52" s="1064">
        <v>0.3</v>
      </c>
      <c r="D52" s="1064">
        <v>0.2</v>
      </c>
      <c r="E52" s="1064">
        <v>0.2</v>
      </c>
      <c r="F52" s="1064">
        <v>0.2</v>
      </c>
      <c r="G52" s="1064">
        <v>0.2</v>
      </c>
      <c r="H52" s="1064">
        <v>0.15</v>
      </c>
    </row>
    <row r="53" spans="1:8" s="1101" customFormat="1" ht="19.5" customHeight="1">
      <c r="A53" s="1148" t="s">
        <v>909</v>
      </c>
      <c r="B53" s="1064">
        <v>0.6</v>
      </c>
      <c r="C53" s="1064">
        <v>0.3</v>
      </c>
      <c r="D53" s="1064">
        <v>0.2</v>
      </c>
      <c r="E53" s="1064">
        <v>0.2</v>
      </c>
      <c r="F53" s="1064">
        <v>0.2</v>
      </c>
      <c r="G53" s="1064">
        <v>0.2</v>
      </c>
      <c r="H53" s="1064">
        <v>0.15</v>
      </c>
    </row>
    <row r="54" spans="1:8" s="1101" customFormat="1" ht="19.5" customHeight="1">
      <c r="A54" s="1148" t="s">
        <v>910</v>
      </c>
      <c r="B54" s="1064">
        <v>0.6</v>
      </c>
      <c r="C54" s="1064">
        <v>0.3</v>
      </c>
      <c r="D54" s="1064">
        <v>0.2</v>
      </c>
      <c r="E54" s="1064">
        <v>0.2</v>
      </c>
      <c r="F54" s="1064">
        <v>0.2</v>
      </c>
      <c r="G54" s="1064">
        <v>0.2</v>
      </c>
      <c r="H54" s="1064">
        <v>0.15</v>
      </c>
    </row>
    <row r="55" spans="1:8" s="1101" customFormat="1" ht="19.5" customHeight="1">
      <c r="A55" s="1148" t="s">
        <v>911</v>
      </c>
      <c r="B55" s="1064">
        <v>0.6</v>
      </c>
      <c r="C55" s="1064">
        <v>0.3</v>
      </c>
      <c r="D55" s="1064">
        <v>0.2</v>
      </c>
      <c r="E55" s="1064">
        <v>0.2</v>
      </c>
      <c r="F55" s="1064">
        <v>0.2</v>
      </c>
      <c r="G55" s="1064">
        <v>0.2</v>
      </c>
      <c r="H55" s="1064">
        <v>0.15</v>
      </c>
    </row>
    <row r="56" spans="1:8" s="1101" customFormat="1" ht="19.5" customHeight="1">
      <c r="A56" s="1148" t="s">
        <v>912</v>
      </c>
      <c r="B56" s="1064">
        <v>0.6</v>
      </c>
      <c r="C56" s="1064">
        <v>0.3</v>
      </c>
      <c r="D56" s="1064">
        <v>0.2</v>
      </c>
      <c r="E56" s="1064">
        <v>0.2</v>
      </c>
      <c r="F56" s="1064">
        <v>0.2</v>
      </c>
      <c r="G56" s="1064">
        <v>0.2</v>
      </c>
      <c r="H56" s="1064">
        <v>0.15</v>
      </c>
    </row>
    <row r="58" spans="1:8" s="1101" customFormat="1" ht="19.5" customHeight="1">
      <c r="A58" s="1134"/>
      <c r="B58" s="1122"/>
      <c r="C58" s="1122"/>
      <c r="D58" s="1122" t="s">
        <v>1489</v>
      </c>
      <c r="E58" s="1122"/>
      <c r="F58" s="1122"/>
    </row>
    <row r="59" spans="1:8" s="1101" customFormat="1" ht="19.5" customHeight="1">
      <c r="A59" s="1150" t="s">
        <v>1490</v>
      </c>
      <c r="B59" s="1150" t="s">
        <v>1491</v>
      </c>
      <c r="C59" s="1150" t="s">
        <v>1492</v>
      </c>
      <c r="D59" s="1150" t="s">
        <v>1493</v>
      </c>
      <c r="E59" s="1150" t="s">
        <v>1494</v>
      </c>
      <c r="F59" s="1150" t="s">
        <v>1495</v>
      </c>
    </row>
    <row r="60" spans="1:8" s="1101" customFormat="1" ht="19.5" customHeight="1">
      <c r="A60" s="1150"/>
      <c r="B60" s="1150"/>
      <c r="C60" s="1150" t="s">
        <v>1627</v>
      </c>
      <c r="D60" s="1150"/>
      <c r="E60" s="1135" t="s">
        <v>1436</v>
      </c>
      <c r="F60" s="1150" t="s">
        <v>1436</v>
      </c>
    </row>
    <row r="61" spans="1:8" s="1101" customFormat="1" ht="24">
      <c r="A61" s="1150">
        <v>1</v>
      </c>
      <c r="B61" s="3528" t="s">
        <v>1496</v>
      </c>
      <c r="C61" s="1064" t="s">
        <v>1497</v>
      </c>
      <c r="D61" s="1064" t="s">
        <v>1498</v>
      </c>
      <c r="E61" s="1135">
        <v>0.5</v>
      </c>
      <c r="F61" s="1150">
        <v>80</v>
      </c>
      <c r="H61" s="1101">
        <f>SUMIF(C59:C119,基准地价!C8,E59:E119)</f>
        <v>0</v>
      </c>
    </row>
    <row r="62" spans="1:8" s="1101" customFormat="1" ht="24">
      <c r="A62" s="1150">
        <v>2</v>
      </c>
      <c r="B62" s="3528"/>
      <c r="C62" s="1064" t="s">
        <v>1499</v>
      </c>
      <c r="D62" s="1064" t="s">
        <v>1500</v>
      </c>
      <c r="E62" s="1135">
        <v>0.5</v>
      </c>
      <c r="F62" s="1150">
        <v>80</v>
      </c>
    </row>
    <row r="63" spans="1:8" s="1101" customFormat="1" ht="36">
      <c r="A63" s="1150">
        <v>3</v>
      </c>
      <c r="B63" s="3528"/>
      <c r="C63" s="1064" t="s">
        <v>1501</v>
      </c>
      <c r="D63" s="1064" t="s">
        <v>1502</v>
      </c>
      <c r="E63" s="1135">
        <v>0.5</v>
      </c>
      <c r="F63" s="1150">
        <v>80</v>
      </c>
    </row>
    <row r="64" spans="1:8" s="1101" customFormat="1" ht="36">
      <c r="A64" s="1150">
        <v>4</v>
      </c>
      <c r="B64" s="3528"/>
      <c r="C64" s="1064" t="s">
        <v>1503</v>
      </c>
      <c r="D64" s="1064" t="s">
        <v>1504</v>
      </c>
      <c r="E64" s="1135">
        <v>0.4</v>
      </c>
      <c r="F64" s="1150">
        <v>60</v>
      </c>
    </row>
    <row r="65" spans="1:6" s="1101" customFormat="1" ht="36">
      <c r="A65" s="1150">
        <v>5</v>
      </c>
      <c r="B65" s="3528"/>
      <c r="C65" s="1064" t="s">
        <v>1505</v>
      </c>
      <c r="D65" s="1064" t="s">
        <v>1506</v>
      </c>
      <c r="E65" s="1135">
        <v>0.2</v>
      </c>
      <c r="F65" s="1150">
        <v>30</v>
      </c>
    </row>
    <row r="66" spans="1:6" s="1101" customFormat="1" ht="36">
      <c r="A66" s="1150">
        <v>6</v>
      </c>
      <c r="B66" s="3528"/>
      <c r="C66" s="1064" t="s">
        <v>1507</v>
      </c>
      <c r="D66" s="1064" t="s">
        <v>1508</v>
      </c>
      <c r="E66" s="1135">
        <v>0.3</v>
      </c>
      <c r="F66" s="1150">
        <v>50</v>
      </c>
    </row>
    <row r="67" spans="1:6" s="1101" customFormat="1" ht="36">
      <c r="A67" s="1150">
        <v>7</v>
      </c>
      <c r="B67" s="3528"/>
      <c r="C67" s="1064" t="s">
        <v>1509</v>
      </c>
      <c r="D67" s="1064" t="s">
        <v>1510</v>
      </c>
      <c r="E67" s="1135">
        <v>0.2</v>
      </c>
      <c r="F67" s="1150">
        <v>30</v>
      </c>
    </row>
    <row r="68" spans="1:6" s="1101" customFormat="1" ht="36">
      <c r="A68" s="1150">
        <v>8</v>
      </c>
      <c r="B68" s="3528"/>
      <c r="C68" s="1064" t="s">
        <v>1511</v>
      </c>
      <c r="D68" s="1064" t="s">
        <v>1512</v>
      </c>
      <c r="E68" s="1135">
        <v>0.2</v>
      </c>
      <c r="F68" s="1150">
        <v>30</v>
      </c>
    </row>
    <row r="69" spans="1:6" s="1101" customFormat="1" ht="36">
      <c r="A69" s="1150">
        <v>9</v>
      </c>
      <c r="B69" s="3528"/>
      <c r="C69" s="1064" t="s">
        <v>1513</v>
      </c>
      <c r="D69" s="1064" t="s">
        <v>1514</v>
      </c>
      <c r="E69" s="1135">
        <v>0.2</v>
      </c>
      <c r="F69" s="1150">
        <v>30</v>
      </c>
    </row>
    <row r="70" spans="1:6" s="1101" customFormat="1" ht="48">
      <c r="A70" s="1150">
        <v>10</v>
      </c>
      <c r="B70" s="3528"/>
      <c r="C70" s="1064" t="s">
        <v>1515</v>
      </c>
      <c r="D70" s="1064" t="s">
        <v>1516</v>
      </c>
      <c r="E70" s="1135">
        <v>0.2</v>
      </c>
      <c r="F70" s="1150">
        <v>30</v>
      </c>
    </row>
    <row r="71" spans="1:6" s="1101" customFormat="1" ht="48">
      <c r="A71" s="1150">
        <v>11</v>
      </c>
      <c r="B71" s="3528"/>
      <c r="C71" s="1064" t="s">
        <v>1517</v>
      </c>
      <c r="D71" s="1064" t="s">
        <v>1518</v>
      </c>
      <c r="E71" s="1135">
        <v>0.2</v>
      </c>
      <c r="F71" s="1150">
        <v>30</v>
      </c>
    </row>
    <row r="72" spans="1:6" s="1101" customFormat="1" ht="36">
      <c r="A72" s="1150">
        <v>12</v>
      </c>
      <c r="B72" s="3528"/>
      <c r="C72" s="1064" t="s">
        <v>1519</v>
      </c>
      <c r="D72" s="1064" t="s">
        <v>1520</v>
      </c>
      <c r="E72" s="1135">
        <v>0.5</v>
      </c>
      <c r="F72" s="1150">
        <v>80</v>
      </c>
    </row>
    <row r="73" spans="1:6" s="1101" customFormat="1" ht="24">
      <c r="A73" s="1150">
        <v>13</v>
      </c>
      <c r="B73" s="3528"/>
      <c r="C73" s="1064" t="s">
        <v>1521</v>
      </c>
      <c r="D73" s="1064" t="s">
        <v>1522</v>
      </c>
      <c r="E73" s="1135">
        <v>0.4</v>
      </c>
      <c r="F73" s="1150">
        <v>60</v>
      </c>
    </row>
    <row r="74" spans="1:6" s="1101" customFormat="1" ht="24">
      <c r="A74" s="1150">
        <v>14</v>
      </c>
      <c r="B74" s="3528"/>
      <c r="C74" s="1064" t="s">
        <v>1523</v>
      </c>
      <c r="D74" s="1064" t="s">
        <v>1524</v>
      </c>
      <c r="E74" s="1135">
        <v>0.2</v>
      </c>
      <c r="F74" s="1150">
        <v>30</v>
      </c>
    </row>
    <row r="75" spans="1:6" s="1101" customFormat="1" ht="24">
      <c r="A75" s="1150">
        <v>15</v>
      </c>
      <c r="B75" s="3528"/>
      <c r="C75" s="1064" t="s">
        <v>1525</v>
      </c>
      <c r="D75" s="1064" t="s">
        <v>1526</v>
      </c>
      <c r="E75" s="1135">
        <v>0.2</v>
      </c>
      <c r="F75" s="1150">
        <v>30</v>
      </c>
    </row>
    <row r="76" spans="1:6" s="1101" customFormat="1" ht="24">
      <c r="A76" s="1150">
        <v>16</v>
      </c>
      <c r="B76" s="3528" t="s">
        <v>1527</v>
      </c>
      <c r="C76" s="1064" t="s">
        <v>1528</v>
      </c>
      <c r="D76" s="1064" t="s">
        <v>1529</v>
      </c>
      <c r="E76" s="1135">
        <v>0.5</v>
      </c>
      <c r="F76" s="1150">
        <v>80</v>
      </c>
    </row>
    <row r="77" spans="1:6" s="1101" customFormat="1" ht="24">
      <c r="A77" s="1150">
        <v>17</v>
      </c>
      <c r="B77" s="3528"/>
      <c r="C77" s="1064" t="s">
        <v>1530</v>
      </c>
      <c r="D77" s="1064" t="s">
        <v>1531</v>
      </c>
      <c r="E77" s="1135">
        <v>0.5</v>
      </c>
      <c r="F77" s="1150">
        <v>80</v>
      </c>
    </row>
    <row r="78" spans="1:6" s="1101" customFormat="1" ht="24">
      <c r="A78" s="1150">
        <v>18</v>
      </c>
      <c r="B78" s="3528"/>
      <c r="C78" s="1064" t="s">
        <v>1532</v>
      </c>
      <c r="D78" s="1064" t="s">
        <v>1533</v>
      </c>
      <c r="E78" s="1135">
        <v>0.2</v>
      </c>
      <c r="F78" s="1150">
        <v>30</v>
      </c>
    </row>
    <row r="79" spans="1:6" s="1101" customFormat="1" ht="24">
      <c r="A79" s="1150">
        <v>19</v>
      </c>
      <c r="B79" s="3528"/>
      <c r="C79" s="1064" t="s">
        <v>1534</v>
      </c>
      <c r="D79" s="1064" t="s">
        <v>1535</v>
      </c>
      <c r="E79" s="1135">
        <v>0.5</v>
      </c>
      <c r="F79" s="1150">
        <v>80</v>
      </c>
    </row>
    <row r="80" spans="1:6" s="1101" customFormat="1" ht="36">
      <c r="A80" s="1150">
        <v>20</v>
      </c>
      <c r="B80" s="3528"/>
      <c r="C80" s="1064" t="s">
        <v>1536</v>
      </c>
      <c r="D80" s="1064" t="s">
        <v>1537</v>
      </c>
      <c r="E80" s="1135">
        <v>0.2</v>
      </c>
      <c r="F80" s="1150">
        <v>30</v>
      </c>
    </row>
    <row r="81" spans="1:6" s="1101" customFormat="1" ht="36">
      <c r="A81" s="1150">
        <v>21</v>
      </c>
      <c r="B81" s="3528"/>
      <c r="C81" s="1064" t="s">
        <v>1538</v>
      </c>
      <c r="D81" s="1064" t="s">
        <v>1539</v>
      </c>
      <c r="E81" s="1135">
        <v>0.2</v>
      </c>
      <c r="F81" s="1150">
        <v>30</v>
      </c>
    </row>
    <row r="82" spans="1:6" s="1101" customFormat="1" ht="48">
      <c r="A82" s="1150">
        <v>22</v>
      </c>
      <c r="B82" s="3528"/>
      <c r="C82" s="1064" t="s">
        <v>1540</v>
      </c>
      <c r="D82" s="1064" t="s">
        <v>1541</v>
      </c>
      <c r="E82" s="1135">
        <v>0.2</v>
      </c>
      <c r="F82" s="1150">
        <v>30</v>
      </c>
    </row>
    <row r="83" spans="1:6" s="1101" customFormat="1" ht="48">
      <c r="A83" s="1150">
        <v>23</v>
      </c>
      <c r="B83" s="3528"/>
      <c r="C83" s="1064" t="s">
        <v>1542</v>
      </c>
      <c r="D83" s="1064" t="s">
        <v>1543</v>
      </c>
      <c r="E83" s="1135">
        <v>0.2</v>
      </c>
      <c r="F83" s="1150">
        <v>30</v>
      </c>
    </row>
    <row r="84" spans="1:6" s="1101" customFormat="1" ht="36">
      <c r="A84" s="1150">
        <v>24</v>
      </c>
      <c r="B84" s="3528"/>
      <c r="C84" s="1064" t="s">
        <v>1544</v>
      </c>
      <c r="D84" s="1064" t="s">
        <v>1545</v>
      </c>
      <c r="E84" s="1135">
        <v>0.2</v>
      </c>
      <c r="F84" s="1150">
        <v>30</v>
      </c>
    </row>
    <row r="85" spans="1:6" s="1101" customFormat="1" ht="36">
      <c r="A85" s="1150">
        <v>25</v>
      </c>
      <c r="B85" s="3528"/>
      <c r="C85" s="1064" t="s">
        <v>1546</v>
      </c>
      <c r="D85" s="1064" t="s">
        <v>1547</v>
      </c>
      <c r="E85" s="1135">
        <v>0.5</v>
      </c>
      <c r="F85" s="1150">
        <v>80</v>
      </c>
    </row>
    <row r="86" spans="1:6" s="1101" customFormat="1" ht="36">
      <c r="A86" s="1150">
        <v>26</v>
      </c>
      <c r="B86" s="3528"/>
      <c r="C86" s="1064" t="s">
        <v>1548</v>
      </c>
      <c r="D86" s="1064" t="s">
        <v>1549</v>
      </c>
      <c r="E86" s="1135">
        <v>0.2</v>
      </c>
      <c r="F86" s="1150">
        <v>30</v>
      </c>
    </row>
    <row r="87" spans="1:6" s="1101" customFormat="1" ht="36">
      <c r="A87" s="1150">
        <v>27</v>
      </c>
      <c r="B87" s="3528"/>
      <c r="C87" s="1064" t="s">
        <v>1550</v>
      </c>
      <c r="D87" s="1064" t="s">
        <v>1551</v>
      </c>
      <c r="E87" s="1135">
        <v>0.2</v>
      </c>
      <c r="F87" s="1150">
        <v>30</v>
      </c>
    </row>
    <row r="88" spans="1:6" s="1101" customFormat="1" ht="36">
      <c r="A88" s="1150">
        <v>28</v>
      </c>
      <c r="B88" s="3528"/>
      <c r="C88" s="1064" t="s">
        <v>1552</v>
      </c>
      <c r="D88" s="1064" t="s">
        <v>1553</v>
      </c>
      <c r="E88" s="1135">
        <v>0.2</v>
      </c>
      <c r="F88" s="1150">
        <v>30</v>
      </c>
    </row>
    <row r="89" spans="1:6" s="1101" customFormat="1" ht="24">
      <c r="A89" s="1150">
        <v>29</v>
      </c>
      <c r="B89" s="3528"/>
      <c r="C89" s="1064" t="s">
        <v>1554</v>
      </c>
      <c r="D89" s="1064" t="s">
        <v>1555</v>
      </c>
      <c r="E89" s="1135">
        <v>0.2</v>
      </c>
      <c r="F89" s="1150">
        <v>30</v>
      </c>
    </row>
    <row r="90" spans="1:6" s="1101" customFormat="1" ht="24">
      <c r="A90" s="1150">
        <v>30</v>
      </c>
      <c r="B90" s="3528"/>
      <c r="C90" s="1064" t="s">
        <v>1556</v>
      </c>
      <c r="D90" s="1064" t="s">
        <v>1557</v>
      </c>
      <c r="E90" s="1135">
        <v>0.2</v>
      </c>
      <c r="F90" s="1150">
        <v>30</v>
      </c>
    </row>
    <row r="91" spans="1:6" s="1101" customFormat="1" ht="36">
      <c r="A91" s="1150">
        <v>31</v>
      </c>
      <c r="B91" s="3528"/>
      <c r="C91" s="1064" t="s">
        <v>1558</v>
      </c>
      <c r="D91" s="1064" t="s">
        <v>1559</v>
      </c>
      <c r="E91" s="1135">
        <v>0.2</v>
      </c>
      <c r="F91" s="1150">
        <v>30</v>
      </c>
    </row>
    <row r="92" spans="1:6" s="1101" customFormat="1" ht="24">
      <c r="A92" s="1150">
        <v>32</v>
      </c>
      <c r="B92" s="3528" t="s">
        <v>1560</v>
      </c>
      <c r="C92" s="1150" t="s">
        <v>1561</v>
      </c>
      <c r="D92" s="1064" t="s">
        <v>1562</v>
      </c>
      <c r="E92" s="1135">
        <v>0.2</v>
      </c>
      <c r="F92" s="1150">
        <v>30</v>
      </c>
    </row>
    <row r="93" spans="1:6" s="1101" customFormat="1" ht="36">
      <c r="A93" s="1150">
        <v>33</v>
      </c>
      <c r="B93" s="3528"/>
      <c r="C93" s="1150" t="s">
        <v>1563</v>
      </c>
      <c r="D93" s="1064" t="s">
        <v>1564</v>
      </c>
      <c r="E93" s="1135">
        <v>0.2</v>
      </c>
      <c r="F93" s="1150">
        <v>30</v>
      </c>
    </row>
    <row r="94" spans="1:6" s="1101" customFormat="1" ht="48">
      <c r="A94" s="1150">
        <v>34</v>
      </c>
      <c r="B94" s="3528"/>
      <c r="C94" s="1150" t="s">
        <v>1565</v>
      </c>
      <c r="D94" s="1064" t="s">
        <v>1566</v>
      </c>
      <c r="E94" s="1135">
        <v>0.2</v>
      </c>
      <c r="F94" s="1150">
        <v>30</v>
      </c>
    </row>
    <row r="95" spans="1:6" s="1101" customFormat="1" ht="36">
      <c r="A95" s="1150">
        <v>35</v>
      </c>
      <c r="B95" s="3528"/>
      <c r="C95" s="1150" t="s">
        <v>1567</v>
      </c>
      <c r="D95" s="1064" t="s">
        <v>1568</v>
      </c>
      <c r="E95" s="1135">
        <v>0.2</v>
      </c>
      <c r="F95" s="1150">
        <v>30</v>
      </c>
    </row>
    <row r="96" spans="1:6" s="1101" customFormat="1" ht="48">
      <c r="A96" s="1150">
        <v>36</v>
      </c>
      <c r="B96" s="3528"/>
      <c r="C96" s="1064" t="s">
        <v>1569</v>
      </c>
      <c r="D96" s="1064" t="s">
        <v>1570</v>
      </c>
      <c r="E96" s="1135">
        <v>0.2</v>
      </c>
      <c r="F96" s="1150">
        <v>30</v>
      </c>
    </row>
    <row r="97" spans="1:6" s="1101" customFormat="1" ht="36">
      <c r="A97" s="1150">
        <v>37</v>
      </c>
      <c r="B97" s="3528"/>
      <c r="C97" s="1150" t="s">
        <v>1571</v>
      </c>
      <c r="D97" s="1064" t="s">
        <v>1572</v>
      </c>
      <c r="E97" s="1135">
        <v>0.2</v>
      </c>
      <c r="F97" s="1150">
        <v>30</v>
      </c>
    </row>
    <row r="98" spans="1:6" s="1101" customFormat="1" ht="36">
      <c r="A98" s="1150">
        <v>38</v>
      </c>
      <c r="B98" s="3528"/>
      <c r="C98" s="1150" t="s">
        <v>1573</v>
      </c>
      <c r="D98" s="1064" t="s">
        <v>1574</v>
      </c>
      <c r="E98" s="1135">
        <v>0.2</v>
      </c>
      <c r="F98" s="1150">
        <v>30</v>
      </c>
    </row>
    <row r="99" spans="1:6" s="1101" customFormat="1" ht="36">
      <c r="A99" s="1150">
        <v>39</v>
      </c>
      <c r="B99" s="3528" t="s">
        <v>1575</v>
      </c>
      <c r="C99" s="1150" t="s">
        <v>1576</v>
      </c>
      <c r="D99" s="1064" t="s">
        <v>1577</v>
      </c>
      <c r="E99" s="1135">
        <v>0.3</v>
      </c>
      <c r="F99" s="1150">
        <v>50</v>
      </c>
    </row>
    <row r="100" spans="1:6" s="1101" customFormat="1" ht="24">
      <c r="A100" s="1150">
        <v>40</v>
      </c>
      <c r="B100" s="3528"/>
      <c r="C100" s="1150" t="s">
        <v>1578</v>
      </c>
      <c r="D100" s="1064" t="s">
        <v>1579</v>
      </c>
      <c r="E100" s="1135">
        <v>0.2</v>
      </c>
      <c r="F100" s="1150">
        <v>30</v>
      </c>
    </row>
    <row r="101" spans="1:6" s="1101" customFormat="1" ht="36">
      <c r="A101" s="1150">
        <v>41</v>
      </c>
      <c r="B101" s="3528"/>
      <c r="C101" s="1150" t="s">
        <v>1580</v>
      </c>
      <c r="D101" s="1064" t="s">
        <v>1577</v>
      </c>
      <c r="E101" s="1135">
        <v>0.2</v>
      </c>
      <c r="F101" s="1150">
        <v>30</v>
      </c>
    </row>
    <row r="102" spans="1:6" s="1101" customFormat="1" ht="48">
      <c r="A102" s="1150">
        <v>42</v>
      </c>
      <c r="B102" s="1150" t="s">
        <v>1581</v>
      </c>
      <c r="C102" s="1064" t="s">
        <v>1582</v>
      </c>
      <c r="D102" s="1064" t="s">
        <v>1583</v>
      </c>
      <c r="E102" s="1135">
        <v>0.2</v>
      </c>
      <c r="F102" s="1150">
        <v>30</v>
      </c>
    </row>
    <row r="103" spans="1:6" s="1101" customFormat="1" ht="24">
      <c r="A103" s="1150">
        <v>43</v>
      </c>
      <c r="B103" s="1150" t="s">
        <v>1584</v>
      </c>
      <c r="C103" s="1150" t="s">
        <v>1585</v>
      </c>
      <c r="D103" s="1064" t="s">
        <v>1586</v>
      </c>
      <c r="E103" s="1135">
        <v>0.2</v>
      </c>
      <c r="F103" s="1150">
        <v>30</v>
      </c>
    </row>
    <row r="104" spans="1:6" s="1101" customFormat="1" ht="36">
      <c r="A104" s="1150">
        <v>44</v>
      </c>
      <c r="B104" s="1150" t="s">
        <v>1587</v>
      </c>
      <c r="C104" s="1150" t="s">
        <v>1588</v>
      </c>
      <c r="D104" s="1064" t="s">
        <v>1589</v>
      </c>
      <c r="E104" s="1135">
        <v>0.2</v>
      </c>
      <c r="F104" s="1150">
        <v>30</v>
      </c>
    </row>
    <row r="105" spans="1:6" s="1101" customFormat="1" ht="36">
      <c r="A105" s="1150">
        <v>45</v>
      </c>
      <c r="B105" s="3528" t="s">
        <v>1590</v>
      </c>
      <c r="C105" s="1150" t="s">
        <v>1591</v>
      </c>
      <c r="D105" s="1064" t="s">
        <v>1592</v>
      </c>
      <c r="E105" s="1135">
        <v>0.2</v>
      </c>
      <c r="F105" s="1150">
        <v>30</v>
      </c>
    </row>
    <row r="106" spans="1:6" s="1101" customFormat="1" ht="36">
      <c r="A106" s="1150">
        <v>46</v>
      </c>
      <c r="B106" s="3528"/>
      <c r="C106" s="1150" t="s">
        <v>1593</v>
      </c>
      <c r="D106" s="1064" t="s">
        <v>1594</v>
      </c>
      <c r="E106" s="1135">
        <v>0.2</v>
      </c>
      <c r="F106" s="1150">
        <v>30</v>
      </c>
    </row>
    <row r="107" spans="1:6" s="1101" customFormat="1" ht="36">
      <c r="A107" s="1150">
        <v>47</v>
      </c>
      <c r="B107" s="3528" t="s">
        <v>1595</v>
      </c>
      <c r="C107" s="1150" t="s">
        <v>1596</v>
      </c>
      <c r="D107" s="1064" t="s">
        <v>1597</v>
      </c>
      <c r="E107" s="1135">
        <v>0.3</v>
      </c>
      <c r="F107" s="1150">
        <v>50</v>
      </c>
    </row>
    <row r="108" spans="1:6" s="1101" customFormat="1" ht="36">
      <c r="A108" s="1150">
        <v>48</v>
      </c>
      <c r="B108" s="3528"/>
      <c r="C108" s="1150" t="s">
        <v>1598</v>
      </c>
      <c r="D108" s="1064" t="s">
        <v>1599</v>
      </c>
      <c r="E108" s="1135">
        <v>0.2</v>
      </c>
      <c r="F108" s="1150">
        <v>30</v>
      </c>
    </row>
    <row r="109" spans="1:6" s="1101" customFormat="1" ht="36">
      <c r="A109" s="1150">
        <v>49</v>
      </c>
      <c r="B109" s="1150" t="s">
        <v>1600</v>
      </c>
      <c r="C109" s="1150" t="s">
        <v>1601</v>
      </c>
      <c r="D109" s="1064" t="s">
        <v>1602</v>
      </c>
      <c r="E109" s="1135">
        <v>0.2</v>
      </c>
      <c r="F109" s="1150">
        <v>30</v>
      </c>
    </row>
    <row r="110" spans="1:6" s="1101" customFormat="1" ht="36">
      <c r="A110" s="1150">
        <v>50</v>
      </c>
      <c r="B110" s="1150" t="s">
        <v>1603</v>
      </c>
      <c r="C110" s="1150" t="s">
        <v>1604</v>
      </c>
      <c r="D110" s="1064" t="s">
        <v>1605</v>
      </c>
      <c r="E110" s="1135">
        <v>0.2</v>
      </c>
      <c r="F110" s="1150">
        <v>30</v>
      </c>
    </row>
    <row r="111" spans="1:6" s="1101" customFormat="1" ht="36">
      <c r="A111" s="1150">
        <v>51</v>
      </c>
      <c r="B111" s="3528" t="s">
        <v>1606</v>
      </c>
      <c r="C111" s="1150" t="s">
        <v>1607</v>
      </c>
      <c r="D111" s="1064" t="s">
        <v>1608</v>
      </c>
      <c r="E111" s="1135">
        <v>0.2</v>
      </c>
      <c r="F111" s="1150">
        <v>30</v>
      </c>
    </row>
    <row r="112" spans="1:6" s="1101" customFormat="1" ht="24">
      <c r="A112" s="1150">
        <v>52</v>
      </c>
      <c r="B112" s="3528"/>
      <c r="C112" s="1150" t="s">
        <v>1609</v>
      </c>
      <c r="D112" s="1064" t="s">
        <v>1610</v>
      </c>
      <c r="E112" s="1135">
        <v>0.2</v>
      </c>
      <c r="F112" s="1150">
        <v>30</v>
      </c>
    </row>
    <row r="113" spans="1:14" s="1101" customFormat="1" ht="24">
      <c r="A113" s="1150">
        <v>53</v>
      </c>
      <c r="B113" s="3528"/>
      <c r="C113" s="1150" t="s">
        <v>1611</v>
      </c>
      <c r="D113" s="1064" t="s">
        <v>1612</v>
      </c>
      <c r="E113" s="1135">
        <v>0.2</v>
      </c>
      <c r="F113" s="1150">
        <v>30</v>
      </c>
    </row>
    <row r="114" spans="1:14" ht="36">
      <c r="A114" s="1150">
        <v>54</v>
      </c>
      <c r="B114" s="1150" t="s">
        <v>1613</v>
      </c>
      <c r="C114" s="1150" t="s">
        <v>1614</v>
      </c>
      <c r="D114" s="1064" t="s">
        <v>1615</v>
      </c>
      <c r="E114" s="1135">
        <v>0.2</v>
      </c>
      <c r="F114" s="1150">
        <v>30</v>
      </c>
    </row>
    <row r="115" spans="1:14" ht="24">
      <c r="A115" s="1150">
        <v>55</v>
      </c>
      <c r="B115" s="1150" t="s">
        <v>1616</v>
      </c>
      <c r="C115" s="1150" t="s">
        <v>1617</v>
      </c>
      <c r="D115" s="1064" t="s">
        <v>1618</v>
      </c>
      <c r="E115" s="1135">
        <v>0.2</v>
      </c>
      <c r="F115" s="1150">
        <v>30</v>
      </c>
    </row>
    <row r="116" spans="1:14" ht="24">
      <c r="A116" s="1150">
        <v>56</v>
      </c>
      <c r="B116" s="3528" t="s">
        <v>1619</v>
      </c>
      <c r="C116" s="1150" t="s">
        <v>1620</v>
      </c>
      <c r="D116" s="1064" t="s">
        <v>1621</v>
      </c>
      <c r="E116" s="1135">
        <v>0.2</v>
      </c>
      <c r="F116" s="1150">
        <v>30</v>
      </c>
    </row>
    <row r="117" spans="1:14" ht="36">
      <c r="A117" s="1150">
        <v>57</v>
      </c>
      <c r="B117" s="3528"/>
      <c r="C117" s="1150" t="s">
        <v>1622</v>
      </c>
      <c r="D117" s="1064" t="s">
        <v>1623</v>
      </c>
      <c r="E117" s="1135">
        <v>0.2</v>
      </c>
      <c r="F117" s="1150">
        <v>30</v>
      </c>
    </row>
    <row r="118" spans="1:14" ht="36">
      <c r="A118" s="1150">
        <v>58</v>
      </c>
      <c r="B118" s="1150" t="s">
        <v>1624</v>
      </c>
      <c r="C118" s="1150" t="s">
        <v>1625</v>
      </c>
      <c r="D118" s="1064" t="s">
        <v>1626</v>
      </c>
      <c r="E118" s="1135">
        <v>0.2</v>
      </c>
      <c r="F118" s="1150">
        <v>30</v>
      </c>
    </row>
    <row r="119" spans="1:14" ht="13.5">
      <c r="A119" s="1150"/>
      <c r="B119" s="1150"/>
      <c r="C119" s="1150"/>
      <c r="D119" s="1150"/>
      <c r="E119" s="1135"/>
      <c r="F119" s="1150"/>
    </row>
    <row r="121" spans="1:14" ht="19.5" customHeight="1">
      <c r="A121" s="3527" t="s">
        <v>1628</v>
      </c>
      <c r="B121" s="3527"/>
      <c r="C121" s="3527"/>
      <c r="D121" s="3527"/>
      <c r="E121" s="3527"/>
      <c r="F121" s="3527"/>
      <c r="G121" s="3527"/>
      <c r="H121" s="3527"/>
      <c r="I121" s="3527"/>
      <c r="J121" s="3527"/>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00" t="s">
        <v>1034</v>
      </c>
      <c r="B1" s="3600"/>
      <c r="C1" s="3600"/>
      <c r="D1" s="3600"/>
      <c r="E1" s="3600"/>
      <c r="F1" s="3600"/>
      <c r="H1" s="1066"/>
      <c r="I1" s="1067" t="s">
        <v>1035</v>
      </c>
      <c r="J1" s="1068" t="s">
        <v>1036</v>
      </c>
      <c r="K1" s="1068" t="s">
        <v>1037</v>
      </c>
      <c r="L1" s="1068" t="s">
        <v>1038</v>
      </c>
      <c r="M1" s="1068" t="s">
        <v>1039</v>
      </c>
      <c r="N1" s="1068" t="s">
        <v>1040</v>
      </c>
      <c r="O1" s="1068" t="s">
        <v>1041</v>
      </c>
      <c r="P1" s="1068" t="s">
        <v>1042</v>
      </c>
      <c r="Q1" s="1068" t="s">
        <v>1043</v>
      </c>
      <c r="R1" s="1068" t="s">
        <v>1044</v>
      </c>
      <c r="S1" s="1068" t="s">
        <v>1045</v>
      </c>
      <c r="T1" s="1069" t="s">
        <v>1046</v>
      </c>
    </row>
    <row r="2" spans="1:20" ht="14.25" thickBot="1">
      <c r="A2" s="3601" t="s">
        <v>1047</v>
      </c>
      <c r="B2" s="3601"/>
      <c r="C2" s="3601"/>
      <c r="D2" s="3601"/>
      <c r="E2" s="3601"/>
      <c r="F2" s="3601"/>
      <c r="I2" s="1070" t="s">
        <v>1048</v>
      </c>
      <c r="J2" s="1071" t="s">
        <v>1049</v>
      </c>
      <c r="K2" s="1071" t="s">
        <v>1050</v>
      </c>
      <c r="L2" s="1071" t="s">
        <v>1051</v>
      </c>
      <c r="M2" s="1071" t="s">
        <v>1052</v>
      </c>
      <c r="N2" s="1071" t="s">
        <v>1053</v>
      </c>
      <c r="O2" s="1071" t="s">
        <v>1054</v>
      </c>
      <c r="P2" s="1071" t="s">
        <v>1055</v>
      </c>
      <c r="Q2" s="1071" t="s">
        <v>1056</v>
      </c>
      <c r="R2" s="1071" t="s">
        <v>1057</v>
      </c>
      <c r="S2" s="1071" t="s">
        <v>1058</v>
      </c>
      <c r="T2" s="1071" t="s">
        <v>1059</v>
      </c>
    </row>
    <row r="3" spans="1:20" s="1066" customFormat="1" ht="19.5" customHeight="1">
      <c r="A3" s="3602" t="s">
        <v>1060</v>
      </c>
      <c r="B3" s="1072"/>
      <c r="C3" s="1073" t="s">
        <v>1061</v>
      </c>
      <c r="D3" s="1073" t="s">
        <v>1062</v>
      </c>
      <c r="E3" s="1073" t="s">
        <v>1063</v>
      </c>
      <c r="F3" s="1073" t="s">
        <v>1064</v>
      </c>
      <c r="G3" s="1074"/>
      <c r="I3" s="1070" t="s">
        <v>1065</v>
      </c>
      <c r="J3" s="1071" t="s">
        <v>1066</v>
      </c>
      <c r="K3" s="1071" t="s">
        <v>1067</v>
      </c>
      <c r="L3" s="1071" t="s">
        <v>1068</v>
      </c>
      <c r="M3" s="1071" t="s">
        <v>1069</v>
      </c>
      <c r="N3" s="1071" t="s">
        <v>1070</v>
      </c>
      <c r="O3" s="1071" t="s">
        <v>1071</v>
      </c>
      <c r="P3" s="1071" t="s">
        <v>1072</v>
      </c>
      <c r="Q3" s="1071" t="s">
        <v>1073</v>
      </c>
      <c r="R3" s="1071" t="s">
        <v>1074</v>
      </c>
      <c r="S3" s="1071" t="s">
        <v>1075</v>
      </c>
      <c r="T3" s="1071" t="s">
        <v>1076</v>
      </c>
    </row>
    <row r="4" spans="1:20" s="1066" customFormat="1" ht="19.5" customHeight="1" thickBot="1">
      <c r="A4" s="3603"/>
      <c r="B4" s="1075" t="s">
        <v>1077</v>
      </c>
      <c r="C4" s="1075" t="s">
        <v>1078</v>
      </c>
      <c r="D4" s="1075" t="s">
        <v>1078</v>
      </c>
      <c r="E4" s="1075" t="s">
        <v>1078</v>
      </c>
      <c r="F4" s="1076" t="s">
        <v>1078</v>
      </c>
      <c r="G4" s="1074"/>
      <c r="I4" s="1070" t="s">
        <v>1079</v>
      </c>
      <c r="J4" s="1071" t="s">
        <v>1080</v>
      </c>
      <c r="K4" s="1071" t="s">
        <v>1081</v>
      </c>
      <c r="L4" s="1071" t="s">
        <v>1082</v>
      </c>
      <c r="M4" s="1071" t="s">
        <v>1083</v>
      </c>
      <c r="N4" s="1071" t="s">
        <v>1084</v>
      </c>
      <c r="O4" s="1071" t="s">
        <v>1085</v>
      </c>
      <c r="P4" s="1071" t="s">
        <v>1086</v>
      </c>
      <c r="Q4" s="1071" t="s">
        <v>1087</v>
      </c>
      <c r="R4" s="1071" t="s">
        <v>1088</v>
      </c>
      <c r="S4" s="1071" t="s">
        <v>1089</v>
      </c>
      <c r="T4" s="1071" t="s">
        <v>1090</v>
      </c>
    </row>
    <row r="5" spans="1:20" ht="14.25" customHeight="1" thickBot="1">
      <c r="A5" s="1077" t="s">
        <v>1091</v>
      </c>
      <c r="B5" s="1078" t="s">
        <v>1048</v>
      </c>
      <c r="C5" s="1078">
        <v>29530</v>
      </c>
      <c r="D5" s="1078">
        <v>28130</v>
      </c>
      <c r="E5" s="1078">
        <v>27930</v>
      </c>
      <c r="F5" s="1079">
        <v>11300</v>
      </c>
      <c r="G5" s="1080" t="s">
        <v>1035</v>
      </c>
      <c r="H5" s="1081">
        <f>SUMPRODUCT((B5:B9=基准地价!I2)*(C3:F3=基准地价!E2)*(C5:F9))</f>
        <v>0</v>
      </c>
      <c r="I5" s="1070" t="s">
        <v>1092</v>
      </c>
      <c r="J5" s="1071" t="s">
        <v>1093</v>
      </c>
      <c r="K5" s="1071" t="s">
        <v>1094</v>
      </c>
      <c r="L5" s="1071" t="s">
        <v>1095</v>
      </c>
      <c r="M5" s="1071" t="s">
        <v>1096</v>
      </c>
      <c r="N5" s="1071" t="s">
        <v>1097</v>
      </c>
      <c r="O5" s="1071" t="s">
        <v>1098</v>
      </c>
      <c r="P5" s="1071" t="s">
        <v>1099</v>
      </c>
      <c r="Q5" s="1071" t="s">
        <v>1100</v>
      </c>
      <c r="R5" s="1071" t="s">
        <v>1101</v>
      </c>
      <c r="S5" s="1071" t="s">
        <v>1102</v>
      </c>
      <c r="T5" s="1071" t="s">
        <v>1103</v>
      </c>
    </row>
    <row r="6" spans="1:20" ht="14.25" customHeight="1" thickBot="1">
      <c r="A6" s="1077" t="s">
        <v>1091</v>
      </c>
      <c r="B6" s="1071" t="s">
        <v>1104</v>
      </c>
      <c r="C6" s="1071">
        <v>30290</v>
      </c>
      <c r="D6" s="1071">
        <v>29210</v>
      </c>
      <c r="E6" s="1071">
        <v>28860</v>
      </c>
      <c r="F6" s="1082">
        <v>12600</v>
      </c>
      <c r="G6" s="1083" t="s">
        <v>1105</v>
      </c>
      <c r="H6" s="1084">
        <f>SUMPRODUCT((B10:B28=基准地价!I2)*(C3:F3=基准地价!E2)*(C10:F28))</f>
        <v>0</v>
      </c>
      <c r="I6" s="1070" t="s">
        <v>1106</v>
      </c>
      <c r="J6" s="1071" t="s">
        <v>1107</v>
      </c>
      <c r="K6" s="1071" t="s">
        <v>1108</v>
      </c>
      <c r="L6" s="1071" t="s">
        <v>1109</v>
      </c>
      <c r="M6" s="1071" t="s">
        <v>1110</v>
      </c>
      <c r="N6" s="1071" t="s">
        <v>1111</v>
      </c>
      <c r="O6" s="1071" t="s">
        <v>1112</v>
      </c>
      <c r="P6" s="1071" t="s">
        <v>1113</v>
      </c>
      <c r="Q6" s="1071" t="s">
        <v>1114</v>
      </c>
      <c r="R6" s="1071" t="s">
        <v>1115</v>
      </c>
      <c r="S6" s="1071" t="s">
        <v>1116</v>
      </c>
      <c r="T6" s="1071" t="s">
        <v>1117</v>
      </c>
    </row>
    <row r="7" spans="1:20" ht="14.25" customHeight="1" thickBot="1">
      <c r="A7" s="1077" t="s">
        <v>1091</v>
      </c>
      <c r="B7" s="1085" t="s">
        <v>1079</v>
      </c>
      <c r="C7" s="1071">
        <v>29350</v>
      </c>
      <c r="D7" s="1071">
        <v>28410</v>
      </c>
      <c r="E7" s="1071">
        <v>27990</v>
      </c>
      <c r="F7" s="1082">
        <v>12300</v>
      </c>
      <c r="G7" s="1083" t="s">
        <v>903</v>
      </c>
      <c r="H7" s="1084">
        <f>SUMPRODUCT((B29:B48=基准地价!I2)*(C3:F3=基准地价!E2)*(C29:F48))</f>
        <v>0</v>
      </c>
      <c r="J7" s="1071" t="s">
        <v>1118</v>
      </c>
      <c r="K7" s="1071" t="s">
        <v>1119</v>
      </c>
      <c r="L7" s="1071" t="s">
        <v>1120</v>
      </c>
      <c r="M7" s="1071" t="s">
        <v>1121</v>
      </c>
      <c r="N7" s="1071" t="s">
        <v>1122</v>
      </c>
      <c r="O7" s="1071" t="s">
        <v>1123</v>
      </c>
      <c r="P7" s="1071" t="s">
        <v>1124</v>
      </c>
      <c r="Q7" s="1071" t="s">
        <v>1125</v>
      </c>
      <c r="R7" s="1071" t="s">
        <v>1126</v>
      </c>
      <c r="S7" s="1071" t="s">
        <v>1127</v>
      </c>
      <c r="T7" s="1085" t="s">
        <v>1128</v>
      </c>
    </row>
    <row r="8" spans="1:20" ht="14.25" customHeight="1" thickBot="1">
      <c r="A8" s="1077" t="s">
        <v>1091</v>
      </c>
      <c r="B8" s="1071" t="s">
        <v>1092</v>
      </c>
      <c r="C8" s="1071">
        <v>30890</v>
      </c>
      <c r="D8" s="1071">
        <v>29780</v>
      </c>
      <c r="E8" s="1071">
        <v>29270</v>
      </c>
      <c r="F8" s="1082">
        <v>11600</v>
      </c>
      <c r="G8" s="1083" t="s">
        <v>904</v>
      </c>
      <c r="H8" s="1084">
        <f>SUMPRODUCT((B49:B75=基准地价!I2)*(C3:F3=基准地价!E2)*(C49:F75))</f>
        <v>0</v>
      </c>
      <c r="J8" s="1071" t="s">
        <v>1129</v>
      </c>
      <c r="K8" s="1071" t="s">
        <v>1130</v>
      </c>
      <c r="L8" s="1071" t="s">
        <v>1131</v>
      </c>
      <c r="M8" s="1071" t="s">
        <v>1132</v>
      </c>
      <c r="N8" s="1071" t="s">
        <v>1133</v>
      </c>
      <c r="O8" s="1071" t="s">
        <v>1134</v>
      </c>
      <c r="P8" s="1071" t="s">
        <v>1135</v>
      </c>
      <c r="Q8" s="1071" t="s">
        <v>1136</v>
      </c>
      <c r="R8" s="1071" t="s">
        <v>1137</v>
      </c>
      <c r="S8" s="1071" t="s">
        <v>1138</v>
      </c>
      <c r="T8" s="1071" t="s">
        <v>1139</v>
      </c>
    </row>
    <row r="9" spans="1:20" ht="14.25" customHeight="1" thickBot="1">
      <c r="A9" s="1077" t="s">
        <v>1091</v>
      </c>
      <c r="B9" s="1086" t="s">
        <v>1106</v>
      </c>
      <c r="C9" s="1087">
        <v>28140</v>
      </c>
      <c r="D9" s="1087"/>
      <c r="E9" s="1087"/>
      <c r="F9" s="1088"/>
      <c r="G9" s="1083" t="s">
        <v>905</v>
      </c>
      <c r="H9" s="1084">
        <f>SUMPRODUCT((B76:B109=基准地价!I2)*(C3:F3=基准地价!E2)*(C76:F109))</f>
        <v>0</v>
      </c>
      <c r="J9" s="1071" t="s">
        <v>1140</v>
      </c>
      <c r="K9" s="1071" t="s">
        <v>1141</v>
      </c>
      <c r="L9" s="1071" t="s">
        <v>1142</v>
      </c>
      <c r="M9" s="1071" t="s">
        <v>1143</v>
      </c>
      <c r="N9" s="1071" t="s">
        <v>1144</v>
      </c>
      <c r="O9" s="1071" t="s">
        <v>1145</v>
      </c>
      <c r="P9" s="1071" t="s">
        <v>1146</v>
      </c>
      <c r="Q9" s="1071" t="s">
        <v>1147</v>
      </c>
      <c r="R9" s="1071" t="s">
        <v>1148</v>
      </c>
      <c r="S9" s="1071" t="s">
        <v>1149</v>
      </c>
    </row>
    <row r="10" spans="1:20" ht="14.25" customHeight="1" thickBot="1">
      <c r="A10" s="1077" t="s">
        <v>1150</v>
      </c>
      <c r="B10" s="1078" t="s">
        <v>1151</v>
      </c>
      <c r="C10" s="1078">
        <v>27450</v>
      </c>
      <c r="D10" s="1078">
        <v>26180</v>
      </c>
      <c r="E10" s="1078">
        <v>25980</v>
      </c>
      <c r="F10" s="1079">
        <v>8910</v>
      </c>
      <c r="G10" s="1083" t="s">
        <v>906</v>
      </c>
      <c r="H10" s="1084">
        <f>SUMPRODUCT((B110:B157=基准地价!I2)*(C3:F3=基准地价!E2)*(C110:F157))</f>
        <v>0</v>
      </c>
      <c r="J10" s="1071" t="s">
        <v>1152</v>
      </c>
      <c r="K10" s="1071" t="s">
        <v>1153</v>
      </c>
      <c r="L10" s="1071" t="s">
        <v>1154</v>
      </c>
      <c r="M10" s="1071" t="s">
        <v>1155</v>
      </c>
      <c r="N10" s="1071" t="s">
        <v>1156</v>
      </c>
      <c r="O10" s="1071" t="s">
        <v>1157</v>
      </c>
      <c r="P10" s="1071" t="s">
        <v>1158</v>
      </c>
      <c r="Q10" s="1071" t="s">
        <v>1159</v>
      </c>
      <c r="R10" s="1071" t="s">
        <v>1160</v>
      </c>
      <c r="S10" s="1071" t="s">
        <v>1161</v>
      </c>
    </row>
    <row r="11" spans="1:20" ht="14.25" customHeight="1" thickBot="1">
      <c r="A11" s="1077" t="s">
        <v>1150</v>
      </c>
      <c r="B11" s="1085" t="s">
        <v>1066</v>
      </c>
      <c r="C11" s="1071">
        <v>22950</v>
      </c>
      <c r="D11" s="1071">
        <v>22630</v>
      </c>
      <c r="E11" s="1071">
        <v>22030</v>
      </c>
      <c r="F11" s="1089">
        <v>8330</v>
      </c>
      <c r="G11" s="1083" t="s">
        <v>907</v>
      </c>
      <c r="H11" s="1084">
        <f>SUMPRODUCT((B158:B205=基准地价!I2)*(C3:F3=基准地价!E2)*(C158:F205))</f>
        <v>0</v>
      </c>
      <c r="J11" s="1071" t="s">
        <v>1162</v>
      </c>
      <c r="K11" s="1071" t="s">
        <v>1163</v>
      </c>
      <c r="L11" s="1071" t="s">
        <v>1164</v>
      </c>
      <c r="M11" s="1071" t="s">
        <v>1165</v>
      </c>
      <c r="N11" s="1071" t="s">
        <v>1166</v>
      </c>
      <c r="O11" s="1071" t="s">
        <v>1167</v>
      </c>
      <c r="P11" s="1071" t="s">
        <v>1168</v>
      </c>
      <c r="Q11" s="1071" t="s">
        <v>1169</v>
      </c>
      <c r="R11" s="1071" t="s">
        <v>1170</v>
      </c>
      <c r="S11" s="1071" t="s">
        <v>1171</v>
      </c>
    </row>
    <row r="12" spans="1:20" ht="14.25" customHeight="1" thickBot="1">
      <c r="A12" s="1077" t="s">
        <v>1150</v>
      </c>
      <c r="B12" s="1085" t="s">
        <v>1080</v>
      </c>
      <c r="C12" s="1071">
        <v>24940</v>
      </c>
      <c r="D12" s="1071">
        <v>23180</v>
      </c>
      <c r="E12" s="1071">
        <v>22910</v>
      </c>
      <c r="F12" s="1089">
        <v>7180</v>
      </c>
      <c r="G12" s="1083" t="s">
        <v>908</v>
      </c>
      <c r="H12" s="1084">
        <f>SUMPRODUCT((B206:B244=基准地价!I2)*(C3:F3=基准地价!E2)*(C206:F244))</f>
        <v>0</v>
      </c>
      <c r="J12" s="1071" t="s">
        <v>1172</v>
      </c>
      <c r="K12" s="1071" t="s">
        <v>1173</v>
      </c>
      <c r="L12" s="1071" t="s">
        <v>1174</v>
      </c>
      <c r="M12" s="1071" t="s">
        <v>1175</v>
      </c>
      <c r="N12" s="1071" t="s">
        <v>1176</v>
      </c>
      <c r="O12" s="1071" t="s">
        <v>1177</v>
      </c>
      <c r="P12" s="1071" t="s">
        <v>1178</v>
      </c>
      <c r="Q12" s="1071" t="s">
        <v>1179</v>
      </c>
      <c r="R12" s="1071" t="s">
        <v>1180</v>
      </c>
      <c r="S12" s="1071" t="s">
        <v>1181</v>
      </c>
    </row>
    <row r="13" spans="1:20" ht="14.25" customHeight="1" thickBot="1">
      <c r="A13" s="1077" t="s">
        <v>1150</v>
      </c>
      <c r="B13" s="1085" t="s">
        <v>1093</v>
      </c>
      <c r="C13" s="1071">
        <v>24140</v>
      </c>
      <c r="D13" s="1071">
        <v>22270</v>
      </c>
      <c r="E13" s="1071">
        <v>21950</v>
      </c>
      <c r="F13" s="1089">
        <v>7600</v>
      </c>
      <c r="G13" s="1083" t="s">
        <v>909</v>
      </c>
      <c r="H13" s="1084">
        <f>SUMPRODUCT((B245:B289=基准地价!I2)*(C3:F3=基准地价!E2)*(C245:F289))</f>
        <v>0</v>
      </c>
      <c r="J13" s="1071" t="s">
        <v>1182</v>
      </c>
      <c r="K13" s="1071" t="s">
        <v>1183</v>
      </c>
      <c r="L13" s="1071" t="s">
        <v>1184</v>
      </c>
      <c r="M13" s="1071" t="s">
        <v>1185</v>
      </c>
      <c r="N13" s="1071" t="s">
        <v>1186</v>
      </c>
      <c r="O13" s="1071" t="s">
        <v>1187</v>
      </c>
      <c r="P13" s="1071" t="s">
        <v>1188</v>
      </c>
      <c r="Q13" s="1071" t="s">
        <v>1189</v>
      </c>
      <c r="R13" s="1071" t="s">
        <v>1190</v>
      </c>
      <c r="S13" s="1071" t="s">
        <v>1191</v>
      </c>
    </row>
    <row r="14" spans="1:20" ht="14.25" customHeight="1" thickBot="1">
      <c r="A14" s="1077" t="s">
        <v>1150</v>
      </c>
      <c r="B14" s="1085" t="s">
        <v>1107</v>
      </c>
      <c r="C14" s="1071">
        <v>25600</v>
      </c>
      <c r="D14" s="1071">
        <v>22260</v>
      </c>
      <c r="E14" s="1071">
        <v>22110</v>
      </c>
      <c r="F14" s="1089">
        <v>7630</v>
      </c>
      <c r="G14" s="1083" t="s">
        <v>910</v>
      </c>
      <c r="H14" s="1084">
        <f>SUMPRODUCT((B290:B316=基准地价!I2)*(C3:F3=基准地价!E2)*(C290:F316))</f>
        <v>0</v>
      </c>
      <c r="J14" s="1071" t="s">
        <v>1192</v>
      </c>
      <c r="K14" s="1071" t="s">
        <v>1193</v>
      </c>
      <c r="L14" s="1071" t="s">
        <v>1194</v>
      </c>
      <c r="M14" s="1071" t="s">
        <v>1195</v>
      </c>
      <c r="N14" s="1071" t="s">
        <v>1196</v>
      </c>
      <c r="O14" s="1071" t="s">
        <v>1197</v>
      </c>
      <c r="P14" s="1071" t="s">
        <v>1198</v>
      </c>
      <c r="Q14" s="1071" t="s">
        <v>1199</v>
      </c>
      <c r="R14" s="1071" t="s">
        <v>1200</v>
      </c>
      <c r="S14" s="1071" t="s">
        <v>1201</v>
      </c>
    </row>
    <row r="15" spans="1:20" ht="14.25" customHeight="1" thickBot="1">
      <c r="A15" s="1077" t="s">
        <v>1150</v>
      </c>
      <c r="B15" s="1085" t="s">
        <v>1118</v>
      </c>
      <c r="C15" s="1071">
        <v>24760</v>
      </c>
      <c r="D15" s="1071">
        <v>24440</v>
      </c>
      <c r="E15" s="1071">
        <v>24130</v>
      </c>
      <c r="F15" s="1089">
        <v>9480</v>
      </c>
      <c r="G15" s="1083" t="s">
        <v>911</v>
      </c>
      <c r="H15" s="1084">
        <f>SUMPRODUCT((B317:B337=基准地价!I2)*(C3:F3=基准地价!E2)*(C317:F337))</f>
        <v>0</v>
      </c>
      <c r="J15" s="1071" t="s">
        <v>1202</v>
      </c>
      <c r="K15" s="1071" t="s">
        <v>1203</v>
      </c>
      <c r="L15" s="1071" t="s">
        <v>1204</v>
      </c>
      <c r="M15" s="1071" t="s">
        <v>1205</v>
      </c>
      <c r="N15" s="1071" t="s">
        <v>1206</v>
      </c>
      <c r="O15" s="1071" t="s">
        <v>1207</v>
      </c>
      <c r="P15" s="1071" t="s">
        <v>1208</v>
      </c>
      <c r="Q15" s="1071" t="s">
        <v>1209</v>
      </c>
      <c r="R15" s="1071" t="s">
        <v>1210</v>
      </c>
      <c r="S15" s="1071" t="s">
        <v>1211</v>
      </c>
    </row>
    <row r="16" spans="1:20" ht="14.25" customHeight="1" thickBot="1">
      <c r="A16" s="1077" t="s">
        <v>1150</v>
      </c>
      <c r="B16" s="1085" t="s">
        <v>1129</v>
      </c>
      <c r="C16" s="1071">
        <v>22220</v>
      </c>
      <c r="D16" s="1071">
        <v>22310</v>
      </c>
      <c r="E16" s="1071">
        <v>22000</v>
      </c>
      <c r="F16" s="1089">
        <v>8900</v>
      </c>
      <c r="G16" s="1090" t="s">
        <v>912</v>
      </c>
      <c r="H16" s="1091">
        <f>SUMPRODUCT((B338:B344=基准地价!I2)*(C3:F3=基准地价!E2)*(C338:F344))</f>
        <v>0</v>
      </c>
      <c r="J16" s="1071" t="s">
        <v>1212</v>
      </c>
      <c r="K16" s="1071" t="s">
        <v>1213</v>
      </c>
      <c r="L16" s="1071" t="s">
        <v>1214</v>
      </c>
      <c r="M16" s="1071" t="s">
        <v>1215</v>
      </c>
      <c r="N16" s="1071" t="s">
        <v>1216</v>
      </c>
      <c r="O16" s="1071" t="s">
        <v>1217</v>
      </c>
      <c r="P16" s="1071" t="s">
        <v>1218</v>
      </c>
      <c r="Q16" s="1071" t="s">
        <v>1219</v>
      </c>
      <c r="R16" s="1071" t="s">
        <v>1220</v>
      </c>
      <c r="S16" s="1071" t="s">
        <v>1221</v>
      </c>
    </row>
    <row r="17" spans="1:19" ht="14.25" customHeight="1" thickBot="1">
      <c r="A17" s="1077" t="s">
        <v>1150</v>
      </c>
      <c r="B17" s="1085" t="s">
        <v>1140</v>
      </c>
      <c r="C17" s="1071">
        <v>24700</v>
      </c>
      <c r="D17" s="1071">
        <v>25150</v>
      </c>
      <c r="E17" s="1071">
        <v>24700</v>
      </c>
      <c r="F17" s="1092"/>
      <c r="H17" s="1093"/>
      <c r="J17" s="1071" t="s">
        <v>1222</v>
      </c>
      <c r="K17" s="1071" t="s">
        <v>1223</v>
      </c>
      <c r="L17" s="1071" t="s">
        <v>1224</v>
      </c>
      <c r="M17" s="1071" t="s">
        <v>1225</v>
      </c>
      <c r="N17" s="1071" t="s">
        <v>1226</v>
      </c>
      <c r="O17" s="1071" t="s">
        <v>1227</v>
      </c>
      <c r="P17" s="1071" t="s">
        <v>1228</v>
      </c>
      <c r="Q17" s="1071" t="s">
        <v>1229</v>
      </c>
      <c r="R17" s="1071" t="s">
        <v>1230</v>
      </c>
      <c r="S17" s="1071" t="s">
        <v>1231</v>
      </c>
    </row>
    <row r="18" spans="1:19" ht="14.25" customHeight="1" thickBot="1">
      <c r="A18" s="1077" t="s">
        <v>1150</v>
      </c>
      <c r="B18" s="1085" t="s">
        <v>1152</v>
      </c>
      <c r="C18" s="1071">
        <v>22350</v>
      </c>
      <c r="D18" s="1071">
        <v>24340</v>
      </c>
      <c r="E18" s="1071">
        <v>24100</v>
      </c>
      <c r="F18" s="1092"/>
      <c r="H18" s="1093"/>
      <c r="J18" s="1071" t="s">
        <v>1232</v>
      </c>
      <c r="K18" s="1071" t="s">
        <v>1233</v>
      </c>
      <c r="L18" s="1071" t="s">
        <v>1234</v>
      </c>
      <c r="M18" s="1071" t="s">
        <v>1235</v>
      </c>
      <c r="N18" s="1071" t="s">
        <v>1236</v>
      </c>
      <c r="O18" s="1071" t="s">
        <v>1237</v>
      </c>
      <c r="P18" s="1071" t="s">
        <v>1238</v>
      </c>
      <c r="Q18" s="1071" t="s">
        <v>1239</v>
      </c>
      <c r="R18" s="1071" t="s">
        <v>1240</v>
      </c>
      <c r="S18" s="1071" t="s">
        <v>1241</v>
      </c>
    </row>
    <row r="19" spans="1:19" ht="14.25" customHeight="1" thickBot="1">
      <c r="A19" s="1077" t="s">
        <v>1150</v>
      </c>
      <c r="B19" s="1085" t="s">
        <v>1162</v>
      </c>
      <c r="C19" s="1071">
        <v>23430</v>
      </c>
      <c r="D19" s="1071">
        <v>21580</v>
      </c>
      <c r="E19" s="1071">
        <v>21350</v>
      </c>
      <c r="F19" s="1092"/>
      <c r="H19" s="1093"/>
      <c r="J19" s="1071" t="s">
        <v>1242</v>
      </c>
      <c r="K19" s="1071" t="s">
        <v>1243</v>
      </c>
      <c r="L19" s="1071" t="s">
        <v>1244</v>
      </c>
      <c r="M19" s="1071" t="s">
        <v>1245</v>
      </c>
      <c r="N19" s="1071" t="s">
        <v>1246</v>
      </c>
      <c r="O19" s="1071" t="s">
        <v>1247</v>
      </c>
      <c r="P19" s="1071" t="s">
        <v>1248</v>
      </c>
      <c r="Q19" s="1071" t="s">
        <v>1249</v>
      </c>
      <c r="R19" s="1071" t="s">
        <v>1250</v>
      </c>
      <c r="S19" s="1071" t="s">
        <v>1251</v>
      </c>
    </row>
    <row r="20" spans="1:19" ht="14.25" customHeight="1" thickBot="1">
      <c r="A20" s="1077" t="s">
        <v>1150</v>
      </c>
      <c r="B20" s="1085" t="s">
        <v>1172</v>
      </c>
      <c r="C20" s="1071">
        <v>27660</v>
      </c>
      <c r="D20" s="1071">
        <v>24240</v>
      </c>
      <c r="E20" s="1071">
        <v>24020</v>
      </c>
      <c r="F20" s="1092"/>
      <c r="J20" s="1071" t="s">
        <v>1252</v>
      </c>
      <c r="K20" s="1071" t="s">
        <v>1253</v>
      </c>
      <c r="L20" s="1071" t="s">
        <v>1254</v>
      </c>
      <c r="M20" s="1071" t="s">
        <v>1255</v>
      </c>
      <c r="N20" s="1071" t="s">
        <v>1256</v>
      </c>
      <c r="O20" s="1071" t="s">
        <v>1257</v>
      </c>
      <c r="P20" s="1071" t="s">
        <v>1258</v>
      </c>
      <c r="Q20" s="1071" t="s">
        <v>1259</v>
      </c>
      <c r="R20" s="1071" t="s">
        <v>1260</v>
      </c>
      <c r="S20" s="1071" t="s">
        <v>1261</v>
      </c>
    </row>
    <row r="21" spans="1:19" ht="14.25" customHeight="1" thickBot="1">
      <c r="A21" s="1077" t="s">
        <v>1150</v>
      </c>
      <c r="B21" s="1085" t="s">
        <v>1182</v>
      </c>
      <c r="C21" s="1071">
        <v>24720</v>
      </c>
      <c r="D21" s="1071">
        <v>21670</v>
      </c>
      <c r="E21" s="1071">
        <v>21510</v>
      </c>
      <c r="F21" s="1092"/>
      <c r="K21" s="1071" t="s">
        <v>1262</v>
      </c>
      <c r="L21" s="1071" t="s">
        <v>1263</v>
      </c>
      <c r="M21" s="1071" t="s">
        <v>1264</v>
      </c>
      <c r="N21" s="1071" t="s">
        <v>1265</v>
      </c>
      <c r="O21" s="1071" t="s">
        <v>1266</v>
      </c>
      <c r="P21" s="1071" t="s">
        <v>1267</v>
      </c>
      <c r="Q21" s="1071" t="s">
        <v>1268</v>
      </c>
      <c r="R21" s="1071" t="s">
        <v>1269</v>
      </c>
      <c r="S21" s="1071" t="s">
        <v>1270</v>
      </c>
    </row>
    <row r="22" spans="1:19" ht="14.25" customHeight="1" thickBot="1">
      <c r="A22" s="1077" t="s">
        <v>1150</v>
      </c>
      <c r="B22" s="1085" t="s">
        <v>1271</v>
      </c>
      <c r="C22" s="1071">
        <v>26530</v>
      </c>
      <c r="D22" s="1071">
        <v>22980</v>
      </c>
      <c r="E22" s="1071">
        <v>22650</v>
      </c>
      <c r="F22" s="1092"/>
      <c r="L22" s="1071" t="s">
        <v>1272</v>
      </c>
      <c r="M22" s="1071" t="s">
        <v>1273</v>
      </c>
      <c r="N22" s="1071" t="s">
        <v>1274</v>
      </c>
      <c r="O22" s="1071" t="s">
        <v>1275</v>
      </c>
      <c r="P22" s="1071" t="s">
        <v>1276</v>
      </c>
      <c r="Q22" s="1071" t="s">
        <v>1277</v>
      </c>
      <c r="R22" s="1071" t="s">
        <v>1278</v>
      </c>
      <c r="S22" s="1085" t="s">
        <v>1279</v>
      </c>
    </row>
    <row r="23" spans="1:19" ht="14.25" customHeight="1" thickBot="1">
      <c r="A23" s="1077" t="s">
        <v>1150</v>
      </c>
      <c r="B23" s="1085" t="s">
        <v>1202</v>
      </c>
      <c r="C23" s="1071">
        <v>24700</v>
      </c>
      <c r="D23" s="1071">
        <v>27290</v>
      </c>
      <c r="E23" s="1071">
        <v>26710</v>
      </c>
      <c r="F23" s="1092"/>
      <c r="L23" s="1071" t="s">
        <v>1280</v>
      </c>
      <c r="M23" s="1071" t="s">
        <v>1281</v>
      </c>
      <c r="N23" s="1071" t="s">
        <v>1282</v>
      </c>
      <c r="O23" s="1071" t="s">
        <v>1283</v>
      </c>
      <c r="P23" s="1071" t="s">
        <v>1284</v>
      </c>
      <c r="Q23" s="1071" t="s">
        <v>1285</v>
      </c>
      <c r="R23" s="1071" t="s">
        <v>1286</v>
      </c>
    </row>
    <row r="24" spans="1:19" ht="14.25" customHeight="1" thickBot="1">
      <c r="A24" s="1077" t="s">
        <v>1150</v>
      </c>
      <c r="B24" s="1085" t="s">
        <v>1212</v>
      </c>
      <c r="C24" s="1071">
        <v>23070</v>
      </c>
      <c r="D24" s="1071">
        <v>24130</v>
      </c>
      <c r="E24" s="1071">
        <v>23860</v>
      </c>
      <c r="F24" s="1092"/>
      <c r="L24" s="1071" t="s">
        <v>1287</v>
      </c>
      <c r="M24" s="1071" t="s">
        <v>1288</v>
      </c>
      <c r="N24" s="1071" t="s">
        <v>1289</v>
      </c>
      <c r="O24" s="1071" t="s">
        <v>1290</v>
      </c>
      <c r="P24" s="1071" t="s">
        <v>1291</v>
      </c>
      <c r="Q24" s="1071" t="s">
        <v>1292</v>
      </c>
      <c r="R24" s="1071" t="s">
        <v>1293</v>
      </c>
    </row>
    <row r="25" spans="1:19" ht="14.25" customHeight="1" thickBot="1">
      <c r="A25" s="1077" t="s">
        <v>1150</v>
      </c>
      <c r="B25" s="1085" t="s">
        <v>1222</v>
      </c>
      <c r="C25" s="1071">
        <v>27550</v>
      </c>
      <c r="D25" s="1071">
        <v>25850</v>
      </c>
      <c r="E25" s="1071">
        <v>25340</v>
      </c>
      <c r="F25" s="1092"/>
      <c r="L25" s="1071" t="s">
        <v>1294</v>
      </c>
      <c r="M25" s="1071" t="s">
        <v>1295</v>
      </c>
      <c r="N25" s="1071" t="s">
        <v>1296</v>
      </c>
      <c r="O25" s="1071" t="s">
        <v>1297</v>
      </c>
      <c r="P25" s="1071" t="s">
        <v>1298</v>
      </c>
      <c r="Q25" s="1071" t="s">
        <v>1299</v>
      </c>
      <c r="R25" s="1071" t="s">
        <v>1300</v>
      </c>
    </row>
    <row r="26" spans="1:19" ht="14.25" customHeight="1" thickBot="1">
      <c r="A26" s="1077" t="s">
        <v>1150</v>
      </c>
      <c r="B26" s="1085" t="s">
        <v>1232</v>
      </c>
      <c r="C26" s="1071"/>
      <c r="D26" s="1071">
        <v>23900</v>
      </c>
      <c r="E26" s="1071">
        <v>23590</v>
      </c>
      <c r="F26" s="1092"/>
      <c r="L26" s="1071" t="s">
        <v>1301</v>
      </c>
      <c r="M26" s="1071" t="s">
        <v>1302</v>
      </c>
      <c r="N26" s="1071" t="s">
        <v>1303</v>
      </c>
      <c r="O26" s="1071" t="s">
        <v>1304</v>
      </c>
      <c r="P26" s="1071" t="s">
        <v>1305</v>
      </c>
      <c r="Q26" s="1071" t="s">
        <v>1306</v>
      </c>
      <c r="R26" s="1071" t="s">
        <v>1307</v>
      </c>
    </row>
    <row r="27" spans="1:19" ht="14.25" customHeight="1" thickBot="1">
      <c r="A27" s="1077" t="s">
        <v>1150</v>
      </c>
      <c r="B27" s="1085" t="s">
        <v>1242</v>
      </c>
      <c r="C27" s="1071"/>
      <c r="D27" s="1071">
        <v>22850</v>
      </c>
      <c r="E27" s="1071">
        <v>21920</v>
      </c>
      <c r="F27" s="1092"/>
      <c r="L27" s="1071" t="s">
        <v>1308</v>
      </c>
      <c r="M27" s="1071" t="s">
        <v>1309</v>
      </c>
      <c r="N27" s="1071" t="s">
        <v>1310</v>
      </c>
      <c r="O27" s="1071" t="s">
        <v>1311</v>
      </c>
      <c r="P27" s="1071" t="s">
        <v>1312</v>
      </c>
      <c r="Q27" s="1071" t="s">
        <v>1313</v>
      </c>
      <c r="R27" s="1071" t="s">
        <v>1314</v>
      </c>
    </row>
    <row r="28" spans="1:19" ht="14.25" customHeight="1" thickBot="1">
      <c r="A28" s="1094" t="s">
        <v>1150</v>
      </c>
      <c r="B28" s="1086" t="s">
        <v>1252</v>
      </c>
      <c r="C28" s="1087"/>
      <c r="D28" s="1087">
        <v>26610</v>
      </c>
      <c r="E28" s="1087">
        <v>26370</v>
      </c>
      <c r="F28" s="1088"/>
      <c r="L28" s="1071" t="s">
        <v>1315</v>
      </c>
      <c r="M28" s="1071" t="s">
        <v>1316</v>
      </c>
      <c r="N28" s="1071" t="s">
        <v>1317</v>
      </c>
      <c r="O28" s="1071" t="s">
        <v>1318</v>
      </c>
      <c r="P28" s="1071" t="s">
        <v>1319</v>
      </c>
      <c r="Q28" s="1071" t="s">
        <v>1320</v>
      </c>
    </row>
    <row r="29" spans="1:19" ht="14.25" customHeight="1" thickBot="1">
      <c r="A29" s="1077" t="s">
        <v>1321</v>
      </c>
      <c r="B29" s="1078" t="s">
        <v>1322</v>
      </c>
      <c r="C29" s="1078">
        <v>22090</v>
      </c>
      <c r="D29" s="1078">
        <v>21860</v>
      </c>
      <c r="E29" s="1078">
        <v>19380</v>
      </c>
      <c r="F29" s="1079">
        <v>6610</v>
      </c>
      <c r="M29" s="1071" t="s">
        <v>1323</v>
      </c>
      <c r="N29" s="1071" t="s">
        <v>1324</v>
      </c>
      <c r="O29" s="1071" t="s">
        <v>1325</v>
      </c>
      <c r="P29" s="1071" t="s">
        <v>1326</v>
      </c>
      <c r="Q29" s="1071" t="s">
        <v>1327</v>
      </c>
    </row>
    <row r="30" spans="1:19" ht="14.25" customHeight="1" thickBot="1">
      <c r="A30" s="1077" t="s">
        <v>1321</v>
      </c>
      <c r="B30" s="1085" t="s">
        <v>1067</v>
      </c>
      <c r="C30" s="1071">
        <v>21380</v>
      </c>
      <c r="D30" s="1071">
        <v>19930</v>
      </c>
      <c r="E30" s="1071">
        <v>19860</v>
      </c>
      <c r="F30" s="1089">
        <v>6010</v>
      </c>
      <c r="H30" s="1093"/>
      <c r="M30" s="1071" t="s">
        <v>1328</v>
      </c>
      <c r="N30" s="1071" t="s">
        <v>1329</v>
      </c>
      <c r="O30" s="1071" t="s">
        <v>1330</v>
      </c>
      <c r="P30" s="1071" t="s">
        <v>2417</v>
      </c>
      <c r="Q30" s="1071" t="s">
        <v>1331</v>
      </c>
    </row>
    <row r="31" spans="1:19" ht="14.25" customHeight="1" thickBot="1">
      <c r="A31" s="1077" t="s">
        <v>1321</v>
      </c>
      <c r="B31" s="1085" t="s">
        <v>1081</v>
      </c>
      <c r="C31" s="1071">
        <v>21670</v>
      </c>
      <c r="D31" s="1071">
        <v>20660</v>
      </c>
      <c r="E31" s="1071">
        <v>20290</v>
      </c>
      <c r="F31" s="1089">
        <v>5840</v>
      </c>
      <c r="H31" s="1093"/>
      <c r="M31" s="1071" t="s">
        <v>1332</v>
      </c>
      <c r="N31" s="1071" t="s">
        <v>1333</v>
      </c>
      <c r="O31" s="1071" t="s">
        <v>1334</v>
      </c>
      <c r="P31" s="1071" t="s">
        <v>1335</v>
      </c>
      <c r="Q31" s="1071" t="s">
        <v>1336</v>
      </c>
    </row>
    <row r="32" spans="1:19" ht="14.25" customHeight="1" thickBot="1">
      <c r="A32" s="1077" t="s">
        <v>1321</v>
      </c>
      <c r="B32" s="1085" t="s">
        <v>1094</v>
      </c>
      <c r="C32" s="1071">
        <v>22280</v>
      </c>
      <c r="D32" s="1071">
        <v>21800</v>
      </c>
      <c r="E32" s="1071">
        <v>17650</v>
      </c>
      <c r="F32" s="1089">
        <v>4690</v>
      </c>
      <c r="H32" s="1093"/>
      <c r="M32" s="1071" t="s">
        <v>1337</v>
      </c>
      <c r="N32" s="1071" t="s">
        <v>1338</v>
      </c>
      <c r="O32" s="1071" t="s">
        <v>1339</v>
      </c>
      <c r="P32" s="1071" t="s">
        <v>1340</v>
      </c>
      <c r="Q32" s="1071" t="s">
        <v>1341</v>
      </c>
    </row>
    <row r="33" spans="1:17" ht="14.25" customHeight="1" thickBot="1">
      <c r="A33" s="1077" t="s">
        <v>1321</v>
      </c>
      <c r="B33" s="1085" t="s">
        <v>1108</v>
      </c>
      <c r="C33" s="1071">
        <v>22130</v>
      </c>
      <c r="D33" s="1071">
        <v>20460</v>
      </c>
      <c r="E33" s="1071">
        <v>18500</v>
      </c>
      <c r="F33" s="1089">
        <v>5340</v>
      </c>
      <c r="H33" s="1093"/>
      <c r="M33" s="1071" t="s">
        <v>1342</v>
      </c>
      <c r="N33" s="1071" t="s">
        <v>1343</v>
      </c>
      <c r="O33" s="1071" t="s">
        <v>1344</v>
      </c>
      <c r="P33" s="1071" t="s">
        <v>1345</v>
      </c>
      <c r="Q33" s="1071" t="s">
        <v>1346</v>
      </c>
    </row>
    <row r="34" spans="1:17" ht="14.25" customHeight="1" thickBot="1">
      <c r="A34" s="1077" t="s">
        <v>1321</v>
      </c>
      <c r="B34" s="1085" t="s">
        <v>1119</v>
      </c>
      <c r="C34" s="1071">
        <v>22070</v>
      </c>
      <c r="D34" s="1071">
        <v>20110</v>
      </c>
      <c r="E34" s="1071">
        <v>18830</v>
      </c>
      <c r="F34" s="1089">
        <v>5190</v>
      </c>
      <c r="H34" s="1093"/>
      <c r="M34" s="1071" t="s">
        <v>1347</v>
      </c>
      <c r="N34" s="1071" t="s">
        <v>1348</v>
      </c>
      <c r="O34" s="1071" t="s">
        <v>1349</v>
      </c>
      <c r="P34" s="1071" t="s">
        <v>1350</v>
      </c>
      <c r="Q34" s="1071" t="s">
        <v>1351</v>
      </c>
    </row>
    <row r="35" spans="1:17" ht="14.25" customHeight="1" thickBot="1">
      <c r="A35" s="1077" t="s">
        <v>1321</v>
      </c>
      <c r="B35" s="1085" t="s">
        <v>1130</v>
      </c>
      <c r="C35" s="1071">
        <v>22240</v>
      </c>
      <c r="D35" s="1071">
        <v>19550</v>
      </c>
      <c r="E35" s="1071">
        <v>19220</v>
      </c>
      <c r="F35" s="1089">
        <v>5800</v>
      </c>
      <c r="H35" s="1093"/>
      <c r="M35" s="1071" t="s">
        <v>1352</v>
      </c>
      <c r="N35" s="1071" t="s">
        <v>1353</v>
      </c>
      <c r="O35" s="1071" t="s">
        <v>1354</v>
      </c>
      <c r="P35" s="1071" t="s">
        <v>1355</v>
      </c>
      <c r="Q35" s="1071" t="s">
        <v>1356</v>
      </c>
    </row>
    <row r="36" spans="1:17" ht="14.25" customHeight="1" thickBot="1">
      <c r="A36" s="1077" t="s">
        <v>1321</v>
      </c>
      <c r="B36" s="1085" t="s">
        <v>1141</v>
      </c>
      <c r="C36" s="1071">
        <v>19750</v>
      </c>
      <c r="D36" s="1071">
        <v>19790</v>
      </c>
      <c r="E36" s="1071">
        <v>18510</v>
      </c>
      <c r="F36" s="1089">
        <v>6520</v>
      </c>
      <c r="H36" s="1093"/>
      <c r="N36" s="1071" t="s">
        <v>1357</v>
      </c>
      <c r="O36" s="1071" t="s">
        <v>1358</v>
      </c>
      <c r="P36" s="1071" t="s">
        <v>1359</v>
      </c>
      <c r="Q36" s="1071" t="s">
        <v>1360</v>
      </c>
    </row>
    <row r="37" spans="1:17" ht="14.25" customHeight="1" thickBot="1">
      <c r="A37" s="1077" t="s">
        <v>1321</v>
      </c>
      <c r="B37" s="1085" t="s">
        <v>1153</v>
      </c>
      <c r="C37" s="1071">
        <v>22380</v>
      </c>
      <c r="D37" s="1071">
        <v>18530</v>
      </c>
      <c r="E37" s="1071">
        <v>17930</v>
      </c>
      <c r="F37" s="1089">
        <v>6270</v>
      </c>
      <c r="H37" s="1095"/>
      <c r="N37" s="1071" t="s">
        <v>1361</v>
      </c>
      <c r="O37" s="1071" t="s">
        <v>1362</v>
      </c>
      <c r="P37" s="1071" t="s">
        <v>1363</v>
      </c>
      <c r="Q37" s="1071" t="s">
        <v>1364</v>
      </c>
    </row>
    <row r="38" spans="1:17" ht="14.25" customHeight="1" thickBot="1">
      <c r="A38" s="1077" t="s">
        <v>1321</v>
      </c>
      <c r="B38" s="1085" t="s">
        <v>1163</v>
      </c>
      <c r="C38" s="1071">
        <v>20200</v>
      </c>
      <c r="D38" s="1071">
        <v>20070</v>
      </c>
      <c r="E38" s="1071">
        <v>19950</v>
      </c>
      <c r="F38" s="1089"/>
      <c r="H38" s="1096"/>
      <c r="N38" s="1071" t="s">
        <v>1365</v>
      </c>
      <c r="O38" s="1071" t="s">
        <v>1366</v>
      </c>
      <c r="P38" s="1071" t="s">
        <v>1367</v>
      </c>
      <c r="Q38" s="1071" t="s">
        <v>1368</v>
      </c>
    </row>
    <row r="39" spans="1:17" ht="14.25" customHeight="1" thickBot="1">
      <c r="A39" s="1077" t="s">
        <v>1321</v>
      </c>
      <c r="B39" s="1085" t="s">
        <v>1173</v>
      </c>
      <c r="C39" s="1071">
        <v>19300</v>
      </c>
      <c r="D39" s="1071">
        <v>20360</v>
      </c>
      <c r="E39" s="1071">
        <v>20230</v>
      </c>
      <c r="F39" s="1089"/>
      <c r="H39" s="1096"/>
      <c r="N39" s="1071" t="s">
        <v>1369</v>
      </c>
      <c r="O39" s="1071" t="s">
        <v>1370</v>
      </c>
      <c r="P39" s="1071" t="s">
        <v>1371</v>
      </c>
      <c r="Q39" s="1071" t="s">
        <v>1372</v>
      </c>
    </row>
    <row r="40" spans="1:17" ht="14.25" customHeight="1" thickBot="1">
      <c r="A40" s="1077" t="s">
        <v>1321</v>
      </c>
      <c r="B40" s="1085" t="s">
        <v>1183</v>
      </c>
      <c r="C40" s="1071">
        <v>20210</v>
      </c>
      <c r="D40" s="1071">
        <v>19060</v>
      </c>
      <c r="E40" s="1071">
        <v>18890</v>
      </c>
      <c r="F40" s="1089"/>
      <c r="H40" s="1096"/>
      <c r="N40" s="1071" t="s">
        <v>1373</v>
      </c>
      <c r="O40" s="1071" t="s">
        <v>1374</v>
      </c>
      <c r="P40" s="1071" t="s">
        <v>1375</v>
      </c>
      <c r="Q40" s="1071" t="s">
        <v>1376</v>
      </c>
    </row>
    <row r="41" spans="1:17" ht="14.25" customHeight="1" thickBot="1">
      <c r="A41" s="1077" t="s">
        <v>1321</v>
      </c>
      <c r="B41" s="1085" t="s">
        <v>1193</v>
      </c>
      <c r="C41" s="1071">
        <v>20560</v>
      </c>
      <c r="D41" s="1071">
        <v>21040</v>
      </c>
      <c r="E41" s="1071">
        <v>20740</v>
      </c>
      <c r="F41" s="1089"/>
      <c r="H41" s="1096"/>
      <c r="N41" s="1085" t="s">
        <v>1377</v>
      </c>
      <c r="O41" s="1085" t="s">
        <v>1378</v>
      </c>
      <c r="Q41" s="1085" t="s">
        <v>1379</v>
      </c>
    </row>
    <row r="42" spans="1:17" ht="14.25" customHeight="1" thickBot="1">
      <c r="A42" s="1077" t="s">
        <v>1321</v>
      </c>
      <c r="B42" s="1085" t="s">
        <v>1203</v>
      </c>
      <c r="C42" s="1071">
        <v>19280</v>
      </c>
      <c r="D42" s="1071">
        <v>22940</v>
      </c>
      <c r="E42" s="1071">
        <v>22500</v>
      </c>
      <c r="F42" s="1089"/>
      <c r="H42" s="1096"/>
      <c r="N42" s="1071" t="s">
        <v>1380</v>
      </c>
      <c r="O42" s="1071" t="s">
        <v>1381</v>
      </c>
      <c r="Q42" s="1071" t="s">
        <v>1382</v>
      </c>
    </row>
    <row r="43" spans="1:17" ht="14.25" customHeight="1" thickBot="1">
      <c r="A43" s="1077" t="s">
        <v>1321</v>
      </c>
      <c r="B43" s="1085" t="s">
        <v>1213</v>
      </c>
      <c r="C43" s="1071">
        <v>21520</v>
      </c>
      <c r="D43" s="1071">
        <v>19230</v>
      </c>
      <c r="E43" s="1071">
        <v>18540</v>
      </c>
      <c r="F43" s="1089"/>
      <c r="H43" s="1096"/>
      <c r="N43" s="1071" t="s">
        <v>1383</v>
      </c>
      <c r="O43" s="1071" t="s">
        <v>1384</v>
      </c>
      <c r="Q43" s="1071" t="s">
        <v>1385</v>
      </c>
    </row>
    <row r="44" spans="1:17" ht="14.25" customHeight="1" thickBot="1">
      <c r="A44" s="1077" t="s">
        <v>1321</v>
      </c>
      <c r="B44" s="1085" t="s">
        <v>1223</v>
      </c>
      <c r="C44" s="1071">
        <v>23260</v>
      </c>
      <c r="D44" s="1071">
        <v>21180</v>
      </c>
      <c r="E44" s="1071">
        <v>20730</v>
      </c>
      <c r="F44" s="1089"/>
      <c r="H44" s="1096"/>
      <c r="N44" s="1071" t="s">
        <v>1386</v>
      </c>
      <c r="O44" s="1071" t="s">
        <v>1387</v>
      </c>
      <c r="Q44" s="1071" t="s">
        <v>1388</v>
      </c>
    </row>
    <row r="45" spans="1:17" ht="14.25" customHeight="1" thickBot="1">
      <c r="A45" s="1077" t="s">
        <v>1321</v>
      </c>
      <c r="B45" s="1085" t="s">
        <v>1233</v>
      </c>
      <c r="C45" s="1071">
        <v>19610</v>
      </c>
      <c r="D45" s="1071">
        <v>18090</v>
      </c>
      <c r="E45" s="1071">
        <v>17970</v>
      </c>
      <c r="F45" s="1089"/>
      <c r="H45" s="1093"/>
      <c r="N45" s="1071" t="s">
        <v>1389</v>
      </c>
      <c r="O45" s="1071" t="s">
        <v>1390</v>
      </c>
      <c r="Q45" s="1071" t="s">
        <v>1391</v>
      </c>
    </row>
    <row r="46" spans="1:17" ht="14.25" customHeight="1" thickBot="1">
      <c r="A46" s="1077" t="s">
        <v>1321</v>
      </c>
      <c r="B46" s="1085" t="s">
        <v>1243</v>
      </c>
      <c r="C46" s="1071">
        <v>21660</v>
      </c>
      <c r="D46" s="1071">
        <v>19190</v>
      </c>
      <c r="E46" s="1071">
        <v>19790</v>
      </c>
      <c r="F46" s="1089"/>
      <c r="H46" s="1096"/>
      <c r="N46" s="1071" t="s">
        <v>1392</v>
      </c>
      <c r="O46" s="1071" t="s">
        <v>1393</v>
      </c>
      <c r="Q46" s="1071" t="s">
        <v>1394</v>
      </c>
    </row>
    <row r="47" spans="1:17" ht="14.25" customHeight="1" thickBot="1">
      <c r="A47" s="1077" t="s">
        <v>1321</v>
      </c>
      <c r="B47" s="1085" t="s">
        <v>1253</v>
      </c>
      <c r="C47" s="1071">
        <v>18220</v>
      </c>
      <c r="D47" s="1071"/>
      <c r="E47" s="1071">
        <v>17220</v>
      </c>
      <c r="F47" s="1089"/>
      <c r="H47" s="1096"/>
      <c r="N47" s="1071" t="s">
        <v>1395</v>
      </c>
      <c r="O47" s="1071" t="s">
        <v>1396</v>
      </c>
    </row>
    <row r="48" spans="1:17" ht="14.25" customHeight="1" thickBot="1">
      <c r="A48" s="1077" t="s">
        <v>1321</v>
      </c>
      <c r="B48" s="1086" t="s">
        <v>1262</v>
      </c>
      <c r="C48" s="1087">
        <v>19430</v>
      </c>
      <c r="D48" s="1087"/>
      <c r="E48" s="1087">
        <v>17830</v>
      </c>
      <c r="F48" s="1097"/>
      <c r="H48" s="1093"/>
      <c r="N48" s="1071" t="s">
        <v>1397</v>
      </c>
      <c r="O48" s="1071" t="s">
        <v>1398</v>
      </c>
    </row>
    <row r="49" spans="1:15" ht="14.25" customHeight="1" thickBot="1">
      <c r="A49" s="1077" t="s">
        <v>919</v>
      </c>
      <c r="B49" s="1078" t="s">
        <v>1399</v>
      </c>
      <c r="C49" s="1078">
        <v>17090</v>
      </c>
      <c r="D49" s="1078">
        <v>16950</v>
      </c>
      <c r="E49" s="1078">
        <v>16310</v>
      </c>
      <c r="F49" s="1079">
        <v>4540</v>
      </c>
      <c r="H49" s="1096"/>
      <c r="N49" s="1071" t="s">
        <v>1400</v>
      </c>
      <c r="O49" s="1071" t="s">
        <v>1401</v>
      </c>
    </row>
    <row r="50" spans="1:15" ht="14.25" customHeight="1" thickBot="1">
      <c r="A50" s="1077" t="s">
        <v>919</v>
      </c>
      <c r="B50" s="1071" t="s">
        <v>1068</v>
      </c>
      <c r="C50" s="1071">
        <v>19040</v>
      </c>
      <c r="D50" s="1071">
        <v>16960</v>
      </c>
      <c r="E50" s="1071">
        <v>14800</v>
      </c>
      <c r="F50" s="1089">
        <v>3940</v>
      </c>
      <c r="H50" s="1096"/>
    </row>
    <row r="51" spans="1:15" ht="14.25" customHeight="1" thickBot="1">
      <c r="A51" s="1077" t="s">
        <v>919</v>
      </c>
      <c r="B51" s="1071" t="s">
        <v>1082</v>
      </c>
      <c r="C51" s="1071">
        <v>17040</v>
      </c>
      <c r="D51" s="1071">
        <v>16930</v>
      </c>
      <c r="E51" s="1071">
        <v>15030</v>
      </c>
      <c r="F51" s="1089">
        <v>4120</v>
      </c>
      <c r="H51" s="1096"/>
    </row>
    <row r="52" spans="1:15" ht="14.25" customHeight="1" thickBot="1">
      <c r="A52" s="1077" t="s">
        <v>919</v>
      </c>
      <c r="B52" s="1071" t="s">
        <v>1095</v>
      </c>
      <c r="C52" s="1071">
        <v>17110</v>
      </c>
      <c r="D52" s="1071">
        <v>17750</v>
      </c>
      <c r="E52" s="1071">
        <v>17310</v>
      </c>
      <c r="F52" s="1089">
        <v>3220</v>
      </c>
      <c r="H52" s="1096"/>
    </row>
    <row r="53" spans="1:15" ht="14.25" customHeight="1" thickBot="1">
      <c r="A53" s="1077" t="s">
        <v>919</v>
      </c>
      <c r="B53" s="1071" t="s">
        <v>1109</v>
      </c>
      <c r="C53" s="1071">
        <v>17810</v>
      </c>
      <c r="D53" s="1071">
        <v>17260</v>
      </c>
      <c r="E53" s="1071">
        <v>17090</v>
      </c>
      <c r="F53" s="1089">
        <v>3520</v>
      </c>
      <c r="H53" s="1096"/>
    </row>
    <row r="54" spans="1:15" ht="14.25" customHeight="1" thickBot="1">
      <c r="A54" s="1077" t="s">
        <v>919</v>
      </c>
      <c r="B54" s="1071" t="s">
        <v>1120</v>
      </c>
      <c r="C54" s="1071">
        <v>17410</v>
      </c>
      <c r="D54" s="1071">
        <v>16780</v>
      </c>
      <c r="E54" s="1071">
        <v>16370</v>
      </c>
      <c r="F54" s="1089">
        <v>3410</v>
      </c>
      <c r="H54" s="1096"/>
    </row>
    <row r="55" spans="1:15" ht="14.25" customHeight="1" thickBot="1">
      <c r="A55" s="1077" t="s">
        <v>919</v>
      </c>
      <c r="B55" s="1071" t="s">
        <v>1131</v>
      </c>
      <c r="C55" s="1071">
        <v>16930</v>
      </c>
      <c r="D55" s="1071">
        <v>14720</v>
      </c>
      <c r="E55" s="1071">
        <v>15000</v>
      </c>
      <c r="F55" s="1089">
        <v>3710</v>
      </c>
      <c r="H55" s="1096"/>
    </row>
    <row r="56" spans="1:15" ht="14.25" customHeight="1" thickBot="1">
      <c r="A56" s="1077" t="s">
        <v>919</v>
      </c>
      <c r="B56" s="1071" t="s">
        <v>1142</v>
      </c>
      <c r="C56" s="1071">
        <v>14930</v>
      </c>
      <c r="D56" s="1071">
        <v>15850</v>
      </c>
      <c r="E56" s="1071">
        <v>14320</v>
      </c>
      <c r="F56" s="1089">
        <v>3960</v>
      </c>
      <c r="H56" s="1096"/>
    </row>
    <row r="57" spans="1:15" ht="14.25" customHeight="1" thickBot="1">
      <c r="A57" s="1077" t="s">
        <v>919</v>
      </c>
      <c r="B57" s="1071" t="s">
        <v>1154</v>
      </c>
      <c r="C57" s="1071">
        <v>16160</v>
      </c>
      <c r="D57" s="1071">
        <v>16190</v>
      </c>
      <c r="E57" s="1071">
        <v>15650</v>
      </c>
      <c r="F57" s="1089">
        <v>4200</v>
      </c>
      <c r="H57" s="1096"/>
    </row>
    <row r="58" spans="1:15" ht="14.25" customHeight="1" thickBot="1">
      <c r="A58" s="1077" t="s">
        <v>919</v>
      </c>
      <c r="B58" s="1071" t="s">
        <v>1164</v>
      </c>
      <c r="C58" s="1071">
        <v>16360</v>
      </c>
      <c r="D58" s="1071">
        <v>14050</v>
      </c>
      <c r="E58" s="1071">
        <v>16070</v>
      </c>
      <c r="F58" s="1089">
        <v>3990</v>
      </c>
      <c r="H58" s="1096"/>
    </row>
    <row r="59" spans="1:15" ht="14.25" customHeight="1" thickBot="1">
      <c r="A59" s="1077" t="s">
        <v>919</v>
      </c>
      <c r="B59" s="1071" t="s">
        <v>1174</v>
      </c>
      <c r="C59" s="1071">
        <v>14160</v>
      </c>
      <c r="D59" s="1071">
        <v>16620</v>
      </c>
      <c r="E59" s="1071">
        <v>13940</v>
      </c>
      <c r="F59" s="1089">
        <v>4260</v>
      </c>
      <c r="H59" s="1096"/>
    </row>
    <row r="60" spans="1:15" ht="14.25" customHeight="1" thickBot="1">
      <c r="A60" s="1077" t="s">
        <v>919</v>
      </c>
      <c r="B60" s="1071" t="s">
        <v>1184</v>
      </c>
      <c r="C60" s="1071">
        <v>16750</v>
      </c>
      <c r="D60" s="1071">
        <v>13910</v>
      </c>
      <c r="E60" s="1071">
        <v>16550</v>
      </c>
      <c r="F60" s="1089">
        <v>4550</v>
      </c>
      <c r="H60" s="1096"/>
    </row>
    <row r="61" spans="1:15" ht="14.25" customHeight="1" thickBot="1">
      <c r="A61" s="1077" t="s">
        <v>919</v>
      </c>
      <c r="B61" s="1071" t="s">
        <v>1194</v>
      </c>
      <c r="C61" s="1071">
        <v>14000</v>
      </c>
      <c r="D61" s="1071">
        <v>14550</v>
      </c>
      <c r="E61" s="1071">
        <v>13860</v>
      </c>
      <c r="F61" s="1098"/>
      <c r="H61" s="1096"/>
    </row>
    <row r="62" spans="1:15" ht="14.25" customHeight="1" thickBot="1">
      <c r="A62" s="1077" t="s">
        <v>919</v>
      </c>
      <c r="B62" s="1071" t="s">
        <v>1204</v>
      </c>
      <c r="C62" s="1071">
        <v>14660</v>
      </c>
      <c r="D62" s="1071">
        <v>17450</v>
      </c>
      <c r="E62" s="1071">
        <v>14470</v>
      </c>
      <c r="F62" s="1098"/>
      <c r="H62" s="1096"/>
    </row>
    <row r="63" spans="1:15" ht="14.25" customHeight="1" thickBot="1">
      <c r="A63" s="1077" t="s">
        <v>919</v>
      </c>
      <c r="B63" s="1071" t="s">
        <v>1214</v>
      </c>
      <c r="C63" s="1071">
        <v>17610</v>
      </c>
      <c r="D63" s="1071">
        <v>16500</v>
      </c>
      <c r="E63" s="1071">
        <v>17330</v>
      </c>
      <c r="F63" s="1098"/>
      <c r="H63" s="1096"/>
    </row>
    <row r="64" spans="1:15" ht="14.25" customHeight="1" thickBot="1">
      <c r="A64" s="1077" t="s">
        <v>919</v>
      </c>
      <c r="B64" s="1071" t="s">
        <v>1224</v>
      </c>
      <c r="C64" s="1071">
        <v>16590</v>
      </c>
      <c r="D64" s="1071">
        <v>15130</v>
      </c>
      <c r="E64" s="1071">
        <v>16420</v>
      </c>
      <c r="F64" s="1098"/>
      <c r="H64" s="1096"/>
    </row>
    <row r="65" spans="1:8" s="1065" customFormat="1" ht="14.25" customHeight="1" thickBot="1">
      <c r="A65" s="1077" t="s">
        <v>919</v>
      </c>
      <c r="B65" s="1071" t="s">
        <v>1234</v>
      </c>
      <c r="C65" s="1071">
        <v>15220</v>
      </c>
      <c r="D65" s="1071">
        <v>14660</v>
      </c>
      <c r="E65" s="1071">
        <v>15060</v>
      </c>
      <c r="F65" s="1089"/>
      <c r="H65" s="1096"/>
    </row>
    <row r="66" spans="1:8" s="1065" customFormat="1" ht="14.25" customHeight="1" thickBot="1">
      <c r="A66" s="1077" t="s">
        <v>919</v>
      </c>
      <c r="B66" s="1071" t="s">
        <v>1244</v>
      </c>
      <c r="C66" s="1071">
        <v>14720</v>
      </c>
      <c r="D66" s="1071">
        <v>15970</v>
      </c>
      <c r="E66" s="1071">
        <v>14610</v>
      </c>
      <c r="F66" s="1089"/>
      <c r="H66" s="1096"/>
    </row>
    <row r="67" spans="1:8" s="1065" customFormat="1" ht="14.25" customHeight="1" thickBot="1">
      <c r="A67" s="1077" t="s">
        <v>919</v>
      </c>
      <c r="B67" s="1071" t="s">
        <v>1254</v>
      </c>
      <c r="C67" s="1071">
        <v>16080</v>
      </c>
      <c r="D67" s="1071">
        <v>14840</v>
      </c>
      <c r="E67" s="1071">
        <v>15630</v>
      </c>
      <c r="F67" s="1089"/>
      <c r="H67" s="1096"/>
    </row>
    <row r="68" spans="1:8" s="1065" customFormat="1" ht="14.25" customHeight="1" thickBot="1">
      <c r="A68" s="1077" t="s">
        <v>919</v>
      </c>
      <c r="B68" s="1071" t="s">
        <v>1263</v>
      </c>
      <c r="C68" s="1071">
        <v>14940</v>
      </c>
      <c r="D68" s="1071">
        <v>18000</v>
      </c>
      <c r="E68" s="1071">
        <v>14040</v>
      </c>
      <c r="F68" s="1089"/>
      <c r="H68" s="1096"/>
    </row>
    <row r="69" spans="1:8" s="1065" customFormat="1" ht="14.25" customHeight="1" thickBot="1">
      <c r="A69" s="1077" t="s">
        <v>919</v>
      </c>
      <c r="B69" s="1071" t="s">
        <v>1272</v>
      </c>
      <c r="C69" s="1071">
        <v>18810</v>
      </c>
      <c r="D69" s="1071">
        <v>15100</v>
      </c>
      <c r="E69" s="1071">
        <v>14710</v>
      </c>
      <c r="F69" s="1089"/>
      <c r="H69" s="1096"/>
    </row>
    <row r="70" spans="1:8" s="1065" customFormat="1" ht="14.25" customHeight="1" thickBot="1">
      <c r="A70" s="1077" t="s">
        <v>919</v>
      </c>
      <c r="B70" s="1071" t="s">
        <v>1280</v>
      </c>
      <c r="C70" s="1071">
        <v>18270</v>
      </c>
      <c r="D70" s="1071"/>
      <c r="E70" s="1071"/>
      <c r="F70" s="1089"/>
      <c r="H70" s="1096"/>
    </row>
    <row r="71" spans="1:8" s="1065" customFormat="1" ht="14.25" customHeight="1" thickBot="1">
      <c r="A71" s="1077" t="s">
        <v>919</v>
      </c>
      <c r="B71" s="1071" t="s">
        <v>1287</v>
      </c>
      <c r="C71" s="1071">
        <v>15230</v>
      </c>
      <c r="D71" s="1071"/>
      <c r="E71" s="1071"/>
      <c r="F71" s="1089"/>
      <c r="H71" s="1096"/>
    </row>
    <row r="72" spans="1:8" s="1065" customFormat="1" ht="14.25" customHeight="1" thickBot="1">
      <c r="A72" s="1077" t="s">
        <v>919</v>
      </c>
      <c r="B72" s="1071" t="s">
        <v>1294</v>
      </c>
      <c r="C72" s="1071"/>
      <c r="D72" s="1071"/>
      <c r="E72" s="1071"/>
      <c r="F72" s="1089">
        <v>4120</v>
      </c>
      <c r="H72" s="1096"/>
    </row>
    <row r="73" spans="1:8" s="1065" customFormat="1" ht="14.25" customHeight="1" thickBot="1">
      <c r="A73" s="1077" t="s">
        <v>919</v>
      </c>
      <c r="B73" s="1071" t="s">
        <v>1301</v>
      </c>
      <c r="C73" s="1071"/>
      <c r="D73" s="1071"/>
      <c r="E73" s="1071"/>
      <c r="F73" s="1089">
        <v>3930</v>
      </c>
      <c r="H73" s="1096"/>
    </row>
    <row r="74" spans="1:8" s="1065" customFormat="1" ht="14.25" customHeight="1" thickBot="1">
      <c r="A74" s="1077" t="s">
        <v>919</v>
      </c>
      <c r="B74" s="1071" t="s">
        <v>1308</v>
      </c>
      <c r="C74" s="1071"/>
      <c r="D74" s="1071"/>
      <c r="E74" s="1071"/>
      <c r="F74" s="1089">
        <v>4060</v>
      </c>
      <c r="H74" s="1096"/>
    </row>
    <row r="75" spans="1:8" s="1065" customFormat="1" ht="14.25" customHeight="1" thickBot="1">
      <c r="A75" s="1077" t="s">
        <v>919</v>
      </c>
      <c r="B75" s="1087" t="s">
        <v>1315</v>
      </c>
      <c r="C75" s="1087"/>
      <c r="D75" s="1087"/>
      <c r="E75" s="1087"/>
      <c r="F75" s="1097">
        <v>3750</v>
      </c>
      <c r="H75" s="1096"/>
    </row>
    <row r="76" spans="1:8" s="1065" customFormat="1" ht="14.25" customHeight="1" thickBot="1">
      <c r="A76" s="1077" t="s">
        <v>1402</v>
      </c>
      <c r="B76" s="1078" t="s">
        <v>1403</v>
      </c>
      <c r="C76" s="1078">
        <v>14690</v>
      </c>
      <c r="D76" s="1078">
        <v>14640</v>
      </c>
      <c r="E76" s="1078">
        <v>14590</v>
      </c>
      <c r="F76" s="1079">
        <v>3060</v>
      </c>
      <c r="H76" s="1096"/>
    </row>
    <row r="77" spans="1:8" s="1065" customFormat="1" ht="14.25" customHeight="1" thickBot="1">
      <c r="A77" s="1077" t="s">
        <v>1402</v>
      </c>
      <c r="B77" s="1071" t="s">
        <v>1069</v>
      </c>
      <c r="C77" s="1071">
        <v>12550</v>
      </c>
      <c r="D77" s="1071">
        <v>12480</v>
      </c>
      <c r="E77" s="1071">
        <v>12450</v>
      </c>
      <c r="F77" s="1089">
        <v>2590</v>
      </c>
      <c r="H77" s="1096"/>
    </row>
    <row r="78" spans="1:8" s="1065" customFormat="1" ht="14.25" customHeight="1" thickBot="1">
      <c r="A78" s="1077" t="s">
        <v>1402</v>
      </c>
      <c r="B78" s="1071" t="s">
        <v>1083</v>
      </c>
      <c r="C78" s="1071">
        <v>14360</v>
      </c>
      <c r="D78" s="1071">
        <v>14320</v>
      </c>
      <c r="E78" s="1071">
        <v>12510</v>
      </c>
      <c r="F78" s="1089">
        <v>2700</v>
      </c>
      <c r="H78" s="1096"/>
    </row>
    <row r="79" spans="1:8" s="1065" customFormat="1" ht="14.25" customHeight="1" thickBot="1">
      <c r="A79" s="1077" t="s">
        <v>1402</v>
      </c>
      <c r="B79" s="1071" t="s">
        <v>1096</v>
      </c>
      <c r="C79" s="1071">
        <v>12590</v>
      </c>
      <c r="D79" s="1071">
        <v>12540</v>
      </c>
      <c r="E79" s="1071">
        <v>12350</v>
      </c>
      <c r="F79" s="1089">
        <v>2740</v>
      </c>
      <c r="H79" s="1096"/>
    </row>
    <row r="80" spans="1:8" s="1065" customFormat="1" ht="14.25" customHeight="1" thickBot="1">
      <c r="A80" s="1077" t="s">
        <v>1402</v>
      </c>
      <c r="B80" s="1071" t="s">
        <v>1110</v>
      </c>
      <c r="C80" s="1071">
        <v>12450</v>
      </c>
      <c r="D80" s="1071">
        <v>12370</v>
      </c>
      <c r="E80" s="1071">
        <v>10790</v>
      </c>
      <c r="F80" s="1089">
        <v>2290</v>
      </c>
      <c r="H80" s="1096"/>
    </row>
    <row r="81" spans="1:8" s="1065" customFormat="1" ht="14.25" customHeight="1" thickBot="1">
      <c r="A81" s="1077" t="s">
        <v>1402</v>
      </c>
      <c r="B81" s="1071" t="s">
        <v>1121</v>
      </c>
      <c r="C81" s="1071">
        <v>14210</v>
      </c>
      <c r="D81" s="1071">
        <v>14150</v>
      </c>
      <c r="E81" s="1071">
        <v>12730</v>
      </c>
      <c r="F81" s="1089">
        <v>2240</v>
      </c>
      <c r="H81" s="1096"/>
    </row>
    <row r="82" spans="1:8" s="1065" customFormat="1" ht="14.25" customHeight="1" thickBot="1">
      <c r="A82" s="1077" t="s">
        <v>1402</v>
      </c>
      <c r="B82" s="1071" t="s">
        <v>1132</v>
      </c>
      <c r="C82" s="1071">
        <v>10860</v>
      </c>
      <c r="D82" s="1071">
        <v>10820</v>
      </c>
      <c r="E82" s="1071">
        <v>14720</v>
      </c>
      <c r="F82" s="1089">
        <v>2490</v>
      </c>
      <c r="H82" s="1096"/>
    </row>
    <row r="83" spans="1:8" s="1065" customFormat="1" ht="14.25" customHeight="1" thickBot="1">
      <c r="A83" s="1077" t="s">
        <v>1402</v>
      </c>
      <c r="B83" s="1071" t="s">
        <v>1143</v>
      </c>
      <c r="C83" s="1071">
        <v>12810</v>
      </c>
      <c r="D83" s="1071">
        <v>12760</v>
      </c>
      <c r="E83" s="1071">
        <v>14830</v>
      </c>
      <c r="F83" s="1089">
        <v>2450</v>
      </c>
      <c r="H83" s="1096"/>
    </row>
    <row r="84" spans="1:8" s="1065" customFormat="1" ht="14.25" customHeight="1" thickBot="1">
      <c r="A84" s="1077" t="s">
        <v>1402</v>
      </c>
      <c r="B84" s="1071" t="s">
        <v>1155</v>
      </c>
      <c r="C84" s="1071">
        <v>14950</v>
      </c>
      <c r="D84" s="1071">
        <v>14810</v>
      </c>
      <c r="E84" s="1071">
        <v>12590</v>
      </c>
      <c r="F84" s="1089">
        <v>2540</v>
      </c>
      <c r="H84" s="1096"/>
    </row>
    <row r="85" spans="1:8" s="1065" customFormat="1" ht="14.25" customHeight="1" thickBot="1">
      <c r="A85" s="1077" t="s">
        <v>1402</v>
      </c>
      <c r="B85" s="1071" t="s">
        <v>1165</v>
      </c>
      <c r="C85" s="1071">
        <v>14960</v>
      </c>
      <c r="D85" s="1071">
        <v>14890</v>
      </c>
      <c r="E85" s="1071">
        <v>12840</v>
      </c>
      <c r="F85" s="1089">
        <v>2840</v>
      </c>
      <c r="H85" s="1096"/>
    </row>
    <row r="86" spans="1:8" s="1065" customFormat="1" ht="14.25" customHeight="1" thickBot="1">
      <c r="A86" s="1077" t="s">
        <v>1402</v>
      </c>
      <c r="B86" s="1071" t="s">
        <v>1175</v>
      </c>
      <c r="C86" s="1071">
        <v>12730</v>
      </c>
      <c r="D86" s="1071">
        <v>12660</v>
      </c>
      <c r="E86" s="1071">
        <v>13310</v>
      </c>
      <c r="F86" s="1089">
        <v>3140</v>
      </c>
      <c r="H86" s="1096"/>
    </row>
    <row r="87" spans="1:8" s="1065" customFormat="1" ht="14.25" customHeight="1" thickBot="1">
      <c r="A87" s="1077" t="s">
        <v>1402</v>
      </c>
      <c r="B87" s="1071" t="s">
        <v>1185</v>
      </c>
      <c r="C87" s="1071">
        <v>12940</v>
      </c>
      <c r="D87" s="1071">
        <v>12890</v>
      </c>
      <c r="E87" s="1071">
        <v>11580</v>
      </c>
      <c r="F87" s="1098"/>
      <c r="H87" s="1096"/>
    </row>
    <row r="88" spans="1:8" s="1065" customFormat="1" ht="14.25" customHeight="1" thickBot="1">
      <c r="A88" s="1077" t="s">
        <v>1402</v>
      </c>
      <c r="B88" s="1071" t="s">
        <v>1195</v>
      </c>
      <c r="C88" s="1071">
        <v>13430</v>
      </c>
      <c r="D88" s="1071">
        <v>13360</v>
      </c>
      <c r="E88" s="1071">
        <v>12790</v>
      </c>
      <c r="F88" s="1098"/>
      <c r="H88" s="1096"/>
    </row>
    <row r="89" spans="1:8" s="1065" customFormat="1" ht="14.25" customHeight="1" thickBot="1">
      <c r="A89" s="1077" t="s">
        <v>1402</v>
      </c>
      <c r="B89" s="1071" t="s">
        <v>1205</v>
      </c>
      <c r="C89" s="1071">
        <v>11680</v>
      </c>
      <c r="D89" s="1071">
        <v>11630</v>
      </c>
      <c r="E89" s="1071">
        <v>11320</v>
      </c>
      <c r="F89" s="1098"/>
      <c r="H89" s="1096"/>
    </row>
    <row r="90" spans="1:8" s="1065" customFormat="1" ht="14.25" customHeight="1" thickBot="1">
      <c r="A90" s="1077" t="s">
        <v>1402</v>
      </c>
      <c r="B90" s="1071" t="s">
        <v>1215</v>
      </c>
      <c r="C90" s="1071">
        <v>12890</v>
      </c>
      <c r="D90" s="1071">
        <v>12820</v>
      </c>
      <c r="E90" s="1071">
        <v>12710</v>
      </c>
      <c r="F90" s="1098"/>
      <c r="H90" s="1096"/>
    </row>
    <row r="91" spans="1:8" s="1065" customFormat="1" ht="14.25" customHeight="1" thickBot="1">
      <c r="A91" s="1077" t="s">
        <v>1402</v>
      </c>
      <c r="B91" s="1071" t="s">
        <v>1225</v>
      </c>
      <c r="C91" s="1071">
        <v>11410</v>
      </c>
      <c r="D91" s="1071">
        <v>11360</v>
      </c>
      <c r="E91" s="1071">
        <v>12670</v>
      </c>
      <c r="F91" s="1098"/>
      <c r="H91" s="1096"/>
    </row>
    <row r="92" spans="1:8" s="1065" customFormat="1" ht="14.25" customHeight="1" thickBot="1">
      <c r="A92" s="1077" t="s">
        <v>1402</v>
      </c>
      <c r="B92" s="1071" t="s">
        <v>1235</v>
      </c>
      <c r="C92" s="1071">
        <v>12770</v>
      </c>
      <c r="D92" s="1071">
        <v>12740</v>
      </c>
      <c r="E92" s="1071">
        <v>11970</v>
      </c>
      <c r="F92" s="1098"/>
      <c r="H92" s="1096"/>
    </row>
    <row r="93" spans="1:8" s="1065" customFormat="1" ht="14.25" customHeight="1" thickBot="1">
      <c r="A93" s="1077" t="s">
        <v>1402</v>
      </c>
      <c r="B93" s="1071" t="s">
        <v>1245</v>
      </c>
      <c r="C93" s="1071">
        <v>12740</v>
      </c>
      <c r="D93" s="1071">
        <v>12700</v>
      </c>
      <c r="E93" s="1071">
        <v>12540</v>
      </c>
      <c r="F93" s="1098"/>
      <c r="H93" s="1096"/>
    </row>
    <row r="94" spans="1:8" s="1065" customFormat="1" ht="14.25" customHeight="1" thickBot="1">
      <c r="A94" s="1077" t="s">
        <v>1402</v>
      </c>
      <c r="B94" s="1071" t="s">
        <v>1255</v>
      </c>
      <c r="C94" s="1071">
        <v>12020</v>
      </c>
      <c r="D94" s="1071">
        <v>11990</v>
      </c>
      <c r="E94" s="1071">
        <v>13110</v>
      </c>
      <c r="F94" s="1098"/>
      <c r="H94" s="1096"/>
    </row>
    <row r="95" spans="1:8" s="1065" customFormat="1" ht="14.25" customHeight="1" thickBot="1">
      <c r="A95" s="1077" t="s">
        <v>1402</v>
      </c>
      <c r="B95" s="1071" t="s">
        <v>1264</v>
      </c>
      <c r="C95" s="1071">
        <v>12620</v>
      </c>
      <c r="D95" s="1071">
        <v>12580</v>
      </c>
      <c r="E95" s="1071">
        <v>13160</v>
      </c>
      <c r="F95" s="1089"/>
      <c r="H95" s="1096"/>
    </row>
    <row r="96" spans="1:8" s="1065" customFormat="1" ht="14.25" customHeight="1" thickBot="1">
      <c r="A96" s="1077" t="s">
        <v>1402</v>
      </c>
      <c r="B96" s="1071" t="s">
        <v>1273</v>
      </c>
      <c r="C96" s="1071">
        <v>13200</v>
      </c>
      <c r="D96" s="1071">
        <v>13150</v>
      </c>
      <c r="E96" s="1071">
        <v>12900</v>
      </c>
      <c r="F96" s="1089"/>
      <c r="H96" s="1096"/>
    </row>
    <row r="97" spans="1:8" s="1065" customFormat="1" ht="14.25" customHeight="1" thickBot="1">
      <c r="A97" s="1077" t="s">
        <v>1402</v>
      </c>
      <c r="B97" s="1071" t="s">
        <v>1281</v>
      </c>
      <c r="C97" s="1071">
        <v>13270</v>
      </c>
      <c r="D97" s="1071">
        <v>13210</v>
      </c>
      <c r="E97" s="1071">
        <v>11080</v>
      </c>
      <c r="F97" s="1089"/>
      <c r="H97" s="1096"/>
    </row>
    <row r="98" spans="1:8" s="1065" customFormat="1" ht="14.25" customHeight="1" thickBot="1">
      <c r="A98" s="1077" t="s">
        <v>1402</v>
      </c>
      <c r="B98" s="1071" t="s">
        <v>1288</v>
      </c>
      <c r="C98" s="1071">
        <v>13010</v>
      </c>
      <c r="D98" s="1071">
        <v>12930</v>
      </c>
      <c r="E98" s="1071">
        <v>12840</v>
      </c>
      <c r="F98" s="1089"/>
      <c r="H98" s="1096"/>
    </row>
    <row r="99" spans="1:8" s="1065" customFormat="1" ht="14.25" customHeight="1" thickBot="1">
      <c r="A99" s="1077" t="s">
        <v>1402</v>
      </c>
      <c r="B99" s="1071" t="s">
        <v>1295</v>
      </c>
      <c r="C99" s="1071">
        <v>11190</v>
      </c>
      <c r="D99" s="1071">
        <v>11130</v>
      </c>
      <c r="E99" s="1071"/>
      <c r="F99" s="1089"/>
      <c r="H99" s="1096"/>
    </row>
    <row r="100" spans="1:8" s="1065" customFormat="1" ht="14.25" customHeight="1" thickBot="1">
      <c r="A100" s="1077" t="s">
        <v>1402</v>
      </c>
      <c r="B100" s="1071" t="s">
        <v>1302</v>
      </c>
      <c r="C100" s="1071">
        <v>14280</v>
      </c>
      <c r="D100" s="1071">
        <v>14180</v>
      </c>
      <c r="E100" s="1071"/>
      <c r="F100" s="1089"/>
      <c r="H100" s="1096"/>
    </row>
    <row r="101" spans="1:8" s="1065" customFormat="1" ht="14.25" customHeight="1" thickBot="1">
      <c r="A101" s="1077" t="s">
        <v>1402</v>
      </c>
      <c r="B101" s="1071" t="s">
        <v>1309</v>
      </c>
      <c r="C101" s="1071">
        <v>12960</v>
      </c>
      <c r="D101" s="1071">
        <v>12890</v>
      </c>
      <c r="E101" s="1071"/>
      <c r="F101" s="1089"/>
      <c r="H101" s="1096"/>
    </row>
    <row r="102" spans="1:8" s="1065" customFormat="1" ht="14.25" customHeight="1" thickBot="1">
      <c r="A102" s="1077" t="s">
        <v>1402</v>
      </c>
      <c r="B102" s="1071" t="s">
        <v>1316</v>
      </c>
      <c r="C102" s="1071"/>
      <c r="D102" s="1071"/>
      <c r="E102" s="1071"/>
      <c r="F102" s="1089">
        <v>3100</v>
      </c>
      <c r="H102" s="1096"/>
    </row>
    <row r="103" spans="1:8" s="1065" customFormat="1" ht="14.25" customHeight="1" thickBot="1">
      <c r="A103" s="1077" t="s">
        <v>1402</v>
      </c>
      <c r="B103" s="1071" t="s">
        <v>1323</v>
      </c>
      <c r="C103" s="1071"/>
      <c r="D103" s="1071"/>
      <c r="E103" s="1071"/>
      <c r="F103" s="1089">
        <v>2320</v>
      </c>
      <c r="H103" s="1096"/>
    </row>
    <row r="104" spans="1:8" s="1065" customFormat="1" ht="14.25" customHeight="1" thickBot="1">
      <c r="A104" s="1077" t="s">
        <v>1402</v>
      </c>
      <c r="B104" s="1071" t="s">
        <v>1328</v>
      </c>
      <c r="C104" s="1071"/>
      <c r="D104" s="1071"/>
      <c r="E104" s="1071"/>
      <c r="F104" s="1089">
        <v>2320</v>
      </c>
      <c r="H104" s="1096"/>
    </row>
    <row r="105" spans="1:8" s="1065" customFormat="1" ht="14.25" customHeight="1" thickBot="1">
      <c r="A105" s="1077" t="s">
        <v>1402</v>
      </c>
      <c r="B105" s="1071" t="s">
        <v>1332</v>
      </c>
      <c r="C105" s="1071"/>
      <c r="D105" s="1071"/>
      <c r="E105" s="1071"/>
      <c r="F105" s="1089">
        <v>2320</v>
      </c>
      <c r="H105" s="1096"/>
    </row>
    <row r="106" spans="1:8" s="1065" customFormat="1" ht="14.25" customHeight="1" thickBot="1">
      <c r="A106" s="1077" t="s">
        <v>1402</v>
      </c>
      <c r="B106" s="1071" t="s">
        <v>1337</v>
      </c>
      <c r="C106" s="1071"/>
      <c r="D106" s="1071"/>
      <c r="E106" s="1071"/>
      <c r="F106" s="1089">
        <v>2320</v>
      </c>
      <c r="H106" s="1096"/>
    </row>
    <row r="107" spans="1:8" s="1065" customFormat="1" ht="14.25" customHeight="1" thickBot="1">
      <c r="A107" s="1077" t="s">
        <v>1402</v>
      </c>
      <c r="B107" s="1071" t="s">
        <v>1342</v>
      </c>
      <c r="C107" s="1071"/>
      <c r="D107" s="1071"/>
      <c r="E107" s="1071"/>
      <c r="F107" s="1089">
        <v>2280</v>
      </c>
      <c r="H107" s="1096"/>
    </row>
    <row r="108" spans="1:8" s="1065" customFormat="1" ht="14.25" customHeight="1" thickBot="1">
      <c r="A108" s="1077" t="s">
        <v>1402</v>
      </c>
      <c r="B108" s="1071" t="s">
        <v>1347</v>
      </c>
      <c r="C108" s="1071"/>
      <c r="D108" s="1071"/>
      <c r="E108" s="1071"/>
      <c r="F108" s="1089">
        <v>2280</v>
      </c>
      <c r="H108" s="1096"/>
    </row>
    <row r="109" spans="1:8" s="1065" customFormat="1" ht="14.25" customHeight="1" thickBot="1">
      <c r="A109" s="1077" t="s">
        <v>1402</v>
      </c>
      <c r="B109" s="1087" t="s">
        <v>1352</v>
      </c>
      <c r="C109" s="1087"/>
      <c r="D109" s="1087"/>
      <c r="E109" s="1087"/>
      <c r="F109" s="1097">
        <v>2280</v>
      </c>
      <c r="H109" s="1096"/>
    </row>
    <row r="110" spans="1:8" s="1065" customFormat="1" ht="14.25" customHeight="1" thickBot="1">
      <c r="A110" s="1077" t="s">
        <v>1404</v>
      </c>
      <c r="B110" s="1078" t="s">
        <v>1405</v>
      </c>
      <c r="C110" s="1078">
        <v>10520</v>
      </c>
      <c r="D110" s="1078">
        <v>10490</v>
      </c>
      <c r="E110" s="1078">
        <v>10760</v>
      </c>
      <c r="F110" s="1079">
        <v>2160</v>
      </c>
      <c r="H110" s="1096"/>
    </row>
    <row r="111" spans="1:8" s="1065" customFormat="1" ht="14.25" customHeight="1" thickBot="1">
      <c r="A111" s="1077" t="s">
        <v>1404</v>
      </c>
      <c r="B111" s="1071" t="s">
        <v>1070</v>
      </c>
      <c r="C111" s="1071">
        <v>10090</v>
      </c>
      <c r="D111" s="1071">
        <v>10060</v>
      </c>
      <c r="E111" s="1071">
        <v>10300</v>
      </c>
      <c r="F111" s="1089">
        <v>2010</v>
      </c>
      <c r="H111" s="1096"/>
    </row>
    <row r="112" spans="1:8" s="1065" customFormat="1" ht="14.25" customHeight="1" thickBot="1">
      <c r="A112" s="1077" t="s">
        <v>1404</v>
      </c>
      <c r="B112" s="1071" t="s">
        <v>1084</v>
      </c>
      <c r="C112" s="1071">
        <v>9910</v>
      </c>
      <c r="D112" s="1071">
        <v>9850</v>
      </c>
      <c r="E112" s="1071">
        <v>9960</v>
      </c>
      <c r="F112" s="1089">
        <v>2090</v>
      </c>
      <c r="H112" s="1096"/>
    </row>
    <row r="113" spans="1:8" s="1065" customFormat="1" ht="14.25" customHeight="1" thickBot="1">
      <c r="A113" s="1077" t="s">
        <v>1404</v>
      </c>
      <c r="B113" s="1071" t="s">
        <v>1097</v>
      </c>
      <c r="C113" s="1071">
        <v>11430</v>
      </c>
      <c r="D113" s="1071">
        <v>11400</v>
      </c>
      <c r="E113" s="1071">
        <v>11710</v>
      </c>
      <c r="F113" s="1089">
        <v>2050</v>
      </c>
      <c r="H113" s="1096"/>
    </row>
    <row r="114" spans="1:8" s="1065" customFormat="1" ht="14.25" customHeight="1" thickBot="1">
      <c r="A114" s="1077" t="s">
        <v>1404</v>
      </c>
      <c r="B114" s="1071" t="s">
        <v>1111</v>
      </c>
      <c r="C114" s="1071">
        <v>11390</v>
      </c>
      <c r="D114" s="1071">
        <v>11350</v>
      </c>
      <c r="E114" s="1071">
        <v>11640</v>
      </c>
      <c r="F114" s="1089">
        <v>1620</v>
      </c>
      <c r="H114" s="1096"/>
    </row>
    <row r="115" spans="1:8" s="1065" customFormat="1" ht="14.25" customHeight="1" thickBot="1">
      <c r="A115" s="1077" t="s">
        <v>1404</v>
      </c>
      <c r="B115" s="1071" t="s">
        <v>1122</v>
      </c>
      <c r="C115" s="1071">
        <v>9930</v>
      </c>
      <c r="D115" s="1071">
        <v>9900</v>
      </c>
      <c r="E115" s="1071">
        <v>10160</v>
      </c>
      <c r="F115" s="1089">
        <v>1580</v>
      </c>
      <c r="H115" s="1096"/>
    </row>
    <row r="116" spans="1:8" s="1065" customFormat="1" ht="14.25" customHeight="1" thickBot="1">
      <c r="A116" s="1077" t="s">
        <v>1404</v>
      </c>
      <c r="B116" s="1071" t="s">
        <v>1133</v>
      </c>
      <c r="C116" s="1071">
        <v>9150</v>
      </c>
      <c r="D116" s="1071">
        <v>9120</v>
      </c>
      <c r="E116" s="1071">
        <v>9380</v>
      </c>
      <c r="F116" s="1089">
        <v>1750</v>
      </c>
      <c r="H116" s="1096"/>
    </row>
    <row r="117" spans="1:8" s="1065" customFormat="1" ht="14.25" customHeight="1" thickBot="1">
      <c r="A117" s="1077" t="s">
        <v>1404</v>
      </c>
      <c r="B117" s="1071" t="s">
        <v>1144</v>
      </c>
      <c r="C117" s="1071">
        <v>10680</v>
      </c>
      <c r="D117" s="1071">
        <v>10650</v>
      </c>
      <c r="E117" s="1071">
        <v>10970</v>
      </c>
      <c r="F117" s="1089">
        <v>1730</v>
      </c>
      <c r="H117" s="1096"/>
    </row>
    <row r="118" spans="1:8" s="1065" customFormat="1" ht="14.25" customHeight="1" thickBot="1">
      <c r="A118" s="1077" t="s">
        <v>1404</v>
      </c>
      <c r="B118" s="1071" t="s">
        <v>1156</v>
      </c>
      <c r="C118" s="1071">
        <v>10080</v>
      </c>
      <c r="D118" s="1071">
        <v>10050</v>
      </c>
      <c r="E118" s="1071">
        <v>10350</v>
      </c>
      <c r="F118" s="1089">
        <v>1920</v>
      </c>
      <c r="H118" s="1096"/>
    </row>
    <row r="119" spans="1:8" s="1065" customFormat="1" ht="14.25" customHeight="1" thickBot="1">
      <c r="A119" s="1077" t="s">
        <v>1404</v>
      </c>
      <c r="B119" s="1071" t="s">
        <v>1166</v>
      </c>
      <c r="C119" s="1071">
        <v>9450</v>
      </c>
      <c r="D119" s="1071">
        <v>9410</v>
      </c>
      <c r="E119" s="1071">
        <v>9680</v>
      </c>
      <c r="F119" s="1089">
        <v>1880</v>
      </c>
      <c r="H119" s="1096"/>
    </row>
    <row r="120" spans="1:8" s="1065" customFormat="1" ht="14.25" customHeight="1" thickBot="1">
      <c r="A120" s="1077" t="s">
        <v>1404</v>
      </c>
      <c r="B120" s="1071" t="s">
        <v>1176</v>
      </c>
      <c r="C120" s="1071">
        <v>8730</v>
      </c>
      <c r="D120" s="1071">
        <v>8700</v>
      </c>
      <c r="E120" s="1071">
        <v>8950</v>
      </c>
      <c r="F120" s="1089">
        <v>1830</v>
      </c>
      <c r="H120" s="1096"/>
    </row>
    <row r="121" spans="1:8" s="1065" customFormat="1" ht="14.25" customHeight="1" thickBot="1">
      <c r="A121" s="1077" t="s">
        <v>1404</v>
      </c>
      <c r="B121" s="1071" t="s">
        <v>1186</v>
      </c>
      <c r="C121" s="1071">
        <v>10070</v>
      </c>
      <c r="D121" s="1071">
        <v>10040</v>
      </c>
      <c r="E121" s="1071">
        <v>10270</v>
      </c>
      <c r="F121" s="1089">
        <v>1960</v>
      </c>
      <c r="H121" s="1096"/>
    </row>
    <row r="122" spans="1:8" s="1065" customFormat="1" ht="14.25" customHeight="1" thickBot="1">
      <c r="A122" s="1077" t="s">
        <v>1404</v>
      </c>
      <c r="B122" s="1071" t="s">
        <v>1196</v>
      </c>
      <c r="C122" s="1071">
        <v>10500</v>
      </c>
      <c r="D122" s="1071">
        <v>10470</v>
      </c>
      <c r="E122" s="1071">
        <v>10780</v>
      </c>
      <c r="F122" s="1089">
        <v>2180</v>
      </c>
      <c r="H122" s="1096"/>
    </row>
    <row r="123" spans="1:8" s="1065" customFormat="1" ht="14.25" customHeight="1" thickBot="1">
      <c r="A123" s="1077" t="s">
        <v>1404</v>
      </c>
      <c r="B123" s="1071" t="s">
        <v>1206</v>
      </c>
      <c r="C123" s="1071">
        <v>10390</v>
      </c>
      <c r="D123" s="1071">
        <v>10360</v>
      </c>
      <c r="E123" s="1071">
        <v>10660</v>
      </c>
      <c r="F123" s="1089">
        <v>2040</v>
      </c>
      <c r="H123" s="1096"/>
    </row>
    <row r="124" spans="1:8" s="1065" customFormat="1" ht="14.25" customHeight="1" thickBot="1">
      <c r="A124" s="1077" t="s">
        <v>1404</v>
      </c>
      <c r="B124" s="1071" t="s">
        <v>1216</v>
      </c>
      <c r="C124" s="1071">
        <v>10390</v>
      </c>
      <c r="D124" s="1071">
        <v>10360</v>
      </c>
      <c r="E124" s="1071">
        <v>10680</v>
      </c>
      <c r="F124" s="1098"/>
      <c r="H124" s="1096"/>
    </row>
    <row r="125" spans="1:8" s="1065" customFormat="1" ht="14.25" customHeight="1" thickBot="1">
      <c r="A125" s="1077" t="s">
        <v>1404</v>
      </c>
      <c r="B125" s="1071" t="s">
        <v>1226</v>
      </c>
      <c r="C125" s="1071">
        <v>10440</v>
      </c>
      <c r="D125" s="1071">
        <v>10410</v>
      </c>
      <c r="E125" s="1071">
        <v>10710</v>
      </c>
      <c r="F125" s="1098"/>
      <c r="H125" s="1096"/>
    </row>
    <row r="126" spans="1:8" s="1065" customFormat="1" ht="14.25" customHeight="1" thickBot="1">
      <c r="A126" s="1077" t="s">
        <v>1404</v>
      </c>
      <c r="B126" s="1071" t="s">
        <v>1236</v>
      </c>
      <c r="C126" s="1071">
        <v>10780</v>
      </c>
      <c r="D126" s="1071">
        <v>10750</v>
      </c>
      <c r="E126" s="1071">
        <v>11080</v>
      </c>
      <c r="F126" s="1098"/>
      <c r="H126" s="1096"/>
    </row>
    <row r="127" spans="1:8" s="1065" customFormat="1" ht="14.25" customHeight="1" thickBot="1">
      <c r="A127" s="1077" t="s">
        <v>1404</v>
      </c>
      <c r="B127" s="1071" t="s">
        <v>1246</v>
      </c>
      <c r="C127" s="1071">
        <v>10100</v>
      </c>
      <c r="D127" s="1071">
        <v>10070</v>
      </c>
      <c r="E127" s="1071">
        <v>10350</v>
      </c>
      <c r="F127" s="1098"/>
      <c r="H127" s="1096"/>
    </row>
    <row r="128" spans="1:8" s="1065" customFormat="1" ht="14.25" customHeight="1" thickBot="1">
      <c r="A128" s="1077" t="s">
        <v>1404</v>
      </c>
      <c r="B128" s="1071" t="s">
        <v>1256</v>
      </c>
      <c r="C128" s="1071">
        <v>9200</v>
      </c>
      <c r="D128" s="1071">
        <v>9160</v>
      </c>
      <c r="E128" s="1071">
        <v>9660</v>
      </c>
      <c r="F128" s="1098"/>
      <c r="H128" s="1096"/>
    </row>
    <row r="129" spans="1:8" s="1065" customFormat="1" ht="14.25" customHeight="1" thickBot="1">
      <c r="A129" s="1077" t="s">
        <v>1404</v>
      </c>
      <c r="B129" s="1071" t="s">
        <v>1265</v>
      </c>
      <c r="C129" s="1071">
        <v>10340</v>
      </c>
      <c r="D129" s="1071">
        <v>10310</v>
      </c>
      <c r="E129" s="1071">
        <v>10580</v>
      </c>
      <c r="F129" s="1098"/>
      <c r="H129" s="1096"/>
    </row>
    <row r="130" spans="1:8" s="1065" customFormat="1" ht="14.25" customHeight="1" thickBot="1">
      <c r="A130" s="1077" t="s">
        <v>1404</v>
      </c>
      <c r="B130" s="1071" t="s">
        <v>1274</v>
      </c>
      <c r="C130" s="1071">
        <v>9680</v>
      </c>
      <c r="D130" s="1071">
        <v>9660</v>
      </c>
      <c r="E130" s="1071">
        <v>9950</v>
      </c>
      <c r="F130" s="1098"/>
      <c r="H130" s="1096"/>
    </row>
    <row r="131" spans="1:8" s="1065" customFormat="1" ht="14.25" customHeight="1" thickBot="1">
      <c r="A131" s="1077" t="s">
        <v>1404</v>
      </c>
      <c r="B131" s="1071" t="s">
        <v>1282</v>
      </c>
      <c r="C131" s="1071">
        <v>9540</v>
      </c>
      <c r="D131" s="1071">
        <v>9510</v>
      </c>
      <c r="E131" s="1071">
        <v>9790</v>
      </c>
      <c r="F131" s="1098"/>
      <c r="H131" s="1096"/>
    </row>
    <row r="132" spans="1:8" s="1065" customFormat="1" ht="14.25" customHeight="1" thickBot="1">
      <c r="A132" s="1077" t="s">
        <v>1404</v>
      </c>
      <c r="B132" s="1071" t="s">
        <v>1289</v>
      </c>
      <c r="C132" s="1071">
        <v>9320</v>
      </c>
      <c r="D132" s="1071">
        <v>9290</v>
      </c>
      <c r="E132" s="1071">
        <v>9570</v>
      </c>
      <c r="F132" s="1098"/>
      <c r="H132" s="1096"/>
    </row>
    <row r="133" spans="1:8" s="1065" customFormat="1" ht="14.25" customHeight="1" thickBot="1">
      <c r="A133" s="1077" t="s">
        <v>1404</v>
      </c>
      <c r="B133" s="1071" t="s">
        <v>1296</v>
      </c>
      <c r="C133" s="1071">
        <v>10310</v>
      </c>
      <c r="D133" s="1071">
        <v>10280</v>
      </c>
      <c r="E133" s="1071">
        <v>10530</v>
      </c>
      <c r="F133" s="1098"/>
      <c r="H133" s="1096"/>
    </row>
    <row r="134" spans="1:8" s="1065" customFormat="1" ht="14.25" customHeight="1" thickBot="1">
      <c r="A134" s="1077" t="s">
        <v>1404</v>
      </c>
      <c r="B134" s="1071" t="s">
        <v>1303</v>
      </c>
      <c r="C134" s="1071">
        <v>10370</v>
      </c>
      <c r="D134" s="1071">
        <v>10310</v>
      </c>
      <c r="E134" s="1071">
        <v>10240</v>
      </c>
      <c r="F134" s="1089">
        <v>2060</v>
      </c>
      <c r="H134" s="1096"/>
    </row>
    <row r="135" spans="1:8" s="1065" customFormat="1" ht="14.25" customHeight="1" thickBot="1">
      <c r="A135" s="1077" t="s">
        <v>1404</v>
      </c>
      <c r="B135" s="1071" t="s">
        <v>1310</v>
      </c>
      <c r="C135" s="1071">
        <v>9300</v>
      </c>
      <c r="D135" s="1071">
        <v>9270</v>
      </c>
      <c r="E135" s="1071">
        <v>9350</v>
      </c>
      <c r="F135" s="1098"/>
      <c r="H135" s="1096"/>
    </row>
    <row r="136" spans="1:8" s="1065" customFormat="1" ht="14.25" customHeight="1" thickBot="1">
      <c r="A136" s="1077" t="s">
        <v>1404</v>
      </c>
      <c r="B136" s="1071" t="s">
        <v>1317</v>
      </c>
      <c r="C136" s="1071">
        <v>10160</v>
      </c>
      <c r="D136" s="1071">
        <v>10110</v>
      </c>
      <c r="E136" s="1071">
        <v>10080</v>
      </c>
      <c r="F136" s="1098"/>
      <c r="H136" s="1096"/>
    </row>
    <row r="137" spans="1:8" s="1065" customFormat="1" ht="14.25" customHeight="1" thickBot="1">
      <c r="A137" s="1077" t="s">
        <v>1404</v>
      </c>
      <c r="B137" s="1071" t="s">
        <v>1324</v>
      </c>
      <c r="C137" s="1071">
        <v>9200</v>
      </c>
      <c r="D137" s="1071">
        <v>9170</v>
      </c>
      <c r="E137" s="1071">
        <v>9450</v>
      </c>
      <c r="F137" s="1098"/>
      <c r="H137" s="1096"/>
    </row>
    <row r="138" spans="1:8" s="1065" customFormat="1" ht="14.25" customHeight="1" thickBot="1">
      <c r="A138" s="1077" t="s">
        <v>1404</v>
      </c>
      <c r="B138" s="1071" t="s">
        <v>1329</v>
      </c>
      <c r="C138" s="1071">
        <v>9690</v>
      </c>
      <c r="D138" s="1071">
        <v>9660</v>
      </c>
      <c r="E138" s="1071">
        <v>9840</v>
      </c>
      <c r="F138" s="1098"/>
      <c r="H138" s="1096"/>
    </row>
    <row r="139" spans="1:8" s="1065" customFormat="1" ht="14.25" customHeight="1" thickBot="1">
      <c r="A139" s="1077" t="s">
        <v>1404</v>
      </c>
      <c r="B139" s="1071" t="s">
        <v>1333</v>
      </c>
      <c r="C139" s="1071">
        <v>10290</v>
      </c>
      <c r="D139" s="1071">
        <v>10260</v>
      </c>
      <c r="E139" s="1071">
        <v>10550</v>
      </c>
      <c r="F139" s="1089">
        <v>1700</v>
      </c>
      <c r="H139" s="1096"/>
    </row>
    <row r="140" spans="1:8" s="1065" customFormat="1" ht="14.25" customHeight="1" thickBot="1">
      <c r="A140" s="1077" t="s">
        <v>1404</v>
      </c>
      <c r="B140" s="1071" t="s">
        <v>1338</v>
      </c>
      <c r="C140" s="1071">
        <v>9740</v>
      </c>
      <c r="D140" s="1071">
        <v>9710</v>
      </c>
      <c r="E140" s="1071">
        <v>10000</v>
      </c>
      <c r="F140" s="1089">
        <v>2000</v>
      </c>
      <c r="H140" s="1096"/>
    </row>
    <row r="141" spans="1:8" s="1065" customFormat="1" ht="14.25" customHeight="1" thickBot="1">
      <c r="A141" s="1077" t="s">
        <v>1404</v>
      </c>
      <c r="B141" s="1071" t="s">
        <v>1343</v>
      </c>
      <c r="C141" s="1071">
        <v>9810</v>
      </c>
      <c r="D141" s="1071">
        <v>9770</v>
      </c>
      <c r="E141" s="1071">
        <v>10060</v>
      </c>
      <c r="F141" s="1098"/>
      <c r="H141" s="1096"/>
    </row>
    <row r="142" spans="1:8" s="1065" customFormat="1" ht="14.25" customHeight="1" thickBot="1">
      <c r="A142" s="1077" t="s">
        <v>1404</v>
      </c>
      <c r="B142" s="1071" t="s">
        <v>1348</v>
      </c>
      <c r="C142" s="1071">
        <v>9300</v>
      </c>
      <c r="D142" s="1071">
        <v>9270</v>
      </c>
      <c r="E142" s="1071">
        <v>9530</v>
      </c>
      <c r="F142" s="1098"/>
      <c r="H142" s="1096"/>
    </row>
    <row r="143" spans="1:8" s="1065" customFormat="1" ht="14.25" customHeight="1" thickBot="1">
      <c r="A143" s="1077" t="s">
        <v>1404</v>
      </c>
      <c r="B143" s="1071" t="s">
        <v>1353</v>
      </c>
      <c r="C143" s="1071">
        <v>10080</v>
      </c>
      <c r="D143" s="1071">
        <v>10050</v>
      </c>
      <c r="E143" s="1071">
        <v>10340</v>
      </c>
      <c r="F143" s="1098"/>
      <c r="H143" s="1096"/>
    </row>
    <row r="144" spans="1:8" s="1065" customFormat="1" ht="14.25" customHeight="1" thickBot="1">
      <c r="A144" s="1077" t="s">
        <v>1404</v>
      </c>
      <c r="B144" s="1071" t="s">
        <v>1357</v>
      </c>
      <c r="C144" s="1071">
        <v>9820</v>
      </c>
      <c r="D144" s="1071">
        <v>9750</v>
      </c>
      <c r="E144" s="1071">
        <v>9900</v>
      </c>
      <c r="F144" s="1098"/>
      <c r="H144" s="1096"/>
    </row>
    <row r="145" spans="1:8" s="1065" customFormat="1" ht="14.25" customHeight="1" thickBot="1">
      <c r="A145" s="1077" t="s">
        <v>1404</v>
      </c>
      <c r="B145" s="1071" t="s">
        <v>1361</v>
      </c>
      <c r="C145" s="1071"/>
      <c r="D145" s="1071"/>
      <c r="E145" s="1071"/>
      <c r="F145" s="1089">
        <v>1740</v>
      </c>
      <c r="H145" s="1096"/>
    </row>
    <row r="146" spans="1:8" s="1065" customFormat="1" ht="14.25" customHeight="1" thickBot="1">
      <c r="A146" s="1077" t="s">
        <v>1404</v>
      </c>
      <c r="B146" s="1071" t="s">
        <v>1365</v>
      </c>
      <c r="C146" s="1071"/>
      <c r="D146" s="1071"/>
      <c r="E146" s="1071"/>
      <c r="F146" s="1089">
        <v>1740</v>
      </c>
      <c r="H146" s="1096"/>
    </row>
    <row r="147" spans="1:8" s="1065" customFormat="1" ht="14.25" customHeight="1" thickBot="1">
      <c r="A147" s="1077" t="s">
        <v>1404</v>
      </c>
      <c r="B147" s="1071" t="s">
        <v>1369</v>
      </c>
      <c r="C147" s="1071"/>
      <c r="D147" s="1071"/>
      <c r="E147" s="1071"/>
      <c r="F147" s="1089">
        <v>1740</v>
      </c>
      <c r="H147" s="1096"/>
    </row>
    <row r="148" spans="1:8" s="1065" customFormat="1" ht="14.25" customHeight="1" thickBot="1">
      <c r="A148" s="1077" t="s">
        <v>1404</v>
      </c>
      <c r="B148" s="1071" t="s">
        <v>1373</v>
      </c>
      <c r="C148" s="1071"/>
      <c r="D148" s="1071"/>
      <c r="E148" s="1071"/>
      <c r="F148" s="1089">
        <v>1740</v>
      </c>
      <c r="H148" s="1096"/>
    </row>
    <row r="149" spans="1:8" s="1065" customFormat="1" ht="14.25" customHeight="1" thickBot="1">
      <c r="A149" s="1077" t="s">
        <v>1404</v>
      </c>
      <c r="B149" s="1071" t="s">
        <v>1377</v>
      </c>
      <c r="C149" s="1071"/>
      <c r="D149" s="1071"/>
      <c r="E149" s="1071"/>
      <c r="F149" s="1089">
        <v>1740</v>
      </c>
      <c r="H149" s="1096"/>
    </row>
    <row r="150" spans="1:8" s="1065" customFormat="1" ht="14.25" customHeight="1" thickBot="1">
      <c r="A150" s="1077" t="s">
        <v>1404</v>
      </c>
      <c r="B150" s="1071" t="s">
        <v>1380</v>
      </c>
      <c r="C150" s="1071"/>
      <c r="D150" s="1071"/>
      <c r="E150" s="1071"/>
      <c r="F150" s="1089">
        <v>1610</v>
      </c>
      <c r="H150" s="1096"/>
    </row>
    <row r="151" spans="1:8" s="1065" customFormat="1" ht="14.25" customHeight="1" thickBot="1">
      <c r="A151" s="1077" t="s">
        <v>1404</v>
      </c>
      <c r="B151" s="1071" t="s">
        <v>1383</v>
      </c>
      <c r="C151" s="1071"/>
      <c r="D151" s="1071"/>
      <c r="E151" s="1071"/>
      <c r="F151" s="1089">
        <v>1610</v>
      </c>
      <c r="H151" s="1096"/>
    </row>
    <row r="152" spans="1:8" s="1065" customFormat="1" ht="14.25" customHeight="1" thickBot="1">
      <c r="A152" s="1077" t="s">
        <v>1404</v>
      </c>
      <c r="B152" s="1071" t="s">
        <v>1386</v>
      </c>
      <c r="C152" s="1071"/>
      <c r="D152" s="1071"/>
      <c r="E152" s="1071"/>
      <c r="F152" s="1089">
        <v>1610</v>
      </c>
      <c r="H152" s="1096"/>
    </row>
    <row r="153" spans="1:8" s="1065" customFormat="1" ht="14.25" customHeight="1" thickBot="1">
      <c r="A153" s="1077" t="s">
        <v>1404</v>
      </c>
      <c r="B153" s="1071" t="s">
        <v>1389</v>
      </c>
      <c r="C153" s="1071"/>
      <c r="D153" s="1071"/>
      <c r="E153" s="1071"/>
      <c r="F153" s="1089">
        <v>1610</v>
      </c>
      <c r="H153" s="1096"/>
    </row>
    <row r="154" spans="1:8" s="1065" customFormat="1" ht="14.25" customHeight="1" thickBot="1">
      <c r="A154" s="1077" t="s">
        <v>1404</v>
      </c>
      <c r="B154" s="1071" t="s">
        <v>1392</v>
      </c>
      <c r="C154" s="1071"/>
      <c r="D154" s="1071"/>
      <c r="E154" s="1071"/>
      <c r="F154" s="1089">
        <v>1610</v>
      </c>
      <c r="H154" s="1096"/>
    </row>
    <row r="155" spans="1:8" s="1065" customFormat="1" ht="14.25" customHeight="1" thickBot="1">
      <c r="A155" s="1077" t="s">
        <v>1404</v>
      </c>
      <c r="B155" s="1071" t="s">
        <v>1395</v>
      </c>
      <c r="C155" s="1071"/>
      <c r="D155" s="1071"/>
      <c r="E155" s="1071"/>
      <c r="F155" s="1089">
        <v>1800</v>
      </c>
      <c r="H155" s="1096"/>
    </row>
    <row r="156" spans="1:8" s="1065" customFormat="1" ht="14.25" customHeight="1" thickBot="1">
      <c r="A156" s="1077" t="s">
        <v>1404</v>
      </c>
      <c r="B156" s="1071" t="s">
        <v>1397</v>
      </c>
      <c r="C156" s="1071"/>
      <c r="D156" s="1071"/>
      <c r="E156" s="1071"/>
      <c r="F156" s="1089">
        <v>1910</v>
      </c>
      <c r="H156" s="1096"/>
    </row>
    <row r="157" spans="1:8" s="1065" customFormat="1" ht="14.25" customHeight="1" thickBot="1">
      <c r="A157" s="1077" t="s">
        <v>1404</v>
      </c>
      <c r="B157" s="1087" t="s">
        <v>1400</v>
      </c>
      <c r="C157" s="1087"/>
      <c r="D157" s="1087"/>
      <c r="E157" s="1087"/>
      <c r="F157" s="1097">
        <v>1500</v>
      </c>
      <c r="H157" s="1096"/>
    </row>
    <row r="158" spans="1:8" s="1065" customFormat="1" ht="14.25" customHeight="1" thickBot="1">
      <c r="A158" s="1077" t="s">
        <v>1406</v>
      </c>
      <c r="B158" s="1078" t="s">
        <v>1407</v>
      </c>
      <c r="C158" s="1078">
        <v>8170</v>
      </c>
      <c r="D158" s="1078">
        <v>8140</v>
      </c>
      <c r="E158" s="1078">
        <v>8590</v>
      </c>
      <c r="F158" s="1079">
        <v>1450</v>
      </c>
      <c r="H158" s="1096"/>
    </row>
    <row r="159" spans="1:8" s="1065" customFormat="1" ht="14.25" customHeight="1" thickBot="1">
      <c r="A159" s="1077" t="s">
        <v>1406</v>
      </c>
      <c r="B159" s="1071" t="s">
        <v>1071</v>
      </c>
      <c r="C159" s="1071">
        <v>7410</v>
      </c>
      <c r="D159" s="1071">
        <v>7370</v>
      </c>
      <c r="E159" s="1071">
        <v>8030</v>
      </c>
      <c r="F159" s="1089">
        <v>1510</v>
      </c>
      <c r="H159" s="1096"/>
    </row>
    <row r="160" spans="1:8" s="1065" customFormat="1" ht="14.25" customHeight="1" thickBot="1">
      <c r="A160" s="1077" t="s">
        <v>1406</v>
      </c>
      <c r="B160" s="1071" t="s">
        <v>1085</v>
      </c>
      <c r="C160" s="1071">
        <v>7240</v>
      </c>
      <c r="D160" s="1071">
        <v>7210</v>
      </c>
      <c r="E160" s="1071">
        <v>7860</v>
      </c>
      <c r="F160" s="1089">
        <v>1370</v>
      </c>
      <c r="H160" s="1096"/>
    </row>
    <row r="161" spans="1:8" s="1065" customFormat="1" ht="14.25" customHeight="1" thickBot="1">
      <c r="A161" s="1077" t="s">
        <v>1406</v>
      </c>
      <c r="B161" s="1071" t="s">
        <v>1098</v>
      </c>
      <c r="C161" s="1071">
        <v>7720</v>
      </c>
      <c r="D161" s="1071">
        <v>7690</v>
      </c>
      <c r="E161" s="1071">
        <v>8200</v>
      </c>
      <c r="F161" s="1089">
        <v>1190</v>
      </c>
      <c r="H161" s="1096"/>
    </row>
    <row r="162" spans="1:8" s="1065" customFormat="1" ht="14.25" customHeight="1" thickBot="1">
      <c r="A162" s="1077" t="s">
        <v>1406</v>
      </c>
      <c r="B162" s="1071" t="s">
        <v>1112</v>
      </c>
      <c r="C162" s="1071">
        <v>6900</v>
      </c>
      <c r="D162" s="1071">
        <v>6870</v>
      </c>
      <c r="E162" s="1071">
        <v>7500</v>
      </c>
      <c r="F162" s="1089">
        <v>1390</v>
      </c>
      <c r="H162" s="1096"/>
    </row>
    <row r="163" spans="1:8" s="1065" customFormat="1" ht="14.25" customHeight="1" thickBot="1">
      <c r="A163" s="1077" t="s">
        <v>1406</v>
      </c>
      <c r="B163" s="1071" t="s">
        <v>1123</v>
      </c>
      <c r="C163" s="1071">
        <v>7120</v>
      </c>
      <c r="D163" s="1071">
        <v>7090</v>
      </c>
      <c r="E163" s="1071">
        <v>7690</v>
      </c>
      <c r="F163" s="1089">
        <v>1230</v>
      </c>
      <c r="H163" s="1096"/>
    </row>
    <row r="164" spans="1:8" s="1065" customFormat="1" ht="14.25" customHeight="1" thickBot="1">
      <c r="A164" s="1077" t="s">
        <v>1406</v>
      </c>
      <c r="B164" s="1071" t="s">
        <v>1134</v>
      </c>
      <c r="C164" s="1071">
        <v>6560</v>
      </c>
      <c r="D164" s="1071">
        <v>6530</v>
      </c>
      <c r="E164" s="1071">
        <v>7110</v>
      </c>
      <c r="F164" s="1089">
        <v>1340</v>
      </c>
      <c r="H164" s="1096"/>
    </row>
    <row r="165" spans="1:8" s="1065" customFormat="1" ht="14.25" customHeight="1" thickBot="1">
      <c r="A165" s="1077" t="s">
        <v>1406</v>
      </c>
      <c r="B165" s="1071" t="s">
        <v>1145</v>
      </c>
      <c r="C165" s="1071">
        <v>7450</v>
      </c>
      <c r="D165" s="1071">
        <v>7430</v>
      </c>
      <c r="E165" s="1071">
        <v>8110</v>
      </c>
      <c r="F165" s="1089">
        <v>1290</v>
      </c>
      <c r="H165" s="1096"/>
    </row>
    <row r="166" spans="1:8" s="1065" customFormat="1" ht="14.25" customHeight="1" thickBot="1">
      <c r="A166" s="1077" t="s">
        <v>1406</v>
      </c>
      <c r="B166" s="1071" t="s">
        <v>1157</v>
      </c>
      <c r="C166" s="1071">
        <v>7490</v>
      </c>
      <c r="D166" s="1071">
        <v>7460</v>
      </c>
      <c r="E166" s="1071">
        <v>8150</v>
      </c>
      <c r="F166" s="1089">
        <v>1350</v>
      </c>
      <c r="H166" s="1096"/>
    </row>
    <row r="167" spans="1:8" s="1065" customFormat="1" ht="14.25" customHeight="1" thickBot="1">
      <c r="A167" s="1077" t="s">
        <v>1406</v>
      </c>
      <c r="B167" s="1071" t="s">
        <v>1167</v>
      </c>
      <c r="C167" s="1071">
        <v>7540</v>
      </c>
      <c r="D167" s="1071">
        <v>7510</v>
      </c>
      <c r="E167" s="1071">
        <v>8030</v>
      </c>
      <c r="F167" s="1098"/>
      <c r="H167" s="1096"/>
    </row>
    <row r="168" spans="1:8" s="1065" customFormat="1" ht="14.25" customHeight="1" thickBot="1">
      <c r="A168" s="1077" t="s">
        <v>1406</v>
      </c>
      <c r="B168" s="1071" t="s">
        <v>1177</v>
      </c>
      <c r="C168" s="1071">
        <v>7210</v>
      </c>
      <c r="D168" s="1071">
        <v>7180</v>
      </c>
      <c r="E168" s="1071">
        <v>7830</v>
      </c>
      <c r="F168" s="1098"/>
      <c r="H168" s="1096"/>
    </row>
    <row r="169" spans="1:8" s="1065" customFormat="1" ht="14.25" customHeight="1" thickBot="1">
      <c r="A169" s="1077" t="s">
        <v>1406</v>
      </c>
      <c r="B169" s="1071" t="s">
        <v>1187</v>
      </c>
      <c r="C169" s="1071">
        <v>7040</v>
      </c>
      <c r="D169" s="1071">
        <v>7020</v>
      </c>
      <c r="E169" s="1071">
        <v>7670</v>
      </c>
      <c r="F169" s="1098"/>
      <c r="H169" s="1096"/>
    </row>
    <row r="170" spans="1:8" s="1065" customFormat="1" ht="14.25" customHeight="1" thickBot="1">
      <c r="A170" s="1077" t="s">
        <v>1406</v>
      </c>
      <c r="B170" s="1071" t="s">
        <v>1197</v>
      </c>
      <c r="C170" s="1071">
        <v>8040</v>
      </c>
      <c r="D170" s="1071">
        <v>7190</v>
      </c>
      <c r="E170" s="1071">
        <v>7850</v>
      </c>
      <c r="F170" s="1098"/>
      <c r="H170" s="1096"/>
    </row>
    <row r="171" spans="1:8" s="1065" customFormat="1" ht="14.25" customHeight="1" thickBot="1">
      <c r="A171" s="1077" t="s">
        <v>1406</v>
      </c>
      <c r="B171" s="1071" t="s">
        <v>1207</v>
      </c>
      <c r="C171" s="1071">
        <v>7860</v>
      </c>
      <c r="D171" s="1071">
        <v>7720</v>
      </c>
      <c r="E171" s="1071">
        <v>8150</v>
      </c>
      <c r="F171" s="1089">
        <v>1110</v>
      </c>
      <c r="H171" s="1096"/>
    </row>
    <row r="172" spans="1:8" s="1065" customFormat="1" ht="14.25" customHeight="1" thickBot="1">
      <c r="A172" s="1077" t="s">
        <v>1406</v>
      </c>
      <c r="B172" s="1071" t="s">
        <v>1217</v>
      </c>
      <c r="C172" s="1071">
        <v>7210</v>
      </c>
      <c r="D172" s="1071">
        <v>7170</v>
      </c>
      <c r="E172" s="1071">
        <v>7320</v>
      </c>
      <c r="F172" s="1098"/>
      <c r="H172" s="1096"/>
    </row>
    <row r="173" spans="1:8" s="1065" customFormat="1" ht="14.25" customHeight="1" thickBot="1">
      <c r="A173" s="1077" t="s">
        <v>1406</v>
      </c>
      <c r="B173" s="1071" t="s">
        <v>1227</v>
      </c>
      <c r="C173" s="1071">
        <v>6860</v>
      </c>
      <c r="D173" s="1071">
        <v>6810</v>
      </c>
      <c r="E173" s="1071">
        <v>7440</v>
      </c>
      <c r="F173" s="1098"/>
      <c r="H173" s="1096"/>
    </row>
    <row r="174" spans="1:8" s="1065" customFormat="1" ht="14.25" customHeight="1" thickBot="1">
      <c r="A174" s="1077" t="s">
        <v>1406</v>
      </c>
      <c r="B174" s="1071" t="s">
        <v>1237</v>
      </c>
      <c r="C174" s="1071">
        <v>7120</v>
      </c>
      <c r="D174" s="1071">
        <v>7090</v>
      </c>
      <c r="E174" s="1071">
        <v>7500</v>
      </c>
      <c r="F174" s="1089">
        <v>1490</v>
      </c>
      <c r="H174" s="1096"/>
    </row>
    <row r="175" spans="1:8" s="1065" customFormat="1" ht="14.25" customHeight="1" thickBot="1">
      <c r="A175" s="1077" t="s">
        <v>1406</v>
      </c>
      <c r="B175" s="1071" t="s">
        <v>1247</v>
      </c>
      <c r="C175" s="1071">
        <v>7850</v>
      </c>
      <c r="D175" s="1071">
        <v>7820</v>
      </c>
      <c r="E175" s="1071">
        <v>8120</v>
      </c>
      <c r="F175" s="1089">
        <v>1530</v>
      </c>
      <c r="H175" s="1096"/>
    </row>
    <row r="176" spans="1:8" s="1065" customFormat="1" ht="14.25" customHeight="1" thickBot="1">
      <c r="A176" s="1077" t="s">
        <v>1406</v>
      </c>
      <c r="B176" s="1071" t="s">
        <v>1257</v>
      </c>
      <c r="C176" s="1071">
        <v>7620</v>
      </c>
      <c r="D176" s="1071">
        <v>7570</v>
      </c>
      <c r="E176" s="1071">
        <v>7990</v>
      </c>
      <c r="F176" s="1089">
        <v>1480</v>
      </c>
      <c r="H176" s="1096"/>
    </row>
    <row r="177" spans="1:8" s="1065" customFormat="1" ht="14.25" customHeight="1" thickBot="1">
      <c r="A177" s="1077" t="s">
        <v>1406</v>
      </c>
      <c r="B177" s="1071" t="s">
        <v>1266</v>
      </c>
      <c r="C177" s="1071">
        <v>8590</v>
      </c>
      <c r="D177" s="1071">
        <v>8570</v>
      </c>
      <c r="E177" s="1071">
        <v>8740</v>
      </c>
      <c r="F177" s="1089">
        <v>1540</v>
      </c>
      <c r="H177" s="1096"/>
    </row>
    <row r="178" spans="1:8" s="1065" customFormat="1" ht="14.25" customHeight="1" thickBot="1">
      <c r="A178" s="1077" t="s">
        <v>1406</v>
      </c>
      <c r="B178" s="1071" t="s">
        <v>1275</v>
      </c>
      <c r="C178" s="1071">
        <v>7510</v>
      </c>
      <c r="D178" s="1071">
        <v>7470</v>
      </c>
      <c r="E178" s="1071">
        <v>8090</v>
      </c>
      <c r="F178" s="1089">
        <v>1320</v>
      </c>
      <c r="H178" s="1096"/>
    </row>
    <row r="179" spans="1:8" s="1065" customFormat="1" ht="14.25" customHeight="1" thickBot="1">
      <c r="A179" s="1077" t="s">
        <v>1406</v>
      </c>
      <c r="B179" s="1071" t="s">
        <v>1283</v>
      </c>
      <c r="C179" s="1071">
        <v>6380</v>
      </c>
      <c r="D179" s="1071">
        <v>6340</v>
      </c>
      <c r="E179" s="1071">
        <v>6810</v>
      </c>
      <c r="F179" s="1098"/>
      <c r="H179" s="1096"/>
    </row>
    <row r="180" spans="1:8" s="1065" customFormat="1" ht="14.25" customHeight="1" thickBot="1">
      <c r="A180" s="1077" t="s">
        <v>1406</v>
      </c>
      <c r="B180" s="1071" t="s">
        <v>1290</v>
      </c>
      <c r="C180" s="1071">
        <v>7830</v>
      </c>
      <c r="D180" s="1071">
        <v>7800</v>
      </c>
      <c r="E180" s="1071">
        <v>7780</v>
      </c>
      <c r="F180" s="1089">
        <v>1440</v>
      </c>
      <c r="H180" s="1096"/>
    </row>
    <row r="181" spans="1:8" s="1065" customFormat="1" ht="14.25" customHeight="1" thickBot="1">
      <c r="A181" s="1077" t="s">
        <v>1406</v>
      </c>
      <c r="B181" s="1071" t="s">
        <v>1297</v>
      </c>
      <c r="C181" s="1071">
        <v>7110</v>
      </c>
      <c r="D181" s="1071">
        <v>7080</v>
      </c>
      <c r="E181" s="1071">
        <v>7730</v>
      </c>
      <c r="F181" s="1089">
        <v>1350</v>
      </c>
      <c r="H181" s="1096"/>
    </row>
    <row r="182" spans="1:8" s="1065" customFormat="1" ht="14.25" customHeight="1" thickBot="1">
      <c r="A182" s="1077" t="s">
        <v>1406</v>
      </c>
      <c r="B182" s="1071" t="s">
        <v>1304</v>
      </c>
      <c r="C182" s="1071">
        <v>7310</v>
      </c>
      <c r="D182" s="1071">
        <v>7280</v>
      </c>
      <c r="E182" s="1071">
        <v>7950</v>
      </c>
      <c r="F182" s="1089">
        <v>1220</v>
      </c>
      <c r="H182" s="1096"/>
    </row>
    <row r="183" spans="1:8" s="1065" customFormat="1" ht="14.25" customHeight="1" thickBot="1">
      <c r="A183" s="1077" t="s">
        <v>1406</v>
      </c>
      <c r="B183" s="1071" t="s">
        <v>1311</v>
      </c>
      <c r="C183" s="1071">
        <v>7470</v>
      </c>
      <c r="D183" s="1071">
        <v>7440</v>
      </c>
      <c r="E183" s="1071">
        <v>7880</v>
      </c>
      <c r="F183" s="1098"/>
      <c r="H183" s="1096"/>
    </row>
    <row r="184" spans="1:8" s="1065" customFormat="1" ht="14.25" customHeight="1" thickBot="1">
      <c r="A184" s="1077" t="s">
        <v>1406</v>
      </c>
      <c r="B184" s="1071" t="s">
        <v>1318</v>
      </c>
      <c r="C184" s="1071">
        <v>6960</v>
      </c>
      <c r="D184" s="1071">
        <v>6930</v>
      </c>
      <c r="E184" s="1071">
        <v>7570</v>
      </c>
      <c r="F184" s="1098"/>
      <c r="H184" s="1096"/>
    </row>
    <row r="185" spans="1:8" s="1065" customFormat="1" ht="14.25" customHeight="1" thickBot="1">
      <c r="A185" s="1077" t="s">
        <v>1406</v>
      </c>
      <c r="B185" s="1071" t="s">
        <v>1325</v>
      </c>
      <c r="C185" s="1071">
        <v>7260</v>
      </c>
      <c r="D185" s="1071">
        <v>7230</v>
      </c>
      <c r="E185" s="1071">
        <v>7710</v>
      </c>
      <c r="F185" s="1089">
        <v>1360</v>
      </c>
      <c r="H185" s="1096"/>
    </row>
    <row r="186" spans="1:8" s="1065" customFormat="1" ht="14.25" customHeight="1" thickBot="1">
      <c r="A186" s="1077" t="s">
        <v>1406</v>
      </c>
      <c r="B186" s="1071" t="s">
        <v>1330</v>
      </c>
      <c r="C186" s="1071"/>
      <c r="D186" s="1071"/>
      <c r="E186" s="1071"/>
      <c r="F186" s="1089">
        <v>1560</v>
      </c>
      <c r="H186" s="1096"/>
    </row>
    <row r="187" spans="1:8" s="1065" customFormat="1" ht="14.25" customHeight="1" thickBot="1">
      <c r="A187" s="1077" t="s">
        <v>1406</v>
      </c>
      <c r="B187" s="1071" t="s">
        <v>1334</v>
      </c>
      <c r="C187" s="1071"/>
      <c r="D187" s="1071"/>
      <c r="E187" s="1071"/>
      <c r="F187" s="1089">
        <v>1560</v>
      </c>
      <c r="H187" s="1096"/>
    </row>
    <row r="188" spans="1:8" s="1065" customFormat="1" ht="14.25" customHeight="1" thickBot="1">
      <c r="A188" s="1077" t="s">
        <v>1406</v>
      </c>
      <c r="B188" s="1071" t="s">
        <v>1339</v>
      </c>
      <c r="C188" s="1071"/>
      <c r="D188" s="1071"/>
      <c r="E188" s="1071"/>
      <c r="F188" s="1089">
        <v>1560</v>
      </c>
      <c r="H188" s="1096"/>
    </row>
    <row r="189" spans="1:8" s="1065" customFormat="1" ht="14.25" customHeight="1" thickBot="1">
      <c r="A189" s="1077" t="s">
        <v>1406</v>
      </c>
      <c r="B189" s="1071" t="s">
        <v>1344</v>
      </c>
      <c r="C189" s="1071"/>
      <c r="D189" s="1071"/>
      <c r="E189" s="1071"/>
      <c r="F189" s="1089">
        <v>1320</v>
      </c>
      <c r="H189" s="1096"/>
    </row>
    <row r="190" spans="1:8" s="1065" customFormat="1" ht="14.25" customHeight="1" thickBot="1">
      <c r="A190" s="1077" t="s">
        <v>1406</v>
      </c>
      <c r="B190" s="1071" t="s">
        <v>1349</v>
      </c>
      <c r="C190" s="1071"/>
      <c r="D190" s="1071"/>
      <c r="E190" s="1071"/>
      <c r="F190" s="1089">
        <v>1320</v>
      </c>
      <c r="H190" s="1096"/>
    </row>
    <row r="191" spans="1:8" s="1065" customFormat="1" ht="14.25" customHeight="1" thickBot="1">
      <c r="A191" s="1077" t="s">
        <v>1406</v>
      </c>
      <c r="B191" s="1071" t="s">
        <v>1354</v>
      </c>
      <c r="C191" s="1071"/>
      <c r="D191" s="1071"/>
      <c r="E191" s="1071"/>
      <c r="F191" s="1089">
        <v>1320</v>
      </c>
      <c r="H191" s="1096"/>
    </row>
    <row r="192" spans="1:8" s="1065" customFormat="1" ht="14.25" customHeight="1" thickBot="1">
      <c r="A192" s="1077" t="s">
        <v>1406</v>
      </c>
      <c r="B192" s="1071" t="s">
        <v>1358</v>
      </c>
      <c r="C192" s="1071"/>
      <c r="D192" s="1071"/>
      <c r="E192" s="1071"/>
      <c r="F192" s="1089">
        <v>1100</v>
      </c>
      <c r="H192" s="1096"/>
    </row>
    <row r="193" spans="1:8" s="1065" customFormat="1" ht="14.25" customHeight="1" thickBot="1">
      <c r="A193" s="1077" t="s">
        <v>1406</v>
      </c>
      <c r="B193" s="1071" t="s">
        <v>1362</v>
      </c>
      <c r="C193" s="1071"/>
      <c r="D193" s="1071"/>
      <c r="E193" s="1071"/>
      <c r="F193" s="1089">
        <v>1100</v>
      </c>
      <c r="H193" s="1096"/>
    </row>
    <row r="194" spans="1:8" s="1065" customFormat="1" ht="14.25" customHeight="1" thickBot="1">
      <c r="A194" s="1077" t="s">
        <v>1406</v>
      </c>
      <c r="B194" s="1071" t="s">
        <v>1366</v>
      </c>
      <c r="C194" s="1071"/>
      <c r="D194" s="1071"/>
      <c r="E194" s="1071"/>
      <c r="F194" s="1089">
        <v>1080</v>
      </c>
      <c r="H194" s="1096"/>
    </row>
    <row r="195" spans="1:8" s="1065" customFormat="1" ht="14.25" customHeight="1" thickBot="1">
      <c r="A195" s="1077" t="s">
        <v>1406</v>
      </c>
      <c r="B195" s="1071" t="s">
        <v>1370</v>
      </c>
      <c r="C195" s="1071"/>
      <c r="D195" s="1071"/>
      <c r="E195" s="1071"/>
      <c r="F195" s="1089">
        <v>1270</v>
      </c>
      <c r="H195" s="1096"/>
    </row>
    <row r="196" spans="1:8" s="1065" customFormat="1" ht="14.25" customHeight="1" thickBot="1">
      <c r="A196" s="1077" t="s">
        <v>1406</v>
      </c>
      <c r="B196" s="1071" t="s">
        <v>1374</v>
      </c>
      <c r="C196" s="1071"/>
      <c r="D196" s="1071"/>
      <c r="E196" s="1071"/>
      <c r="F196" s="1089">
        <v>1150</v>
      </c>
      <c r="H196" s="1096"/>
    </row>
    <row r="197" spans="1:8" s="1065" customFormat="1" ht="14.25" customHeight="1" thickBot="1">
      <c r="A197" s="1077" t="s">
        <v>1406</v>
      </c>
      <c r="B197" s="1071" t="s">
        <v>1378</v>
      </c>
      <c r="C197" s="1071"/>
      <c r="D197" s="1071"/>
      <c r="E197" s="1071"/>
      <c r="F197" s="1089">
        <v>1330</v>
      </c>
      <c r="H197" s="1096"/>
    </row>
    <row r="198" spans="1:8" s="1065" customFormat="1" ht="14.25" customHeight="1" thickBot="1">
      <c r="A198" s="1077" t="s">
        <v>1406</v>
      </c>
      <c r="B198" s="1071" t="s">
        <v>1381</v>
      </c>
      <c r="C198" s="1071"/>
      <c r="D198" s="1071"/>
      <c r="E198" s="1071"/>
      <c r="F198" s="1089">
        <v>1170</v>
      </c>
      <c r="H198" s="1096"/>
    </row>
    <row r="199" spans="1:8" s="1065" customFormat="1" ht="14.25" customHeight="1" thickBot="1">
      <c r="A199" s="1077" t="s">
        <v>1406</v>
      </c>
      <c r="B199" s="1071" t="s">
        <v>1384</v>
      </c>
      <c r="C199" s="1071"/>
      <c r="D199" s="1071"/>
      <c r="E199" s="1071"/>
      <c r="F199" s="1089">
        <v>1120</v>
      </c>
      <c r="H199" s="1096"/>
    </row>
    <row r="200" spans="1:8" s="1065" customFormat="1" ht="14.25" customHeight="1" thickBot="1">
      <c r="A200" s="1077" t="s">
        <v>1406</v>
      </c>
      <c r="B200" s="1071" t="s">
        <v>1387</v>
      </c>
      <c r="C200" s="1071"/>
      <c r="D200" s="1071"/>
      <c r="E200" s="1071"/>
      <c r="F200" s="1089">
        <v>1120</v>
      </c>
      <c r="H200" s="1096"/>
    </row>
    <row r="201" spans="1:8" s="1065" customFormat="1" ht="14.25" customHeight="1" thickBot="1">
      <c r="A201" s="1077" t="s">
        <v>1406</v>
      </c>
      <c r="B201" s="1071" t="s">
        <v>1390</v>
      </c>
      <c r="C201" s="1071"/>
      <c r="D201" s="1071"/>
      <c r="E201" s="1071"/>
      <c r="F201" s="1089">
        <v>1540</v>
      </c>
      <c r="H201" s="1096"/>
    </row>
    <row r="202" spans="1:8" s="1065" customFormat="1" ht="14.25" customHeight="1" thickBot="1">
      <c r="A202" s="1077" t="s">
        <v>1406</v>
      </c>
      <c r="B202" s="1071" t="s">
        <v>1393</v>
      </c>
      <c r="C202" s="1071"/>
      <c r="D202" s="1071"/>
      <c r="E202" s="1071"/>
      <c r="F202" s="1089">
        <v>1310</v>
      </c>
      <c r="H202" s="1096"/>
    </row>
    <row r="203" spans="1:8" s="1065" customFormat="1" ht="14.25" customHeight="1" thickBot="1">
      <c r="A203" s="1077" t="s">
        <v>1406</v>
      </c>
      <c r="B203" s="1071" t="s">
        <v>1396</v>
      </c>
      <c r="C203" s="1071"/>
      <c r="D203" s="1071"/>
      <c r="E203" s="1071"/>
      <c r="F203" s="1089">
        <v>1310</v>
      </c>
      <c r="H203" s="1096"/>
    </row>
    <row r="204" spans="1:8" s="1065" customFormat="1" ht="14.25" customHeight="1" thickBot="1">
      <c r="A204" s="1077" t="s">
        <v>1406</v>
      </c>
      <c r="B204" s="1071" t="s">
        <v>1398</v>
      </c>
      <c r="C204" s="1071"/>
      <c r="D204" s="1071"/>
      <c r="E204" s="1071"/>
      <c r="F204" s="1089">
        <v>1080</v>
      </c>
      <c r="H204" s="1096"/>
    </row>
    <row r="205" spans="1:8" s="1065" customFormat="1" ht="14.25" customHeight="1" thickBot="1">
      <c r="A205" s="1077" t="s">
        <v>1406</v>
      </c>
      <c r="B205" s="1071" t="s">
        <v>1401</v>
      </c>
      <c r="C205" s="1071"/>
      <c r="D205" s="1071"/>
      <c r="E205" s="1071"/>
      <c r="F205" s="1089">
        <v>1080</v>
      </c>
      <c r="H205" s="1096"/>
    </row>
    <row r="206" spans="1:8" s="1065" customFormat="1" ht="14.25" customHeight="1" thickBot="1">
      <c r="A206" s="1077" t="s">
        <v>1408</v>
      </c>
      <c r="B206" s="1078" t="s">
        <v>1409</v>
      </c>
      <c r="C206" s="1078">
        <v>5450</v>
      </c>
      <c r="D206" s="1078">
        <v>5430</v>
      </c>
      <c r="E206" s="1078">
        <v>5700</v>
      </c>
      <c r="F206" s="1079">
        <v>1020</v>
      </c>
      <c r="H206" s="1096"/>
    </row>
    <row r="207" spans="1:8" s="1065" customFormat="1" ht="14.25" customHeight="1" thickBot="1">
      <c r="A207" s="1077" t="s">
        <v>1408</v>
      </c>
      <c r="B207" s="1071" t="s">
        <v>1072</v>
      </c>
      <c r="C207" s="1071">
        <v>5860</v>
      </c>
      <c r="D207" s="1071">
        <v>5820</v>
      </c>
      <c r="E207" s="1071">
        <v>6050</v>
      </c>
      <c r="F207" s="1089">
        <v>1080</v>
      </c>
      <c r="H207" s="1096"/>
    </row>
    <row r="208" spans="1:8" s="1065" customFormat="1" ht="14.25" customHeight="1" thickBot="1">
      <c r="A208" s="1077" t="s">
        <v>1408</v>
      </c>
      <c r="B208" s="1071" t="s">
        <v>1086</v>
      </c>
      <c r="C208" s="1071">
        <v>4630</v>
      </c>
      <c r="D208" s="1071">
        <v>4600</v>
      </c>
      <c r="E208" s="1071">
        <v>4840</v>
      </c>
      <c r="F208" s="1089">
        <v>900</v>
      </c>
      <c r="H208" s="1096"/>
    </row>
    <row r="209" spans="1:8" s="1065" customFormat="1" ht="14.25" customHeight="1" thickBot="1">
      <c r="A209" s="1077" t="s">
        <v>1408</v>
      </c>
      <c r="B209" s="1071" t="s">
        <v>1099</v>
      </c>
      <c r="C209" s="1071">
        <v>5320</v>
      </c>
      <c r="D209" s="1071">
        <v>5270</v>
      </c>
      <c r="E209" s="1071">
        <v>5540</v>
      </c>
      <c r="F209" s="1089">
        <v>980</v>
      </c>
      <c r="H209" s="1096"/>
    </row>
    <row r="210" spans="1:8" s="1065" customFormat="1" ht="14.25" customHeight="1" thickBot="1">
      <c r="A210" s="1077" t="s">
        <v>1408</v>
      </c>
      <c r="B210" s="1071" t="s">
        <v>1113</v>
      </c>
      <c r="C210" s="1071">
        <v>5760</v>
      </c>
      <c r="D210" s="1071">
        <v>5710</v>
      </c>
      <c r="E210" s="1071">
        <v>6010</v>
      </c>
      <c r="F210" s="1089">
        <v>870</v>
      </c>
      <c r="H210" s="1096"/>
    </row>
    <row r="211" spans="1:8" s="1065" customFormat="1" ht="14.25" customHeight="1" thickBot="1">
      <c r="A211" s="1077" t="s">
        <v>1408</v>
      </c>
      <c r="B211" s="1071" t="s">
        <v>1124</v>
      </c>
      <c r="C211" s="1071">
        <v>4160</v>
      </c>
      <c r="D211" s="1071">
        <v>4100</v>
      </c>
      <c r="E211" s="1071">
        <v>4270</v>
      </c>
      <c r="F211" s="1089">
        <v>790</v>
      </c>
      <c r="H211" s="1096"/>
    </row>
    <row r="212" spans="1:8" s="1065" customFormat="1" ht="14.25" customHeight="1" thickBot="1">
      <c r="A212" s="1077" t="s">
        <v>1408</v>
      </c>
      <c r="B212" s="1071" t="s">
        <v>1135</v>
      </c>
      <c r="C212" s="1071">
        <v>4880</v>
      </c>
      <c r="D212" s="1071">
        <v>4850</v>
      </c>
      <c r="E212" s="1071">
        <v>5110</v>
      </c>
      <c r="F212" s="1089">
        <v>940</v>
      </c>
      <c r="H212" s="1096"/>
    </row>
    <row r="213" spans="1:8" s="1065" customFormat="1" ht="14.25" customHeight="1" thickBot="1">
      <c r="A213" s="1077" t="s">
        <v>1408</v>
      </c>
      <c r="B213" s="1071" t="s">
        <v>1146</v>
      </c>
      <c r="C213" s="1071">
        <v>4640</v>
      </c>
      <c r="D213" s="1071">
        <v>4590</v>
      </c>
      <c r="E213" s="1071">
        <v>4700</v>
      </c>
      <c r="F213" s="1089">
        <v>1030</v>
      </c>
      <c r="H213" s="1096"/>
    </row>
    <row r="214" spans="1:8" s="1065" customFormat="1" ht="14.25" customHeight="1" thickBot="1">
      <c r="A214" s="1077" t="s">
        <v>1408</v>
      </c>
      <c r="B214" s="1071" t="s">
        <v>1158</v>
      </c>
      <c r="C214" s="1071">
        <v>4540</v>
      </c>
      <c r="D214" s="1071">
        <v>4490</v>
      </c>
      <c r="E214" s="1071">
        <v>4610</v>
      </c>
      <c r="F214" s="1098"/>
      <c r="H214" s="1096"/>
    </row>
    <row r="215" spans="1:8" s="1065" customFormat="1" ht="14.25" customHeight="1" thickBot="1">
      <c r="A215" s="1077" t="s">
        <v>1408</v>
      </c>
      <c r="B215" s="1071" t="s">
        <v>1168</v>
      </c>
      <c r="C215" s="1071">
        <v>5280</v>
      </c>
      <c r="D215" s="1071">
        <v>5250</v>
      </c>
      <c r="E215" s="1071">
        <v>5520</v>
      </c>
      <c r="F215" s="1089">
        <v>1000</v>
      </c>
      <c r="H215" s="1096"/>
    </row>
    <row r="216" spans="1:8" s="1065" customFormat="1" ht="14.25" customHeight="1" thickBot="1">
      <c r="A216" s="1077" t="s">
        <v>1408</v>
      </c>
      <c r="B216" s="1071" t="s">
        <v>1178</v>
      </c>
      <c r="C216" s="1071">
        <v>5100</v>
      </c>
      <c r="D216" s="1071">
        <v>5050</v>
      </c>
      <c r="E216" s="1071">
        <v>5300</v>
      </c>
      <c r="F216" s="1089">
        <v>950</v>
      </c>
      <c r="H216" s="1096"/>
    </row>
    <row r="217" spans="1:8" s="1065" customFormat="1" ht="14.25" customHeight="1" thickBot="1">
      <c r="A217" s="1077" t="s">
        <v>1408</v>
      </c>
      <c r="B217" s="1071" t="s">
        <v>1188</v>
      </c>
      <c r="C217" s="1071">
        <v>5370</v>
      </c>
      <c r="D217" s="1071">
        <v>5320</v>
      </c>
      <c r="E217" s="1071">
        <v>5410</v>
      </c>
      <c r="F217" s="1089">
        <v>950</v>
      </c>
      <c r="H217" s="1096"/>
    </row>
    <row r="218" spans="1:8" s="1065" customFormat="1" ht="14.25" customHeight="1" thickBot="1">
      <c r="A218" s="1077" t="s">
        <v>1408</v>
      </c>
      <c r="B218" s="1071" t="s">
        <v>1198</v>
      </c>
      <c r="C218" s="1071">
        <v>5540</v>
      </c>
      <c r="D218" s="1071">
        <v>5480</v>
      </c>
      <c r="E218" s="1071">
        <v>5740</v>
      </c>
      <c r="F218" s="1089">
        <v>1020</v>
      </c>
      <c r="H218" s="1096"/>
    </row>
    <row r="219" spans="1:8" s="1065" customFormat="1" ht="14.25" customHeight="1" thickBot="1">
      <c r="A219" s="1077" t="s">
        <v>1408</v>
      </c>
      <c r="B219" s="1071" t="s">
        <v>1208</v>
      </c>
      <c r="C219" s="1071">
        <v>5140</v>
      </c>
      <c r="D219" s="1071">
        <v>5100</v>
      </c>
      <c r="E219" s="1071">
        <v>5350</v>
      </c>
      <c r="F219" s="1089">
        <v>1120</v>
      </c>
      <c r="H219" s="1096"/>
    </row>
    <row r="220" spans="1:8" s="1065" customFormat="1" ht="14.25" customHeight="1" thickBot="1">
      <c r="A220" s="1077" t="s">
        <v>1408</v>
      </c>
      <c r="B220" s="1071" t="s">
        <v>1218</v>
      </c>
      <c r="C220" s="1071">
        <v>5040</v>
      </c>
      <c r="D220" s="1071">
        <v>5000</v>
      </c>
      <c r="E220" s="1071">
        <v>5240</v>
      </c>
      <c r="F220" s="1089">
        <v>980</v>
      </c>
      <c r="H220" s="1096"/>
    </row>
    <row r="221" spans="1:8" s="1065" customFormat="1" ht="14.25" customHeight="1" thickBot="1">
      <c r="A221" s="1077" t="s">
        <v>1408</v>
      </c>
      <c r="B221" s="1071" t="s">
        <v>1228</v>
      </c>
      <c r="C221" s="1099"/>
      <c r="D221" s="1099"/>
      <c r="E221" s="1099"/>
      <c r="F221" s="1089">
        <v>1070</v>
      </c>
      <c r="H221" s="1096"/>
    </row>
    <row r="222" spans="1:8" s="1065" customFormat="1" ht="14.25" customHeight="1" thickBot="1">
      <c r="A222" s="1077" t="s">
        <v>1408</v>
      </c>
      <c r="B222" s="1071" t="s">
        <v>1238</v>
      </c>
      <c r="C222" s="1099"/>
      <c r="D222" s="1099"/>
      <c r="E222" s="1099"/>
      <c r="F222" s="1089">
        <v>870</v>
      </c>
      <c r="H222" s="1096"/>
    </row>
    <row r="223" spans="1:8" s="1065" customFormat="1" ht="14.25" customHeight="1" thickBot="1">
      <c r="A223" s="1077" t="s">
        <v>1408</v>
      </c>
      <c r="B223" s="1071" t="s">
        <v>1248</v>
      </c>
      <c r="C223" s="1099"/>
      <c r="D223" s="1099"/>
      <c r="E223" s="1099"/>
      <c r="F223" s="1089">
        <v>940</v>
      </c>
      <c r="H223" s="1096"/>
    </row>
    <row r="224" spans="1:8" s="1065" customFormat="1" ht="14.25" customHeight="1" thickBot="1">
      <c r="A224" s="1077" t="s">
        <v>1408</v>
      </c>
      <c r="B224" s="1071" t="s">
        <v>1258</v>
      </c>
      <c r="C224" s="1099"/>
      <c r="D224" s="1099"/>
      <c r="E224" s="1099"/>
      <c r="F224" s="1089">
        <v>990</v>
      </c>
      <c r="H224" s="1096"/>
    </row>
    <row r="225" spans="1:8" s="1065" customFormat="1" ht="14.25" customHeight="1" thickBot="1">
      <c r="A225" s="1077" t="s">
        <v>1408</v>
      </c>
      <c r="B225" s="1071" t="s">
        <v>1267</v>
      </c>
      <c r="C225" s="1071">
        <v>5730</v>
      </c>
      <c r="D225" s="1071">
        <v>5680</v>
      </c>
      <c r="E225" s="1071">
        <v>6020</v>
      </c>
      <c r="F225" s="1089">
        <v>1000</v>
      </c>
      <c r="H225" s="1096"/>
    </row>
    <row r="226" spans="1:8" s="1065" customFormat="1" ht="14.25" customHeight="1" thickBot="1">
      <c r="A226" s="1077" t="s">
        <v>1408</v>
      </c>
      <c r="B226" s="1071" t="s">
        <v>1276</v>
      </c>
      <c r="C226" s="1071">
        <v>4970</v>
      </c>
      <c r="D226" s="1071">
        <v>4940</v>
      </c>
      <c r="E226" s="1071">
        <v>5180</v>
      </c>
      <c r="F226" s="1089">
        <v>960</v>
      </c>
      <c r="H226" s="1096"/>
    </row>
    <row r="227" spans="1:8" s="1065" customFormat="1" ht="14.25" customHeight="1" thickBot="1">
      <c r="A227" s="1077" t="s">
        <v>1408</v>
      </c>
      <c r="B227" s="1071" t="s">
        <v>1284</v>
      </c>
      <c r="C227" s="1071">
        <v>5550</v>
      </c>
      <c r="D227" s="1071">
        <v>5500</v>
      </c>
      <c r="E227" s="1071">
        <v>5780</v>
      </c>
      <c r="F227" s="1089">
        <v>940</v>
      </c>
      <c r="H227" s="1096"/>
    </row>
    <row r="228" spans="1:8" s="1065" customFormat="1" ht="14.25" customHeight="1" thickBot="1">
      <c r="A228" s="1077" t="s">
        <v>1408</v>
      </c>
      <c r="B228" s="1071" t="s">
        <v>1291</v>
      </c>
      <c r="C228" s="1071">
        <v>5460</v>
      </c>
      <c r="D228" s="1071">
        <v>5420</v>
      </c>
      <c r="E228" s="1071">
        <v>5690</v>
      </c>
      <c r="F228" s="1089">
        <v>910</v>
      </c>
      <c r="H228" s="1096"/>
    </row>
    <row r="229" spans="1:8" s="1065" customFormat="1" ht="14.25" customHeight="1" thickBot="1">
      <c r="A229" s="1077" t="s">
        <v>1408</v>
      </c>
      <c r="B229" s="1071" t="s">
        <v>1298</v>
      </c>
      <c r="C229" s="1071">
        <v>5310</v>
      </c>
      <c r="D229" s="1071">
        <v>5270</v>
      </c>
      <c r="E229" s="1071">
        <v>5510</v>
      </c>
      <c r="F229" s="1098"/>
      <c r="H229" s="1096"/>
    </row>
    <row r="230" spans="1:8" s="1065" customFormat="1" ht="14.25" customHeight="1" thickBot="1">
      <c r="A230" s="1077" t="s">
        <v>1408</v>
      </c>
      <c r="B230" s="1071" t="s">
        <v>1305</v>
      </c>
      <c r="C230" s="1071">
        <v>4540</v>
      </c>
      <c r="D230" s="1071">
        <v>4500</v>
      </c>
      <c r="E230" s="1071">
        <v>4730</v>
      </c>
      <c r="F230" s="1098"/>
      <c r="H230" s="1096"/>
    </row>
    <row r="231" spans="1:8" s="1065" customFormat="1" ht="14.25" customHeight="1" thickBot="1">
      <c r="A231" s="1077" t="s">
        <v>1408</v>
      </c>
      <c r="B231" s="1071" t="s">
        <v>1312</v>
      </c>
      <c r="C231" s="1071">
        <v>4480</v>
      </c>
      <c r="D231" s="1071">
        <v>4410</v>
      </c>
      <c r="E231" s="1071">
        <v>4640</v>
      </c>
      <c r="F231" s="1098"/>
      <c r="H231" s="1096"/>
    </row>
    <row r="232" spans="1:8" s="1065" customFormat="1" ht="14.25" customHeight="1" thickBot="1">
      <c r="A232" s="1077" t="s">
        <v>1408</v>
      </c>
      <c r="B232" s="1071" t="s">
        <v>1319</v>
      </c>
      <c r="C232" s="1071">
        <v>5670</v>
      </c>
      <c r="D232" s="1071">
        <v>5600</v>
      </c>
      <c r="E232" s="1071">
        <v>5890</v>
      </c>
      <c r="F232" s="1089">
        <v>1150</v>
      </c>
      <c r="H232" s="1096"/>
    </row>
    <row r="233" spans="1:8" s="1065" customFormat="1" ht="14.25" customHeight="1" thickBot="1">
      <c r="A233" s="1077" t="s">
        <v>1408</v>
      </c>
      <c r="B233" s="1071" t="s">
        <v>1326</v>
      </c>
      <c r="C233" s="1071">
        <v>4590</v>
      </c>
      <c r="D233" s="1071">
        <v>4500</v>
      </c>
      <c r="E233" s="1071">
        <v>4600</v>
      </c>
      <c r="F233" s="1098"/>
      <c r="H233" s="1096"/>
    </row>
    <row r="234" spans="1:8" s="1065" customFormat="1" ht="14.25" customHeight="1" thickBot="1">
      <c r="A234" s="1077" t="s">
        <v>1408</v>
      </c>
      <c r="B234" s="1071" t="s">
        <v>2418</v>
      </c>
      <c r="C234" s="1071">
        <v>3990</v>
      </c>
      <c r="D234" s="1071">
        <v>3950</v>
      </c>
      <c r="E234" s="1071">
        <v>4180</v>
      </c>
      <c r="F234" s="1098"/>
      <c r="H234" s="1096"/>
    </row>
    <row r="235" spans="1:8" s="1065" customFormat="1" ht="14.25" customHeight="1" thickBot="1">
      <c r="A235" s="1077" t="s">
        <v>1408</v>
      </c>
      <c r="B235" s="1071" t="s">
        <v>1335</v>
      </c>
      <c r="C235" s="1071">
        <v>5590</v>
      </c>
      <c r="D235" s="1071">
        <v>5540</v>
      </c>
      <c r="E235" s="1071">
        <v>5810</v>
      </c>
      <c r="F235" s="1089">
        <v>970</v>
      </c>
      <c r="H235" s="1096"/>
    </row>
    <row r="236" spans="1:8" s="1065" customFormat="1" ht="14.25" customHeight="1" thickBot="1">
      <c r="A236" s="1077" t="s">
        <v>1408</v>
      </c>
      <c r="B236" s="1071" t="s">
        <v>1340</v>
      </c>
      <c r="C236" s="1071"/>
      <c r="D236" s="1071"/>
      <c r="E236" s="1071"/>
      <c r="F236" s="1089">
        <v>1020</v>
      </c>
      <c r="H236" s="1096"/>
    </row>
    <row r="237" spans="1:8" s="1065" customFormat="1" ht="14.25" customHeight="1" thickBot="1">
      <c r="A237" s="1077" t="s">
        <v>1408</v>
      </c>
      <c r="B237" s="1071" t="s">
        <v>1345</v>
      </c>
      <c r="C237" s="1071"/>
      <c r="D237" s="1071"/>
      <c r="E237" s="1071"/>
      <c r="F237" s="1089">
        <v>960</v>
      </c>
      <c r="H237" s="1096"/>
    </row>
    <row r="238" spans="1:8" s="1065" customFormat="1" ht="14.25" customHeight="1" thickBot="1">
      <c r="A238" s="1077" t="s">
        <v>1408</v>
      </c>
      <c r="B238" s="1071" t="s">
        <v>1350</v>
      </c>
      <c r="C238" s="1071"/>
      <c r="D238" s="1071"/>
      <c r="E238" s="1071"/>
      <c r="F238" s="1089">
        <v>960</v>
      </c>
      <c r="H238" s="1096"/>
    </row>
    <row r="239" spans="1:8" s="1065" customFormat="1" ht="14.25" customHeight="1" thickBot="1">
      <c r="A239" s="1077" t="s">
        <v>1408</v>
      </c>
      <c r="B239" s="1071" t="s">
        <v>1355</v>
      </c>
      <c r="C239" s="1071"/>
      <c r="D239" s="1071"/>
      <c r="E239" s="1071"/>
      <c r="F239" s="1089">
        <v>960</v>
      </c>
      <c r="H239" s="1096"/>
    </row>
    <row r="240" spans="1:8" s="1065" customFormat="1" ht="14.25" customHeight="1" thickBot="1">
      <c r="A240" s="1077" t="s">
        <v>1408</v>
      </c>
      <c r="B240" s="1071" t="s">
        <v>1359</v>
      </c>
      <c r="C240" s="1071"/>
      <c r="D240" s="1071"/>
      <c r="E240" s="1071"/>
      <c r="F240" s="1089">
        <v>990</v>
      </c>
      <c r="H240" s="1096"/>
    </row>
    <row r="241" spans="1:8" s="1065" customFormat="1" ht="14.25" customHeight="1" thickBot="1">
      <c r="A241" s="1077" t="s">
        <v>1408</v>
      </c>
      <c r="B241" s="1071" t="s">
        <v>1363</v>
      </c>
      <c r="C241" s="1071"/>
      <c r="D241" s="1071"/>
      <c r="E241" s="1071"/>
      <c r="F241" s="1089">
        <v>1000</v>
      </c>
      <c r="H241" s="1096"/>
    </row>
    <row r="242" spans="1:8" s="1065" customFormat="1" ht="14.25" customHeight="1" thickBot="1">
      <c r="A242" s="1077" t="s">
        <v>1408</v>
      </c>
      <c r="B242" s="1071" t="s">
        <v>1367</v>
      </c>
      <c r="C242" s="1071"/>
      <c r="D242" s="1071"/>
      <c r="E242" s="1071"/>
      <c r="F242" s="1089">
        <v>980</v>
      </c>
      <c r="H242" s="1096"/>
    </row>
    <row r="243" spans="1:8" s="1065" customFormat="1" ht="14.25" customHeight="1" thickBot="1">
      <c r="A243" s="1077" t="s">
        <v>1408</v>
      </c>
      <c r="B243" s="1071" t="s">
        <v>1371</v>
      </c>
      <c r="C243" s="1071"/>
      <c r="D243" s="1071"/>
      <c r="E243" s="1071"/>
      <c r="F243" s="1089">
        <v>970</v>
      </c>
      <c r="H243" s="1096"/>
    </row>
    <row r="244" spans="1:8" s="1065" customFormat="1" ht="14.25" customHeight="1" thickBot="1">
      <c r="A244" s="1077" t="s">
        <v>1408</v>
      </c>
      <c r="B244" s="1087" t="s">
        <v>1375</v>
      </c>
      <c r="C244" s="1087"/>
      <c r="D244" s="1087"/>
      <c r="E244" s="1087"/>
      <c r="F244" s="1097">
        <v>970</v>
      </c>
      <c r="H244" s="1096"/>
    </row>
    <row r="245" spans="1:8" s="1065" customFormat="1" ht="14.25" customHeight="1" thickBot="1">
      <c r="A245" s="1077" t="s">
        <v>1410</v>
      </c>
      <c r="B245" s="1078" t="s">
        <v>1411</v>
      </c>
      <c r="C245" s="1078">
        <v>4050</v>
      </c>
      <c r="D245" s="1078">
        <v>4020</v>
      </c>
      <c r="E245" s="1078">
        <v>4160</v>
      </c>
      <c r="F245" s="1079">
        <v>840</v>
      </c>
      <c r="H245" s="1096"/>
    </row>
    <row r="246" spans="1:8" s="1065" customFormat="1" ht="14.25" customHeight="1" thickBot="1">
      <c r="A246" s="1077" t="s">
        <v>1410</v>
      </c>
      <c r="B246" s="1071" t="s">
        <v>1073</v>
      </c>
      <c r="C246" s="1071">
        <v>4010</v>
      </c>
      <c r="D246" s="1071">
        <v>3960</v>
      </c>
      <c r="E246" s="1071">
        <v>4130</v>
      </c>
      <c r="F246" s="1089">
        <v>840</v>
      </c>
      <c r="H246" s="1096"/>
    </row>
    <row r="247" spans="1:8" s="1065" customFormat="1" ht="14.25" customHeight="1" thickBot="1">
      <c r="A247" s="1077" t="s">
        <v>1410</v>
      </c>
      <c r="B247" s="1071" t="s">
        <v>1412</v>
      </c>
      <c r="C247" s="1071">
        <v>3170</v>
      </c>
      <c r="D247" s="1071">
        <v>3140</v>
      </c>
      <c r="E247" s="1071">
        <v>3270</v>
      </c>
      <c r="F247" s="1089">
        <v>640</v>
      </c>
      <c r="H247" s="1096"/>
    </row>
    <row r="248" spans="1:8" s="1065" customFormat="1" ht="14.25" customHeight="1" thickBot="1">
      <c r="A248" s="1077" t="s">
        <v>1410</v>
      </c>
      <c r="B248" s="1071" t="s">
        <v>1413</v>
      </c>
      <c r="C248" s="1071">
        <v>3140</v>
      </c>
      <c r="D248" s="1071">
        <v>3120</v>
      </c>
      <c r="E248" s="1071">
        <v>3240</v>
      </c>
      <c r="F248" s="1089">
        <v>620</v>
      </c>
      <c r="H248" s="1096"/>
    </row>
    <row r="249" spans="1:8" s="1065" customFormat="1" ht="14.25" customHeight="1" thickBot="1">
      <c r="A249" s="1077" t="s">
        <v>1410</v>
      </c>
      <c r="B249" s="1071" t="s">
        <v>1114</v>
      </c>
      <c r="C249" s="1071">
        <v>3200</v>
      </c>
      <c r="D249" s="1071">
        <v>3100</v>
      </c>
      <c r="E249" s="1071">
        <v>3230</v>
      </c>
      <c r="F249" s="1089">
        <v>750</v>
      </c>
      <c r="H249" s="1096"/>
    </row>
    <row r="250" spans="1:8" s="1065" customFormat="1" ht="14.25" customHeight="1" thickBot="1">
      <c r="A250" s="1077" t="s">
        <v>1410</v>
      </c>
      <c r="B250" s="1071" t="s">
        <v>1125</v>
      </c>
      <c r="C250" s="1071">
        <v>4060</v>
      </c>
      <c r="D250" s="1071">
        <v>4000</v>
      </c>
      <c r="E250" s="1071">
        <v>4140</v>
      </c>
      <c r="F250" s="1089">
        <v>790</v>
      </c>
      <c r="H250" s="1096"/>
    </row>
    <row r="251" spans="1:8" s="1065" customFormat="1" ht="14.25" customHeight="1" thickBot="1">
      <c r="A251" s="1077" t="s">
        <v>1410</v>
      </c>
      <c r="B251" s="1071" t="s">
        <v>1136</v>
      </c>
      <c r="C251" s="1071">
        <v>3990</v>
      </c>
      <c r="D251" s="1071">
        <v>3970</v>
      </c>
      <c r="E251" s="1071">
        <v>4110</v>
      </c>
      <c r="F251" s="1089">
        <v>730</v>
      </c>
      <c r="H251" s="1096"/>
    </row>
    <row r="252" spans="1:8" s="1065" customFormat="1" ht="14.25" customHeight="1" thickBot="1">
      <c r="A252" s="1077" t="s">
        <v>1410</v>
      </c>
      <c r="B252" s="1071" t="s">
        <v>1147</v>
      </c>
      <c r="C252" s="1071">
        <v>3560</v>
      </c>
      <c r="D252" s="1071">
        <v>3530</v>
      </c>
      <c r="E252" s="1071">
        <v>3650</v>
      </c>
      <c r="F252" s="1089">
        <v>750</v>
      </c>
      <c r="H252" s="1096"/>
    </row>
    <row r="253" spans="1:8" s="1065" customFormat="1" ht="14.25" customHeight="1" thickBot="1">
      <c r="A253" s="1077" t="s">
        <v>1410</v>
      </c>
      <c r="B253" s="1071" t="s">
        <v>1159</v>
      </c>
      <c r="C253" s="1071">
        <v>3780</v>
      </c>
      <c r="D253" s="1071">
        <v>3750</v>
      </c>
      <c r="E253" s="1071">
        <v>3870</v>
      </c>
      <c r="F253" s="1089">
        <v>770</v>
      </c>
      <c r="H253" s="1096"/>
    </row>
    <row r="254" spans="1:8" s="1065" customFormat="1" ht="14.25" customHeight="1" thickBot="1">
      <c r="A254" s="1077" t="s">
        <v>1410</v>
      </c>
      <c r="B254" s="1071" t="s">
        <v>1169</v>
      </c>
      <c r="C254" s="1099"/>
      <c r="D254" s="1099"/>
      <c r="E254" s="1099"/>
      <c r="F254" s="1089">
        <v>740</v>
      </c>
      <c r="H254" s="1096"/>
    </row>
    <row r="255" spans="1:8" s="1065" customFormat="1" ht="14.25" customHeight="1" thickBot="1">
      <c r="A255" s="1077" t="s">
        <v>1410</v>
      </c>
      <c r="B255" s="1071" t="s">
        <v>1179</v>
      </c>
      <c r="C255" s="1099"/>
      <c r="D255" s="1099"/>
      <c r="E255" s="1099"/>
      <c r="F255" s="1089">
        <v>760</v>
      </c>
      <c r="H255" s="1096"/>
    </row>
    <row r="256" spans="1:8" s="1065" customFormat="1" ht="14.25" customHeight="1" thickBot="1">
      <c r="A256" s="1077" t="s">
        <v>1410</v>
      </c>
      <c r="B256" s="1071" t="s">
        <v>1189</v>
      </c>
      <c r="C256" s="1071">
        <v>3760</v>
      </c>
      <c r="D256" s="1071">
        <v>3730</v>
      </c>
      <c r="E256" s="1071">
        <v>3870</v>
      </c>
      <c r="F256" s="1089">
        <v>830</v>
      </c>
      <c r="H256" s="1096"/>
    </row>
    <row r="257" spans="1:8" s="1065" customFormat="1" ht="14.25" customHeight="1" thickBot="1">
      <c r="A257" s="1077" t="s">
        <v>1410</v>
      </c>
      <c r="B257" s="1071" t="s">
        <v>1199</v>
      </c>
      <c r="C257" s="1071">
        <v>3570</v>
      </c>
      <c r="D257" s="1071">
        <v>3540</v>
      </c>
      <c r="E257" s="1071">
        <v>3650</v>
      </c>
      <c r="F257" s="1089">
        <v>790</v>
      </c>
      <c r="H257" s="1096"/>
    </row>
    <row r="258" spans="1:8" s="1065" customFormat="1" ht="14.25" customHeight="1" thickBot="1">
      <c r="A258" s="1077" t="s">
        <v>1410</v>
      </c>
      <c r="B258" s="1071" t="s">
        <v>1209</v>
      </c>
      <c r="C258" s="1071">
        <v>3410</v>
      </c>
      <c r="D258" s="1071">
        <v>3380</v>
      </c>
      <c r="E258" s="1071">
        <v>3500</v>
      </c>
      <c r="F258" s="1089">
        <v>830</v>
      </c>
      <c r="H258" s="1096"/>
    </row>
    <row r="259" spans="1:8" s="1065" customFormat="1" ht="14.25" customHeight="1" thickBot="1">
      <c r="A259" s="1077" t="s">
        <v>1410</v>
      </c>
      <c r="B259" s="1071" t="s">
        <v>1219</v>
      </c>
      <c r="C259" s="1071">
        <v>3870</v>
      </c>
      <c r="D259" s="1071">
        <v>3840</v>
      </c>
      <c r="E259" s="1071">
        <v>3970</v>
      </c>
      <c r="F259" s="1089">
        <v>830</v>
      </c>
      <c r="H259" s="1096"/>
    </row>
    <row r="260" spans="1:8" s="1065" customFormat="1" ht="14.25" customHeight="1" thickBot="1">
      <c r="A260" s="1077" t="s">
        <v>1410</v>
      </c>
      <c r="B260" s="1071" t="s">
        <v>1229</v>
      </c>
      <c r="C260" s="1071">
        <v>3700</v>
      </c>
      <c r="D260" s="1071">
        <v>3660</v>
      </c>
      <c r="E260" s="1071">
        <v>3810</v>
      </c>
      <c r="F260" s="1089">
        <v>790</v>
      </c>
      <c r="H260" s="1096"/>
    </row>
    <row r="261" spans="1:8" s="1065" customFormat="1" ht="14.25" customHeight="1" thickBot="1">
      <c r="A261" s="1077" t="s">
        <v>1410</v>
      </c>
      <c r="B261" s="1071" t="s">
        <v>1239</v>
      </c>
      <c r="C261" s="1071">
        <v>3470</v>
      </c>
      <c r="D261" s="1071">
        <v>3430</v>
      </c>
      <c r="E261" s="1071">
        <v>3640</v>
      </c>
      <c r="F261" s="1089">
        <v>760</v>
      </c>
      <c r="H261" s="1096"/>
    </row>
    <row r="262" spans="1:8" s="1065" customFormat="1" ht="14.25" customHeight="1" thickBot="1">
      <c r="A262" s="1077" t="s">
        <v>1410</v>
      </c>
      <c r="B262" s="1071" t="s">
        <v>1249</v>
      </c>
      <c r="C262" s="1071">
        <v>3510</v>
      </c>
      <c r="D262" s="1071">
        <v>3470</v>
      </c>
      <c r="E262" s="1071">
        <v>3680</v>
      </c>
      <c r="F262" s="1098"/>
      <c r="H262" s="1096"/>
    </row>
    <row r="263" spans="1:8" s="1065" customFormat="1" ht="14.25" customHeight="1" thickBot="1">
      <c r="A263" s="1077" t="s">
        <v>1410</v>
      </c>
      <c r="B263" s="1071" t="s">
        <v>1259</v>
      </c>
      <c r="C263" s="1071">
        <v>3960</v>
      </c>
      <c r="D263" s="1071">
        <v>3930</v>
      </c>
      <c r="E263" s="1071">
        <v>4070</v>
      </c>
      <c r="F263" s="1089">
        <v>830</v>
      </c>
      <c r="H263" s="1096"/>
    </row>
    <row r="264" spans="1:8" s="1065" customFormat="1" ht="14.25" customHeight="1" thickBot="1">
      <c r="A264" s="1077" t="s">
        <v>1410</v>
      </c>
      <c r="B264" s="1071" t="s">
        <v>1268</v>
      </c>
      <c r="C264" s="1071">
        <v>4010</v>
      </c>
      <c r="D264" s="1071">
        <v>3980</v>
      </c>
      <c r="E264" s="1071">
        <v>4150</v>
      </c>
      <c r="F264" s="1089">
        <v>760</v>
      </c>
      <c r="H264" s="1096"/>
    </row>
    <row r="265" spans="1:8" s="1065" customFormat="1" ht="14.25" customHeight="1" thickBot="1">
      <c r="A265" s="1077" t="s">
        <v>1410</v>
      </c>
      <c r="B265" s="1071" t="s">
        <v>1277</v>
      </c>
      <c r="C265" s="1071">
        <v>3910</v>
      </c>
      <c r="D265" s="1071">
        <v>3890</v>
      </c>
      <c r="E265" s="1071">
        <v>4040</v>
      </c>
      <c r="F265" s="1089">
        <v>780</v>
      </c>
      <c r="H265" s="1096"/>
    </row>
    <row r="266" spans="1:8" s="1065" customFormat="1" ht="14.25" customHeight="1" thickBot="1">
      <c r="A266" s="1077" t="s">
        <v>1410</v>
      </c>
      <c r="B266" s="1071" t="s">
        <v>1285</v>
      </c>
      <c r="C266" s="1071">
        <v>3930</v>
      </c>
      <c r="D266" s="1071">
        <v>3900</v>
      </c>
      <c r="E266" s="1071">
        <v>4080</v>
      </c>
      <c r="F266" s="1089">
        <v>770</v>
      </c>
      <c r="H266" s="1096"/>
    </row>
    <row r="267" spans="1:8" s="1065" customFormat="1" ht="14.25" customHeight="1" thickBot="1">
      <c r="A267" s="1077" t="s">
        <v>1410</v>
      </c>
      <c r="B267" s="1071" t="s">
        <v>1292</v>
      </c>
      <c r="C267" s="1071">
        <v>3800</v>
      </c>
      <c r="D267" s="1071">
        <v>3780</v>
      </c>
      <c r="E267" s="1071">
        <v>3930</v>
      </c>
      <c r="F267" s="1098"/>
      <c r="H267" s="1096"/>
    </row>
    <row r="268" spans="1:8" s="1065" customFormat="1" ht="14.25" customHeight="1" thickBot="1">
      <c r="A268" s="1077" t="s">
        <v>1410</v>
      </c>
      <c r="B268" s="1071" t="s">
        <v>1299</v>
      </c>
      <c r="C268" s="1071">
        <v>3460</v>
      </c>
      <c r="D268" s="1071">
        <v>3430</v>
      </c>
      <c r="E268" s="1071">
        <v>3560</v>
      </c>
      <c r="F268" s="1089">
        <v>840</v>
      </c>
      <c r="H268" s="1096"/>
    </row>
    <row r="269" spans="1:8" s="1065" customFormat="1" ht="14.25" customHeight="1" thickBot="1">
      <c r="A269" s="1077" t="s">
        <v>1410</v>
      </c>
      <c r="B269" s="1071" t="s">
        <v>1306</v>
      </c>
      <c r="C269" s="1071">
        <v>3210</v>
      </c>
      <c r="D269" s="1071">
        <v>3190</v>
      </c>
      <c r="E269" s="1071">
        <v>3310</v>
      </c>
      <c r="F269" s="1089">
        <v>730</v>
      </c>
      <c r="H269" s="1096"/>
    </row>
    <row r="270" spans="1:8" s="1065" customFormat="1" ht="14.25" customHeight="1" thickBot="1">
      <c r="A270" s="1077" t="s">
        <v>1410</v>
      </c>
      <c r="B270" s="1071" t="s">
        <v>1313</v>
      </c>
      <c r="C270" s="1071">
        <v>3240</v>
      </c>
      <c r="D270" s="1071">
        <v>3210</v>
      </c>
      <c r="E270" s="1071">
        <v>3390</v>
      </c>
      <c r="F270" s="1089">
        <v>820</v>
      </c>
      <c r="H270" s="1096"/>
    </row>
    <row r="271" spans="1:8" s="1065" customFormat="1" ht="14.25" customHeight="1" thickBot="1">
      <c r="A271" s="1077" t="s">
        <v>1410</v>
      </c>
      <c r="B271" s="1071" t="s">
        <v>1320</v>
      </c>
      <c r="C271" s="1071">
        <v>3300</v>
      </c>
      <c r="D271" s="1071">
        <v>3270</v>
      </c>
      <c r="E271" s="1071">
        <v>3380</v>
      </c>
      <c r="F271" s="1089">
        <v>750</v>
      </c>
      <c r="H271" s="1096"/>
    </row>
    <row r="272" spans="1:8" s="1065" customFormat="1" ht="14.25" customHeight="1" thickBot="1">
      <c r="A272" s="1077" t="s">
        <v>1410</v>
      </c>
      <c r="B272" s="1071" t="s">
        <v>1327</v>
      </c>
      <c r="C272" s="1099"/>
      <c r="D272" s="1099"/>
      <c r="E272" s="1099"/>
      <c r="F272" s="1089">
        <v>740</v>
      </c>
      <c r="H272" s="1096"/>
    </row>
    <row r="273" spans="1:8" s="1065" customFormat="1" ht="14.25" customHeight="1" thickBot="1">
      <c r="A273" s="1077" t="s">
        <v>1410</v>
      </c>
      <c r="B273" s="1071" t="s">
        <v>1331</v>
      </c>
      <c r="C273" s="1071">
        <v>3130</v>
      </c>
      <c r="D273" s="1071">
        <v>3100</v>
      </c>
      <c r="E273" s="1071">
        <v>3230</v>
      </c>
      <c r="F273" s="1089">
        <v>700</v>
      </c>
      <c r="H273" s="1096"/>
    </row>
    <row r="274" spans="1:8" s="1065" customFormat="1" ht="14.25" customHeight="1" thickBot="1">
      <c r="A274" s="1077" t="s">
        <v>1410</v>
      </c>
      <c r="B274" s="1071" t="s">
        <v>1336</v>
      </c>
      <c r="C274" s="1071">
        <v>3460</v>
      </c>
      <c r="D274" s="1071">
        <v>3430</v>
      </c>
      <c r="E274" s="1071">
        <v>3560</v>
      </c>
      <c r="F274" s="1089">
        <v>690</v>
      </c>
      <c r="H274" s="1096"/>
    </row>
    <row r="275" spans="1:8" s="1065" customFormat="1" ht="14.25" customHeight="1" thickBot="1">
      <c r="A275" s="1077" t="s">
        <v>1410</v>
      </c>
      <c r="B275" s="1071" t="s">
        <v>1341</v>
      </c>
      <c r="C275" s="1071">
        <v>4040</v>
      </c>
      <c r="D275" s="1071">
        <v>4020</v>
      </c>
      <c r="E275" s="1071">
        <v>4160</v>
      </c>
      <c r="F275" s="1089">
        <v>820</v>
      </c>
      <c r="H275" s="1096"/>
    </row>
    <row r="276" spans="1:8" s="1065" customFormat="1" ht="14.25" customHeight="1" thickBot="1">
      <c r="A276" s="1077" t="s">
        <v>1410</v>
      </c>
      <c r="B276" s="1071" t="s">
        <v>1346</v>
      </c>
      <c r="C276" s="1071">
        <v>3270</v>
      </c>
      <c r="D276" s="1071">
        <v>3240</v>
      </c>
      <c r="E276" s="1071">
        <v>3350</v>
      </c>
      <c r="F276" s="1089">
        <v>680</v>
      </c>
      <c r="H276" s="1096"/>
    </row>
    <row r="277" spans="1:8" s="1065" customFormat="1" ht="14.25" customHeight="1" thickBot="1">
      <c r="A277" s="1077" t="s">
        <v>1410</v>
      </c>
      <c r="B277" s="1071" t="s">
        <v>1351</v>
      </c>
      <c r="C277" s="1071">
        <v>2930</v>
      </c>
      <c r="D277" s="1071">
        <v>2900</v>
      </c>
      <c r="E277" s="1071">
        <v>3000</v>
      </c>
      <c r="F277" s="1089">
        <v>640</v>
      </c>
      <c r="H277" s="1096"/>
    </row>
    <row r="278" spans="1:8" s="1065" customFormat="1" ht="14.25" customHeight="1" thickBot="1">
      <c r="A278" s="1077" t="s">
        <v>1410</v>
      </c>
      <c r="B278" s="1071" t="s">
        <v>1356</v>
      </c>
      <c r="C278" s="1071">
        <v>4080</v>
      </c>
      <c r="D278" s="1071">
        <v>4030</v>
      </c>
      <c r="E278" s="1071">
        <v>4140</v>
      </c>
      <c r="F278" s="1089">
        <v>850</v>
      </c>
      <c r="H278" s="1096"/>
    </row>
    <row r="279" spans="1:8" s="1065" customFormat="1" ht="14.25" customHeight="1" thickBot="1">
      <c r="A279" s="1077" t="s">
        <v>1410</v>
      </c>
      <c r="B279" s="1071" t="s">
        <v>1360</v>
      </c>
      <c r="C279" s="1071"/>
      <c r="D279" s="1071"/>
      <c r="E279" s="1071"/>
      <c r="F279" s="1089">
        <v>760</v>
      </c>
      <c r="H279" s="1096"/>
    </row>
    <row r="280" spans="1:8" s="1065" customFormat="1" ht="14.25" customHeight="1" thickBot="1">
      <c r="A280" s="1077" t="s">
        <v>1410</v>
      </c>
      <c r="B280" s="1071" t="s">
        <v>1364</v>
      </c>
      <c r="C280" s="1071"/>
      <c r="D280" s="1071"/>
      <c r="E280" s="1071"/>
      <c r="F280" s="1089">
        <v>760</v>
      </c>
      <c r="H280" s="1096"/>
    </row>
    <row r="281" spans="1:8" s="1065" customFormat="1" ht="14.25" customHeight="1" thickBot="1">
      <c r="A281" s="1077" t="s">
        <v>1410</v>
      </c>
      <c r="B281" s="1071" t="s">
        <v>1368</v>
      </c>
      <c r="C281" s="1071"/>
      <c r="D281" s="1071"/>
      <c r="E281" s="1071"/>
      <c r="F281" s="1089">
        <v>780</v>
      </c>
      <c r="H281" s="1096"/>
    </row>
    <row r="282" spans="1:8" s="1065" customFormat="1" ht="14.25" customHeight="1" thickBot="1">
      <c r="A282" s="1077" t="s">
        <v>1410</v>
      </c>
      <c r="B282" s="1071" t="s">
        <v>1372</v>
      </c>
      <c r="C282" s="1071"/>
      <c r="D282" s="1071"/>
      <c r="E282" s="1071"/>
      <c r="F282" s="1089">
        <v>730</v>
      </c>
      <c r="H282" s="1096"/>
    </row>
    <row r="283" spans="1:8" s="1065" customFormat="1" ht="14.25" customHeight="1" thickBot="1">
      <c r="A283" s="1077" t="s">
        <v>1410</v>
      </c>
      <c r="B283" s="1071" t="s">
        <v>1376</v>
      </c>
      <c r="C283" s="1071"/>
      <c r="D283" s="1071"/>
      <c r="E283" s="1071"/>
      <c r="F283" s="1089">
        <v>770</v>
      </c>
      <c r="H283" s="1096"/>
    </row>
    <row r="284" spans="1:8" s="1065" customFormat="1" ht="14.25" customHeight="1" thickBot="1">
      <c r="A284" s="1077" t="s">
        <v>1410</v>
      </c>
      <c r="B284" s="1071" t="s">
        <v>1379</v>
      </c>
      <c r="C284" s="1071"/>
      <c r="D284" s="1071"/>
      <c r="E284" s="1071"/>
      <c r="F284" s="1089">
        <v>640</v>
      </c>
      <c r="H284" s="1096"/>
    </row>
    <row r="285" spans="1:8" s="1065" customFormat="1" ht="14.25" customHeight="1" thickBot="1">
      <c r="A285" s="1077" t="s">
        <v>1410</v>
      </c>
      <c r="B285" s="1071" t="s">
        <v>1382</v>
      </c>
      <c r="C285" s="1071"/>
      <c r="D285" s="1071"/>
      <c r="E285" s="1071"/>
      <c r="F285" s="1089">
        <v>640</v>
      </c>
      <c r="H285" s="1096"/>
    </row>
    <row r="286" spans="1:8" s="1065" customFormat="1" ht="14.25" customHeight="1" thickBot="1">
      <c r="A286" s="1077" t="s">
        <v>1410</v>
      </c>
      <c r="B286" s="1071" t="s">
        <v>1385</v>
      </c>
      <c r="C286" s="1071"/>
      <c r="D286" s="1071"/>
      <c r="E286" s="1071"/>
      <c r="F286" s="1089">
        <v>850</v>
      </c>
      <c r="H286" s="1096"/>
    </row>
    <row r="287" spans="1:8" s="1065" customFormat="1" ht="14.25" customHeight="1" thickBot="1">
      <c r="A287" s="1077" t="s">
        <v>1410</v>
      </c>
      <c r="B287" s="1071" t="s">
        <v>1388</v>
      </c>
      <c r="C287" s="1071"/>
      <c r="D287" s="1071"/>
      <c r="E287" s="1071"/>
      <c r="F287" s="1089">
        <v>760</v>
      </c>
      <c r="H287" s="1096"/>
    </row>
    <row r="288" spans="1:8" s="1065" customFormat="1" ht="14.25" customHeight="1" thickBot="1">
      <c r="A288" s="1077" t="s">
        <v>1410</v>
      </c>
      <c r="B288" s="1071" t="s">
        <v>1391</v>
      </c>
      <c r="C288" s="1071"/>
      <c r="D288" s="1071"/>
      <c r="E288" s="1071"/>
      <c r="F288" s="1089">
        <v>830</v>
      </c>
      <c r="H288" s="1096"/>
    </row>
    <row r="289" spans="1:8" s="1065" customFormat="1" ht="14.25" customHeight="1" thickBot="1">
      <c r="A289" s="1077" t="s">
        <v>1410</v>
      </c>
      <c r="B289" s="1087" t="s">
        <v>1394</v>
      </c>
      <c r="C289" s="1087"/>
      <c r="D289" s="1087"/>
      <c r="E289" s="1087"/>
      <c r="F289" s="1097">
        <v>680</v>
      </c>
      <c r="H289" s="1096"/>
    </row>
    <row r="290" spans="1:8" s="1065" customFormat="1" ht="14.25" customHeight="1" thickBot="1">
      <c r="A290" s="1077" t="s">
        <v>1414</v>
      </c>
      <c r="B290" s="1078" t="s">
        <v>1415</v>
      </c>
      <c r="C290" s="1078">
        <v>2770</v>
      </c>
      <c r="D290" s="1078">
        <v>2740</v>
      </c>
      <c r="E290" s="1078">
        <v>2720</v>
      </c>
      <c r="F290" s="1100"/>
      <c r="H290" s="1096"/>
    </row>
    <row r="291" spans="1:8" s="1065" customFormat="1" ht="14.25" customHeight="1" thickBot="1">
      <c r="A291" s="1077" t="s">
        <v>1414</v>
      </c>
      <c r="B291" s="1071" t="s">
        <v>1074</v>
      </c>
      <c r="C291" s="1071">
        <v>2670</v>
      </c>
      <c r="D291" s="1071">
        <v>2640</v>
      </c>
      <c r="E291" s="1071">
        <v>2620</v>
      </c>
      <c r="F291" s="1098"/>
      <c r="H291" s="1096"/>
    </row>
    <row r="292" spans="1:8" s="1065" customFormat="1" ht="14.25" customHeight="1" thickBot="1">
      <c r="A292" s="1077" t="s">
        <v>1414</v>
      </c>
      <c r="B292" s="1071" t="s">
        <v>1416</v>
      </c>
      <c r="C292" s="1071">
        <v>2180</v>
      </c>
      <c r="D292" s="1071">
        <v>2140</v>
      </c>
      <c r="E292" s="1071">
        <v>2120</v>
      </c>
      <c r="F292" s="1089">
        <v>490</v>
      </c>
      <c r="H292" s="1096"/>
    </row>
    <row r="293" spans="1:8" s="1065" customFormat="1" ht="14.25" customHeight="1" thickBot="1">
      <c r="A293" s="1077" t="s">
        <v>1414</v>
      </c>
      <c r="B293" s="1071" t="s">
        <v>1417</v>
      </c>
      <c r="C293" s="1071"/>
      <c r="D293" s="1071"/>
      <c r="E293" s="1071"/>
      <c r="F293" s="1089">
        <v>470</v>
      </c>
      <c r="H293" s="1096"/>
    </row>
    <row r="294" spans="1:8" s="1065" customFormat="1" ht="14.25" customHeight="1" thickBot="1">
      <c r="A294" s="1077" t="s">
        <v>1414</v>
      </c>
      <c r="B294" s="1071" t="s">
        <v>1418</v>
      </c>
      <c r="C294" s="1071">
        <v>2730</v>
      </c>
      <c r="D294" s="1071">
        <v>2700</v>
      </c>
      <c r="E294" s="1071">
        <v>2680</v>
      </c>
      <c r="F294" s="1089">
        <v>490</v>
      </c>
      <c r="H294" s="1096"/>
    </row>
    <row r="295" spans="1:8" s="1065" customFormat="1" ht="14.25" customHeight="1" thickBot="1">
      <c r="A295" s="1077" t="s">
        <v>1414</v>
      </c>
      <c r="B295" s="1071" t="s">
        <v>1115</v>
      </c>
      <c r="C295" s="1071">
        <v>2380</v>
      </c>
      <c r="D295" s="1071">
        <v>2350</v>
      </c>
      <c r="E295" s="1071">
        <v>2330</v>
      </c>
      <c r="F295" s="1089">
        <v>530</v>
      </c>
      <c r="H295" s="1096"/>
    </row>
    <row r="296" spans="1:8" s="1065" customFormat="1" ht="14.25" customHeight="1" thickBot="1">
      <c r="A296" s="1077" t="s">
        <v>1414</v>
      </c>
      <c r="B296" s="1071" t="s">
        <v>1126</v>
      </c>
      <c r="C296" s="1071">
        <v>2650</v>
      </c>
      <c r="D296" s="1071">
        <v>2620</v>
      </c>
      <c r="E296" s="1071">
        <v>2590</v>
      </c>
      <c r="F296" s="1089">
        <v>590</v>
      </c>
      <c r="H296" s="1096"/>
    </row>
    <row r="297" spans="1:8" s="1065" customFormat="1" ht="14.25" customHeight="1" thickBot="1">
      <c r="A297" s="1077" t="s">
        <v>1414</v>
      </c>
      <c r="B297" s="1071" t="s">
        <v>1137</v>
      </c>
      <c r="C297" s="1071">
        <v>2700</v>
      </c>
      <c r="D297" s="1071">
        <v>2670</v>
      </c>
      <c r="E297" s="1071">
        <v>2650</v>
      </c>
      <c r="F297" s="1089">
        <v>630</v>
      </c>
      <c r="H297" s="1096"/>
    </row>
    <row r="298" spans="1:8" s="1065" customFormat="1" ht="14.25" customHeight="1" thickBot="1">
      <c r="A298" s="1077" t="s">
        <v>1414</v>
      </c>
      <c r="B298" s="1071" t="s">
        <v>1148</v>
      </c>
      <c r="C298" s="1071">
        <v>2650</v>
      </c>
      <c r="D298" s="1071">
        <v>2620</v>
      </c>
      <c r="E298" s="1071">
        <v>2590</v>
      </c>
      <c r="F298" s="1089">
        <v>640</v>
      </c>
      <c r="H298" s="1096"/>
    </row>
    <row r="299" spans="1:8" s="1065" customFormat="1" ht="14.25" customHeight="1" thickBot="1">
      <c r="A299" s="1077" t="s">
        <v>1414</v>
      </c>
      <c r="B299" s="1071" t="s">
        <v>1160</v>
      </c>
      <c r="C299" s="1071">
        <v>2500</v>
      </c>
      <c r="D299" s="1071">
        <v>2480</v>
      </c>
      <c r="E299" s="1071">
        <v>2460</v>
      </c>
      <c r="F299" s="1098"/>
      <c r="H299" s="1096"/>
    </row>
    <row r="300" spans="1:8" s="1065" customFormat="1" ht="14.25" customHeight="1" thickBot="1">
      <c r="A300" s="1077" t="s">
        <v>1414</v>
      </c>
      <c r="B300" s="1071" t="s">
        <v>1170</v>
      </c>
      <c r="C300" s="1071">
        <v>2760</v>
      </c>
      <c r="D300" s="1071">
        <v>2730</v>
      </c>
      <c r="E300" s="1071">
        <v>2700</v>
      </c>
      <c r="F300" s="1089">
        <v>630</v>
      </c>
      <c r="H300" s="1096"/>
    </row>
    <row r="301" spans="1:8" s="1065" customFormat="1" ht="14.25" customHeight="1" thickBot="1">
      <c r="A301" s="1077" t="s">
        <v>1414</v>
      </c>
      <c r="B301" s="1071" t="s">
        <v>1180</v>
      </c>
      <c r="C301" s="1071">
        <v>2510</v>
      </c>
      <c r="D301" s="1071">
        <v>2480</v>
      </c>
      <c r="E301" s="1071">
        <v>2460</v>
      </c>
      <c r="F301" s="1098"/>
      <c r="H301" s="1096"/>
    </row>
    <row r="302" spans="1:8" s="1065" customFormat="1" ht="14.25" customHeight="1" thickBot="1">
      <c r="A302" s="1077" t="s">
        <v>1414</v>
      </c>
      <c r="B302" s="1071" t="s">
        <v>1190</v>
      </c>
      <c r="C302" s="1071">
        <v>2480</v>
      </c>
      <c r="D302" s="1071">
        <v>2450</v>
      </c>
      <c r="E302" s="1071">
        <v>2420</v>
      </c>
      <c r="F302" s="1089">
        <v>600</v>
      </c>
      <c r="H302" s="1096"/>
    </row>
    <row r="303" spans="1:8" s="1065" customFormat="1" ht="14.25" customHeight="1" thickBot="1">
      <c r="A303" s="1077" t="s">
        <v>1414</v>
      </c>
      <c r="B303" s="1071" t="s">
        <v>1200</v>
      </c>
      <c r="C303" s="1071">
        <v>2270</v>
      </c>
      <c r="D303" s="1071">
        <v>2240</v>
      </c>
      <c r="E303" s="1071">
        <v>2210</v>
      </c>
      <c r="F303" s="1089">
        <v>540</v>
      </c>
      <c r="H303" s="1096"/>
    </row>
    <row r="304" spans="1:8" s="1065" customFormat="1" ht="14.25" customHeight="1" thickBot="1">
      <c r="A304" s="1077" t="s">
        <v>1414</v>
      </c>
      <c r="B304" s="1071" t="s">
        <v>1210</v>
      </c>
      <c r="C304" s="1071">
        <v>2310</v>
      </c>
      <c r="D304" s="1071">
        <v>2290</v>
      </c>
      <c r="E304" s="1071">
        <v>2270</v>
      </c>
      <c r="F304" s="1098"/>
      <c r="H304" s="1096"/>
    </row>
    <row r="305" spans="1:8" s="1065" customFormat="1" ht="14.25" customHeight="1" thickBot="1">
      <c r="A305" s="1077" t="s">
        <v>1414</v>
      </c>
      <c r="B305" s="1071" t="s">
        <v>1220</v>
      </c>
      <c r="C305" s="1071">
        <v>2490</v>
      </c>
      <c r="D305" s="1071">
        <v>2470</v>
      </c>
      <c r="E305" s="1071">
        <v>2440</v>
      </c>
      <c r="F305" s="1089">
        <v>560</v>
      </c>
      <c r="H305" s="1096"/>
    </row>
    <row r="306" spans="1:8" s="1065" customFormat="1" ht="14.25" customHeight="1" thickBot="1">
      <c r="A306" s="1077" t="s">
        <v>1414</v>
      </c>
      <c r="B306" s="1071" t="s">
        <v>1230</v>
      </c>
      <c r="C306" s="1071">
        <v>2420</v>
      </c>
      <c r="D306" s="1071">
        <v>2400</v>
      </c>
      <c r="E306" s="1071">
        <v>2380</v>
      </c>
      <c r="F306" s="1098"/>
      <c r="H306" s="1096"/>
    </row>
    <row r="307" spans="1:8" s="1065" customFormat="1" ht="14.25" customHeight="1" thickBot="1">
      <c r="A307" s="1077" t="s">
        <v>1414</v>
      </c>
      <c r="B307" s="1071" t="s">
        <v>1240</v>
      </c>
      <c r="C307" s="1071">
        <v>2770</v>
      </c>
      <c r="D307" s="1071">
        <v>2740</v>
      </c>
      <c r="E307" s="1071">
        <v>2710</v>
      </c>
      <c r="F307" s="1089">
        <v>650</v>
      </c>
      <c r="H307" s="1096"/>
    </row>
    <row r="308" spans="1:8" s="1065" customFormat="1" ht="14.25" customHeight="1" thickBot="1">
      <c r="A308" s="1077" t="s">
        <v>1414</v>
      </c>
      <c r="B308" s="1071" t="s">
        <v>1250</v>
      </c>
      <c r="C308" s="1071">
        <v>2610</v>
      </c>
      <c r="D308" s="1071">
        <v>2580</v>
      </c>
      <c r="E308" s="1071">
        <v>2550</v>
      </c>
      <c r="F308" s="1089">
        <v>580</v>
      </c>
      <c r="H308" s="1096"/>
    </row>
    <row r="309" spans="1:8" s="1065" customFormat="1" ht="14.25" customHeight="1" thickBot="1">
      <c r="A309" s="1077" t="s">
        <v>1414</v>
      </c>
      <c r="B309" s="1071" t="s">
        <v>1260</v>
      </c>
      <c r="C309" s="1071">
        <v>2690</v>
      </c>
      <c r="D309" s="1071">
        <v>2670</v>
      </c>
      <c r="E309" s="1071">
        <v>2650</v>
      </c>
      <c r="F309" s="1098"/>
      <c r="H309" s="1096"/>
    </row>
    <row r="310" spans="1:8" s="1065" customFormat="1" ht="14.25" customHeight="1" thickBot="1">
      <c r="A310" s="1077" t="s">
        <v>1414</v>
      </c>
      <c r="B310" s="1071" t="s">
        <v>1269</v>
      </c>
      <c r="C310" s="1071">
        <v>2360</v>
      </c>
      <c r="D310" s="1071">
        <v>2330</v>
      </c>
      <c r="E310" s="1071">
        <v>2310</v>
      </c>
      <c r="F310" s="1089">
        <v>560</v>
      </c>
      <c r="H310" s="1096"/>
    </row>
    <row r="311" spans="1:8" s="1065" customFormat="1" ht="14.25" customHeight="1" thickBot="1">
      <c r="A311" s="1077" t="s">
        <v>1414</v>
      </c>
      <c r="B311" s="1071" t="s">
        <v>1278</v>
      </c>
      <c r="C311" s="1071">
        <v>1970</v>
      </c>
      <c r="D311" s="1071">
        <v>1950</v>
      </c>
      <c r="E311" s="1071">
        <v>1920</v>
      </c>
      <c r="F311" s="1089">
        <v>470</v>
      </c>
      <c r="H311" s="1096"/>
    </row>
    <row r="312" spans="1:8" s="1065" customFormat="1" ht="14.25" customHeight="1" thickBot="1">
      <c r="A312" s="1077" t="s">
        <v>1414</v>
      </c>
      <c r="B312" s="1071" t="s">
        <v>1286</v>
      </c>
      <c r="C312" s="1071">
        <v>2230</v>
      </c>
      <c r="D312" s="1071">
        <v>2200</v>
      </c>
      <c r="E312" s="1071">
        <v>2170</v>
      </c>
      <c r="F312" s="1089">
        <v>460</v>
      </c>
      <c r="H312" s="1096"/>
    </row>
    <row r="313" spans="1:8" s="1065" customFormat="1" ht="14.25" customHeight="1" thickBot="1">
      <c r="A313" s="1077" t="s">
        <v>1414</v>
      </c>
      <c r="B313" s="1071" t="s">
        <v>1293</v>
      </c>
      <c r="C313" s="1071">
        <v>2770</v>
      </c>
      <c r="D313" s="1071">
        <v>2740</v>
      </c>
      <c r="E313" s="1071">
        <v>2710</v>
      </c>
      <c r="F313" s="1089">
        <v>610</v>
      </c>
      <c r="H313" s="1096"/>
    </row>
    <row r="314" spans="1:8" s="1065" customFormat="1" ht="14.25" customHeight="1" thickBot="1">
      <c r="A314" s="1077" t="s">
        <v>1414</v>
      </c>
      <c r="B314" s="1071" t="s">
        <v>1300</v>
      </c>
      <c r="C314" s="1071"/>
      <c r="D314" s="1071"/>
      <c r="E314" s="1071"/>
      <c r="F314" s="1089">
        <v>490</v>
      </c>
      <c r="H314" s="1096"/>
    </row>
    <row r="315" spans="1:8" s="1065" customFormat="1" ht="14.25" customHeight="1" thickBot="1">
      <c r="A315" s="1077" t="s">
        <v>1414</v>
      </c>
      <c r="B315" s="1071" t="s">
        <v>1307</v>
      </c>
      <c r="C315" s="1071"/>
      <c r="D315" s="1071"/>
      <c r="E315" s="1071"/>
      <c r="F315" s="1089">
        <v>520</v>
      </c>
      <c r="H315" s="1096"/>
    </row>
    <row r="316" spans="1:8" s="1065" customFormat="1" ht="14.25" customHeight="1" thickBot="1">
      <c r="A316" s="1077" t="s">
        <v>1414</v>
      </c>
      <c r="B316" s="1087" t="s">
        <v>1314</v>
      </c>
      <c r="C316" s="1087"/>
      <c r="D316" s="1087"/>
      <c r="E316" s="1087"/>
      <c r="F316" s="1097">
        <v>460</v>
      </c>
      <c r="H316" s="1096"/>
    </row>
    <row r="317" spans="1:8" s="1065" customFormat="1" ht="14.25" customHeight="1" thickBot="1">
      <c r="A317" s="1077" t="s">
        <v>911</v>
      </c>
      <c r="B317" s="1078" t="s">
        <v>1419</v>
      </c>
      <c r="C317" s="1078">
        <v>1200</v>
      </c>
      <c r="D317" s="1078">
        <v>1180</v>
      </c>
      <c r="E317" s="1078">
        <v>1160</v>
      </c>
      <c r="F317" s="1079">
        <v>370</v>
      </c>
      <c r="H317" s="1062"/>
    </row>
    <row r="318" spans="1:8" s="1065" customFormat="1" ht="14.25" customHeight="1" thickBot="1">
      <c r="A318" s="1077" t="s">
        <v>911</v>
      </c>
      <c r="B318" s="1071" t="s">
        <v>1420</v>
      </c>
      <c r="C318" s="1071">
        <v>1090</v>
      </c>
      <c r="D318" s="1071">
        <v>1060</v>
      </c>
      <c r="E318" s="1071">
        <v>1040</v>
      </c>
      <c r="F318" s="1098"/>
      <c r="H318" s="1062"/>
    </row>
    <row r="319" spans="1:8" s="1065" customFormat="1" ht="14.25" customHeight="1" thickBot="1">
      <c r="A319" s="1077" t="s">
        <v>911</v>
      </c>
      <c r="B319" s="1071" t="s">
        <v>1421</v>
      </c>
      <c r="C319" s="1071">
        <v>1520</v>
      </c>
      <c r="D319" s="1071">
        <v>1470</v>
      </c>
      <c r="E319" s="1071">
        <v>1440</v>
      </c>
      <c r="F319" s="1089">
        <v>370</v>
      </c>
      <c r="H319" s="1062"/>
    </row>
    <row r="320" spans="1:8" s="1065" customFormat="1" ht="14.25" customHeight="1" thickBot="1">
      <c r="A320" s="1077" t="s">
        <v>911</v>
      </c>
      <c r="B320" s="1071" t="s">
        <v>1102</v>
      </c>
      <c r="C320" s="1071">
        <v>1360</v>
      </c>
      <c r="D320" s="1071">
        <v>1300</v>
      </c>
      <c r="E320" s="1071">
        <v>1270</v>
      </c>
      <c r="F320" s="1098"/>
      <c r="H320" s="1062"/>
    </row>
    <row r="321" spans="1:8" s="1065" customFormat="1" ht="14.25" customHeight="1" thickBot="1">
      <c r="A321" s="1077" t="s">
        <v>911</v>
      </c>
      <c r="B321" s="1071" t="s">
        <v>1116</v>
      </c>
      <c r="C321" s="1071">
        <v>1750</v>
      </c>
      <c r="D321" s="1071">
        <v>1690</v>
      </c>
      <c r="E321" s="1071">
        <v>1660</v>
      </c>
      <c r="F321" s="1098"/>
      <c r="H321" s="1062"/>
    </row>
    <row r="322" spans="1:8" s="1065" customFormat="1" ht="14.25" customHeight="1" thickBot="1">
      <c r="A322" s="1077" t="s">
        <v>911</v>
      </c>
      <c r="B322" s="1071" t="s">
        <v>1127</v>
      </c>
      <c r="C322" s="1071">
        <v>1650</v>
      </c>
      <c r="D322" s="1071">
        <v>1610</v>
      </c>
      <c r="E322" s="1071">
        <v>1580</v>
      </c>
      <c r="F322" s="1089">
        <v>500</v>
      </c>
      <c r="H322" s="1062"/>
    </row>
    <row r="323" spans="1:8" s="1065" customFormat="1" ht="14.25" customHeight="1" thickBot="1">
      <c r="A323" s="1077" t="s">
        <v>911</v>
      </c>
      <c r="B323" s="1071" t="s">
        <v>1138</v>
      </c>
      <c r="C323" s="1071">
        <v>1780</v>
      </c>
      <c r="D323" s="1071">
        <v>1740</v>
      </c>
      <c r="E323" s="1071">
        <v>1720</v>
      </c>
      <c r="F323" s="1098"/>
      <c r="H323" s="1062"/>
    </row>
    <row r="324" spans="1:8" s="1065" customFormat="1" ht="14.25" customHeight="1" thickBot="1">
      <c r="A324" s="1077" t="s">
        <v>911</v>
      </c>
      <c r="B324" s="1071" t="s">
        <v>1149</v>
      </c>
      <c r="C324" s="1071">
        <v>1650</v>
      </c>
      <c r="D324" s="1071">
        <v>1610</v>
      </c>
      <c r="E324" s="1071">
        <v>1580</v>
      </c>
      <c r="F324" s="1098"/>
      <c r="H324" s="1062"/>
    </row>
    <row r="325" spans="1:8" s="1065" customFormat="1" ht="14.25" customHeight="1" thickBot="1">
      <c r="A325" s="1077" t="s">
        <v>911</v>
      </c>
      <c r="B325" s="1071" t="s">
        <v>1161</v>
      </c>
      <c r="C325" s="1071">
        <v>1330</v>
      </c>
      <c r="D325" s="1071">
        <v>1270</v>
      </c>
      <c r="E325" s="1071">
        <v>1240</v>
      </c>
      <c r="F325" s="1089">
        <v>430</v>
      </c>
      <c r="H325" s="1062"/>
    </row>
    <row r="326" spans="1:8" s="1065" customFormat="1" ht="14.25" customHeight="1" thickBot="1">
      <c r="A326" s="1077" t="s">
        <v>911</v>
      </c>
      <c r="B326" s="1071" t="s">
        <v>1171</v>
      </c>
      <c r="C326" s="1071">
        <v>1470</v>
      </c>
      <c r="D326" s="1071">
        <v>1430</v>
      </c>
      <c r="E326" s="1071">
        <v>1400</v>
      </c>
      <c r="F326" s="1098"/>
      <c r="H326" s="1062"/>
    </row>
    <row r="327" spans="1:8" s="1065" customFormat="1" ht="14.25" customHeight="1" thickBot="1">
      <c r="A327" s="1077" t="s">
        <v>911</v>
      </c>
      <c r="B327" s="1071" t="s">
        <v>1181</v>
      </c>
      <c r="C327" s="1071">
        <v>1420</v>
      </c>
      <c r="D327" s="1071">
        <v>1380</v>
      </c>
      <c r="E327" s="1071">
        <v>1360</v>
      </c>
      <c r="F327" s="1089">
        <v>420</v>
      </c>
      <c r="H327" s="1062"/>
    </row>
    <row r="328" spans="1:8" s="1065" customFormat="1" ht="14.25" customHeight="1" thickBot="1">
      <c r="A328" s="1077" t="s">
        <v>911</v>
      </c>
      <c r="B328" s="1071" t="s">
        <v>1191</v>
      </c>
      <c r="C328" s="1071">
        <v>1400</v>
      </c>
      <c r="D328" s="1071">
        <v>1360</v>
      </c>
      <c r="E328" s="1071">
        <v>1330</v>
      </c>
      <c r="F328" s="1089">
        <v>460</v>
      </c>
      <c r="H328" s="1062"/>
    </row>
    <row r="329" spans="1:8" s="1065" customFormat="1" ht="14.25" customHeight="1" thickBot="1">
      <c r="A329" s="1077" t="s">
        <v>911</v>
      </c>
      <c r="B329" s="1071" t="s">
        <v>1201</v>
      </c>
      <c r="C329" s="1071">
        <v>1640</v>
      </c>
      <c r="D329" s="1071">
        <v>1610</v>
      </c>
      <c r="E329" s="1071">
        <v>1580</v>
      </c>
      <c r="F329" s="1089">
        <v>410</v>
      </c>
      <c r="H329" s="1062"/>
    </row>
    <row r="330" spans="1:8" s="1065" customFormat="1" ht="14.25" customHeight="1" thickBot="1">
      <c r="A330" s="1077" t="s">
        <v>911</v>
      </c>
      <c r="B330" s="1071" t="s">
        <v>1211</v>
      </c>
      <c r="C330" s="1071">
        <v>1260</v>
      </c>
      <c r="D330" s="1071">
        <v>1220</v>
      </c>
      <c r="E330" s="1071">
        <v>1200</v>
      </c>
      <c r="F330" s="1098"/>
      <c r="H330" s="1062"/>
    </row>
    <row r="331" spans="1:8" s="1065" customFormat="1" ht="14.25" customHeight="1" thickBot="1">
      <c r="A331" s="1077" t="s">
        <v>911</v>
      </c>
      <c r="B331" s="1071" t="s">
        <v>1221</v>
      </c>
      <c r="C331" s="1071">
        <v>1620</v>
      </c>
      <c r="D331" s="1071">
        <v>1560</v>
      </c>
      <c r="E331" s="1071">
        <v>1530</v>
      </c>
      <c r="F331" s="1089">
        <v>490</v>
      </c>
      <c r="H331" s="1062"/>
    </row>
    <row r="332" spans="1:8" s="1065" customFormat="1" ht="14.25" customHeight="1" thickBot="1">
      <c r="A332" s="1077" t="s">
        <v>911</v>
      </c>
      <c r="B332" s="1071" t="s">
        <v>1231</v>
      </c>
      <c r="C332" s="1071">
        <v>1520</v>
      </c>
      <c r="D332" s="1071">
        <v>1470</v>
      </c>
      <c r="E332" s="1071">
        <v>1440</v>
      </c>
      <c r="F332" s="1089">
        <v>440</v>
      </c>
      <c r="H332" s="1062"/>
    </row>
    <row r="333" spans="1:8" s="1065" customFormat="1" ht="14.25" customHeight="1" thickBot="1">
      <c r="A333" s="1077" t="s">
        <v>911</v>
      </c>
      <c r="B333" s="1071" t="s">
        <v>1241</v>
      </c>
      <c r="C333" s="1071">
        <v>1370</v>
      </c>
      <c r="D333" s="1071">
        <v>1320</v>
      </c>
      <c r="E333" s="1071">
        <v>1300</v>
      </c>
      <c r="F333" s="1089">
        <v>460</v>
      </c>
      <c r="H333" s="1062"/>
    </row>
    <row r="334" spans="1:8" s="1065" customFormat="1" ht="14.25" customHeight="1" thickBot="1">
      <c r="A334" s="1077" t="s">
        <v>911</v>
      </c>
      <c r="B334" s="1071" t="s">
        <v>1251</v>
      </c>
      <c r="C334" s="1071">
        <v>1410</v>
      </c>
      <c r="D334" s="1071">
        <v>1340</v>
      </c>
      <c r="E334" s="1071">
        <v>1310</v>
      </c>
      <c r="F334" s="1089">
        <v>410</v>
      </c>
      <c r="H334" s="1062"/>
    </row>
    <row r="335" spans="1:8" s="1065" customFormat="1" ht="14.25" customHeight="1" thickBot="1">
      <c r="A335" s="1077" t="s">
        <v>911</v>
      </c>
      <c r="B335" s="1071" t="s">
        <v>1261</v>
      </c>
      <c r="C335" s="1071">
        <v>1260</v>
      </c>
      <c r="D335" s="1071">
        <v>1220</v>
      </c>
      <c r="E335" s="1071">
        <v>1200</v>
      </c>
      <c r="F335" s="1098"/>
      <c r="H335" s="1062"/>
    </row>
    <row r="336" spans="1:8" s="1065" customFormat="1" ht="14.25" customHeight="1" thickBot="1">
      <c r="A336" s="1077" t="s">
        <v>911</v>
      </c>
      <c r="B336" s="1071" t="s">
        <v>1270</v>
      </c>
      <c r="C336" s="1071">
        <v>1160</v>
      </c>
      <c r="D336" s="1071">
        <v>1140</v>
      </c>
      <c r="E336" s="1071">
        <v>1120</v>
      </c>
      <c r="F336" s="1089">
        <v>430</v>
      </c>
      <c r="H336" s="1062"/>
    </row>
    <row r="337" spans="1:8" s="1065" customFormat="1" ht="14.25" customHeight="1" thickBot="1">
      <c r="A337" s="1077" t="s">
        <v>911</v>
      </c>
      <c r="B337" s="1087" t="s">
        <v>1279</v>
      </c>
      <c r="C337" s="1087"/>
      <c r="D337" s="1087"/>
      <c r="E337" s="1087"/>
      <c r="F337" s="1097">
        <v>380</v>
      </c>
      <c r="H337" s="1062"/>
    </row>
    <row r="338" spans="1:8" s="1065" customFormat="1" ht="14.25" customHeight="1" thickBot="1">
      <c r="A338" s="1077" t="s">
        <v>912</v>
      </c>
      <c r="B338" s="1078" t="s">
        <v>1422</v>
      </c>
      <c r="C338" s="1078">
        <v>880</v>
      </c>
      <c r="D338" s="1078">
        <v>850</v>
      </c>
      <c r="E338" s="1078">
        <v>830</v>
      </c>
      <c r="F338" s="1100"/>
      <c r="H338" s="1062"/>
    </row>
    <row r="339" spans="1:8" s="1065" customFormat="1" ht="14.25" customHeight="1" thickBot="1">
      <c r="A339" s="1077" t="s">
        <v>912</v>
      </c>
      <c r="B339" s="1071" t="s">
        <v>1423</v>
      </c>
      <c r="C339" s="1071">
        <v>830</v>
      </c>
      <c r="D339" s="1071">
        <v>800</v>
      </c>
      <c r="E339" s="1071">
        <v>780</v>
      </c>
      <c r="F339" s="1098"/>
      <c r="H339" s="1062"/>
    </row>
    <row r="340" spans="1:8" s="1065" customFormat="1" ht="14.25" customHeight="1" thickBot="1">
      <c r="A340" s="1077" t="s">
        <v>912</v>
      </c>
      <c r="B340" s="1071" t="s">
        <v>1424</v>
      </c>
      <c r="C340" s="1071">
        <v>980</v>
      </c>
      <c r="D340" s="1071">
        <v>950</v>
      </c>
      <c r="E340" s="1071">
        <v>920</v>
      </c>
      <c r="F340" s="1098"/>
      <c r="H340" s="1062"/>
    </row>
    <row r="341" spans="1:8" s="1065" customFormat="1" ht="14.25" customHeight="1" thickBot="1">
      <c r="A341" s="1077" t="s">
        <v>912</v>
      </c>
      <c r="B341" s="1071" t="s">
        <v>1425</v>
      </c>
      <c r="C341" s="1071">
        <v>760</v>
      </c>
      <c r="D341" s="1071">
        <v>720</v>
      </c>
      <c r="E341" s="1071">
        <v>690</v>
      </c>
      <c r="F341" s="1089">
        <v>350</v>
      </c>
      <c r="H341" s="1062"/>
    </row>
    <row r="342" spans="1:8" s="1065" customFormat="1" ht="14.25" customHeight="1" thickBot="1">
      <c r="A342" s="1077" t="s">
        <v>912</v>
      </c>
      <c r="B342" s="1071" t="s">
        <v>1117</v>
      </c>
      <c r="C342" s="1071">
        <v>910</v>
      </c>
      <c r="D342" s="1071">
        <v>870</v>
      </c>
      <c r="E342" s="1071">
        <v>850</v>
      </c>
      <c r="F342" s="1089">
        <v>370</v>
      </c>
      <c r="H342" s="1062"/>
    </row>
    <row r="343" spans="1:8" s="1065" customFormat="1" ht="14.25" customHeight="1" thickBot="1">
      <c r="A343" s="1077" t="s">
        <v>912</v>
      </c>
      <c r="B343" s="1071" t="s">
        <v>1128</v>
      </c>
      <c r="C343" s="1071">
        <v>800</v>
      </c>
      <c r="D343" s="1071">
        <v>760</v>
      </c>
      <c r="E343" s="1071">
        <v>730</v>
      </c>
      <c r="F343" s="1089">
        <v>340</v>
      </c>
      <c r="H343" s="1062"/>
    </row>
    <row r="344" spans="1:8" s="1065" customFormat="1" ht="14.25" customHeight="1" thickBot="1">
      <c r="A344" s="1077" t="s">
        <v>912</v>
      </c>
      <c r="B344" s="1087" t="s">
        <v>1139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876</v>
      </c>
      <c r="B1" s="1006"/>
      <c r="C1" s="1006"/>
      <c r="D1" s="1006"/>
      <c r="E1" s="1006"/>
      <c r="F1" s="1006"/>
      <c r="G1" s="1006"/>
      <c r="H1" s="1006"/>
      <c r="I1" s="1006"/>
      <c r="J1" s="1006"/>
      <c r="K1" s="1006"/>
      <c r="L1" s="1006"/>
      <c r="M1" s="1006"/>
      <c r="N1" s="1006"/>
    </row>
    <row r="2" spans="1:14">
      <c r="A2" s="1008" t="s">
        <v>877</v>
      </c>
      <c r="B2" s="1009" t="s">
        <v>878</v>
      </c>
      <c r="C2" s="1009" t="s">
        <v>879</v>
      </c>
      <c r="D2" s="1009" t="s">
        <v>880</v>
      </c>
      <c r="E2" s="1009" t="s">
        <v>881</v>
      </c>
      <c r="F2" s="1009" t="s">
        <v>882</v>
      </c>
      <c r="G2" s="1009" t="s">
        <v>883</v>
      </c>
      <c r="H2" s="1010" t="s">
        <v>884</v>
      </c>
      <c r="I2" s="1010" t="s">
        <v>885</v>
      </c>
      <c r="J2" s="1011" t="s">
        <v>886</v>
      </c>
      <c r="K2" s="1011" t="s">
        <v>887</v>
      </c>
      <c r="L2" s="1011" t="s">
        <v>888</v>
      </c>
      <c r="M2" s="1011" t="s">
        <v>889</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898</v>
      </c>
      <c r="B103" s="1006"/>
      <c r="C103" s="1006"/>
      <c r="D103" s="1006"/>
      <c r="E103" s="1006"/>
      <c r="F103" s="1006"/>
      <c r="G103" s="1006"/>
      <c r="H103" s="1006"/>
      <c r="I103" s="1006"/>
      <c r="J103" s="1006"/>
      <c r="K103" s="1006"/>
      <c r="L103" s="1006"/>
      <c r="M103" s="1006"/>
      <c r="N103" s="1006"/>
    </row>
    <row r="104" spans="1:14" ht="14.25">
      <c r="A104" s="1008" t="s">
        <v>877</v>
      </c>
      <c r="B104" s="1009" t="s">
        <v>878</v>
      </c>
      <c r="C104" s="1009" t="s">
        <v>879</v>
      </c>
      <c r="D104" s="1009" t="s">
        <v>880</v>
      </c>
      <c r="E104" s="1009" t="s">
        <v>881</v>
      </c>
      <c r="F104" s="1009" t="s">
        <v>882</v>
      </c>
      <c r="G104" s="1009" t="s">
        <v>883</v>
      </c>
      <c r="H104" s="1010" t="s">
        <v>884</v>
      </c>
      <c r="I104" s="1010" t="s">
        <v>885</v>
      </c>
      <c r="J104" s="1011" t="s">
        <v>886</v>
      </c>
      <c r="K104" s="1011" t="s">
        <v>887</v>
      </c>
      <c r="L104" s="1011" t="s">
        <v>888</v>
      </c>
      <c r="M104" s="1011" t="s">
        <v>889</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899</v>
      </c>
      <c r="B205" s="1006"/>
      <c r="C205" s="1006"/>
      <c r="D205" s="1006"/>
      <c r="E205" s="1006"/>
      <c r="F205" s="1006"/>
      <c r="G205" s="1006"/>
      <c r="H205" s="1006"/>
      <c r="I205" s="1006"/>
      <c r="J205" s="1006"/>
      <c r="K205" s="1006"/>
      <c r="L205" s="1006"/>
      <c r="M205" s="1006"/>
    </row>
    <row r="206" spans="1:13">
      <c r="A206" s="1008" t="s">
        <v>900</v>
      </c>
      <c r="B206" s="1009" t="s">
        <v>901</v>
      </c>
      <c r="C206" s="1009" t="s">
        <v>902</v>
      </c>
      <c r="D206" s="1009" t="s">
        <v>903</v>
      </c>
      <c r="E206" s="1009" t="s">
        <v>904</v>
      </c>
      <c r="F206" s="1009" t="s">
        <v>905</v>
      </c>
      <c r="G206" s="1009" t="s">
        <v>906</v>
      </c>
      <c r="H206" s="1010" t="s">
        <v>907</v>
      </c>
      <c r="I206" s="1010" t="s">
        <v>908</v>
      </c>
      <c r="J206" s="1011" t="s">
        <v>909</v>
      </c>
      <c r="K206" s="1011" t="s">
        <v>910</v>
      </c>
      <c r="L206" s="1011" t="s">
        <v>911</v>
      </c>
      <c r="M206" s="1011" t="s">
        <v>912</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913</v>
      </c>
      <c r="B307" s="1006"/>
      <c r="C307" s="1006"/>
      <c r="D307" s="1006"/>
      <c r="E307" s="1006"/>
      <c r="F307" s="1006"/>
      <c r="G307" s="1006"/>
      <c r="H307" s="1006"/>
      <c r="I307" s="1006"/>
      <c r="J307" s="1006"/>
      <c r="K307" s="1006"/>
      <c r="L307" s="1006"/>
      <c r="M307" s="1006"/>
    </row>
    <row r="308" spans="1:13">
      <c r="A308" s="1008" t="s">
        <v>900</v>
      </c>
      <c r="B308" s="1009" t="s">
        <v>901</v>
      </c>
      <c r="C308" s="1009" t="s">
        <v>902</v>
      </c>
      <c r="D308" s="1009" t="s">
        <v>903</v>
      </c>
      <c r="E308" s="1009" t="s">
        <v>904</v>
      </c>
      <c r="F308" s="1009" t="s">
        <v>905</v>
      </c>
      <c r="G308" s="1009" t="s">
        <v>906</v>
      </c>
      <c r="H308" s="1010" t="s">
        <v>907</v>
      </c>
      <c r="I308" s="1010" t="s">
        <v>908</v>
      </c>
      <c r="J308" s="1011" t="s">
        <v>909</v>
      </c>
      <c r="K308" s="1011" t="s">
        <v>910</v>
      </c>
      <c r="L308" s="1011" t="s">
        <v>911</v>
      </c>
      <c r="M308" s="1011" t="s">
        <v>912</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604" t="s">
        <v>2074</v>
      </c>
      <c r="B1" s="3604"/>
    </row>
    <row r="2" spans="1:6" ht="14.25" thickBot="1">
      <c r="A2" s="1848"/>
      <c r="B2" s="1848"/>
    </row>
    <row r="3" spans="1:6" ht="14.25" thickBot="1">
      <c r="A3" s="1848"/>
      <c r="B3" s="1848"/>
      <c r="C3" s="1849" t="s">
        <v>2075</v>
      </c>
      <c r="D3" s="1849" t="s">
        <v>2076</v>
      </c>
      <c r="E3" s="1849" t="s">
        <v>2077</v>
      </c>
      <c r="F3" s="1849" t="s">
        <v>2078</v>
      </c>
    </row>
    <row r="4" spans="1:6" ht="14.25" thickBot="1">
      <c r="A4" s="1850" t="s">
        <v>2079</v>
      </c>
      <c r="B4" s="1851" t="s">
        <v>2080</v>
      </c>
      <c r="C4" s="1849"/>
      <c r="D4" s="1849"/>
      <c r="E4" s="1849"/>
      <c r="F4" s="1849"/>
    </row>
    <row r="5" spans="1:6" ht="14.25" thickBot="1">
      <c r="A5" s="1852" t="s">
        <v>2081</v>
      </c>
      <c r="B5" s="1853" t="s">
        <v>2082</v>
      </c>
      <c r="C5" s="1854">
        <v>8.8999999999999996E-2</v>
      </c>
      <c r="D5" s="1854">
        <v>7.3999999999999996E-2</v>
      </c>
      <c r="E5" s="1854">
        <v>7.4999999999999997E-2</v>
      </c>
      <c r="F5" s="1855">
        <v>0.1</v>
      </c>
    </row>
    <row r="6" spans="1:6" ht="14.25" thickBot="1">
      <c r="A6" s="1852" t="s">
        <v>1091</v>
      </c>
      <c r="B6" s="1856" t="s">
        <v>2083</v>
      </c>
      <c r="C6" s="1857">
        <v>0.1</v>
      </c>
      <c r="D6" s="1857">
        <v>9.0999999999999998E-2</v>
      </c>
      <c r="E6" s="1857">
        <v>9.0999999999999998E-2</v>
      </c>
      <c r="F6" s="1858">
        <v>0.1</v>
      </c>
    </row>
    <row r="7" spans="1:6" ht="14.25" thickBot="1">
      <c r="A7" s="1852" t="s">
        <v>1091</v>
      </c>
      <c r="B7" s="1859" t="s">
        <v>1079</v>
      </c>
      <c r="C7" s="1857">
        <v>8.5999999999999993E-2</v>
      </c>
      <c r="D7" s="1857">
        <v>9.6000000000000002E-2</v>
      </c>
      <c r="E7" s="1857">
        <v>7.5999999999999998E-2</v>
      </c>
      <c r="F7" s="1858">
        <v>0.1</v>
      </c>
    </row>
    <row r="8" spans="1:6" ht="14.25" thickBot="1">
      <c r="A8" s="1852" t="s">
        <v>1091</v>
      </c>
      <c r="B8" s="1856" t="s">
        <v>1092</v>
      </c>
      <c r="C8" s="1857">
        <v>9.9000000000000005E-2</v>
      </c>
      <c r="D8" s="1857">
        <v>9.8000000000000004E-2</v>
      </c>
      <c r="E8" s="1857">
        <v>9.8000000000000004E-2</v>
      </c>
      <c r="F8" s="1858">
        <v>0.1</v>
      </c>
    </row>
    <row r="9" spans="1:6" ht="14.25" thickBot="1">
      <c r="A9" s="1860" t="s">
        <v>1091</v>
      </c>
      <c r="B9" s="1861" t="s">
        <v>1106</v>
      </c>
      <c r="C9" s="1862">
        <v>0.05</v>
      </c>
      <c r="D9" s="1863"/>
      <c r="E9" s="1863"/>
      <c r="F9" s="1864"/>
    </row>
    <row r="10" spans="1:6" ht="14.25" thickBot="1">
      <c r="A10" s="1852" t="s">
        <v>1150</v>
      </c>
      <c r="B10" s="1853" t="s">
        <v>2084</v>
      </c>
      <c r="C10" s="1854">
        <v>8.8999999999999996E-2</v>
      </c>
      <c r="D10" s="1854">
        <v>7.2999999999999995E-2</v>
      </c>
      <c r="E10" s="1854">
        <v>8.2000000000000003E-2</v>
      </c>
      <c r="F10" s="1855">
        <v>0.1</v>
      </c>
    </row>
    <row r="11" spans="1:6" ht="14.25" thickBot="1">
      <c r="A11" s="1852" t="s">
        <v>1150</v>
      </c>
      <c r="B11" s="1859" t="s">
        <v>1066</v>
      </c>
      <c r="C11" s="1857">
        <v>8.8999999999999996E-2</v>
      </c>
      <c r="D11" s="1857">
        <v>7.2999999999999995E-2</v>
      </c>
      <c r="E11" s="1857">
        <v>8.2000000000000003E-2</v>
      </c>
      <c r="F11" s="1858">
        <v>0.1</v>
      </c>
    </row>
    <row r="12" spans="1:6" ht="14.25" thickBot="1">
      <c r="A12" s="1852" t="s">
        <v>1150</v>
      </c>
      <c r="B12" s="1859" t="s">
        <v>1080</v>
      </c>
      <c r="C12" s="1857">
        <v>6.0999999999999999E-2</v>
      </c>
      <c r="D12" s="1857">
        <v>7.0999999999999994E-2</v>
      </c>
      <c r="E12" s="1857">
        <v>9.6000000000000002E-2</v>
      </c>
      <c r="F12" s="1858">
        <v>0.1</v>
      </c>
    </row>
    <row r="13" spans="1:6" ht="14.25" thickBot="1">
      <c r="A13" s="1852" t="s">
        <v>1150</v>
      </c>
      <c r="B13" s="1859" t="s">
        <v>1093</v>
      </c>
      <c r="C13" s="1857">
        <v>6.9000000000000006E-2</v>
      </c>
      <c r="D13" s="1857">
        <v>6.5000000000000002E-2</v>
      </c>
      <c r="E13" s="1857">
        <v>6.6000000000000003E-2</v>
      </c>
      <c r="F13" s="1858">
        <v>0.1</v>
      </c>
    </row>
    <row r="14" spans="1:6" ht="14.25" thickBot="1">
      <c r="A14" s="1852" t="s">
        <v>1150</v>
      </c>
      <c r="B14" s="1859" t="s">
        <v>1107</v>
      </c>
      <c r="C14" s="1857">
        <v>0.1</v>
      </c>
      <c r="D14" s="1857">
        <v>6.5000000000000002E-2</v>
      </c>
      <c r="E14" s="1857">
        <v>7.0000000000000007E-2</v>
      </c>
      <c r="F14" s="1858">
        <v>0.1</v>
      </c>
    </row>
    <row r="15" spans="1:6" ht="14.25" thickBot="1">
      <c r="A15" s="1852" t="s">
        <v>1150</v>
      </c>
      <c r="B15" s="1859" t="s">
        <v>1118</v>
      </c>
      <c r="C15" s="1857">
        <v>9.8000000000000004E-2</v>
      </c>
      <c r="D15" s="1857">
        <v>8.8999999999999996E-2</v>
      </c>
      <c r="E15" s="1857">
        <v>8.8999999999999996E-2</v>
      </c>
      <c r="F15" s="1858">
        <v>0.1</v>
      </c>
    </row>
    <row r="16" spans="1:6" ht="14.25" thickBot="1">
      <c r="A16" s="1852" t="s">
        <v>1150</v>
      </c>
      <c r="B16" s="1859" t="s">
        <v>1129</v>
      </c>
      <c r="C16" s="1857">
        <v>7.0000000000000007E-2</v>
      </c>
      <c r="D16" s="1857">
        <v>9.2999999999999999E-2</v>
      </c>
      <c r="E16" s="1857">
        <v>9.6000000000000002E-2</v>
      </c>
      <c r="F16" s="1858">
        <v>0.1</v>
      </c>
    </row>
    <row r="17" spans="1:6" ht="14.25" thickBot="1">
      <c r="A17" s="1852" t="s">
        <v>1150</v>
      </c>
      <c r="B17" s="1859" t="s">
        <v>1140</v>
      </c>
      <c r="C17" s="1857">
        <v>9.5000000000000001E-2</v>
      </c>
      <c r="D17" s="1857">
        <v>0.1</v>
      </c>
      <c r="E17" s="1857">
        <v>0.1</v>
      </c>
      <c r="F17" s="1865"/>
    </row>
    <row r="18" spans="1:6" ht="14.25" thickBot="1">
      <c r="A18" s="1852" t="s">
        <v>1150</v>
      </c>
      <c r="B18" s="1859" t="s">
        <v>1152</v>
      </c>
      <c r="C18" s="1857">
        <v>7.3999999999999996E-2</v>
      </c>
      <c r="D18" s="1857">
        <v>9.9000000000000005E-2</v>
      </c>
      <c r="E18" s="1857">
        <v>0.1</v>
      </c>
      <c r="F18" s="1865"/>
    </row>
    <row r="19" spans="1:6" ht="14.25" thickBot="1">
      <c r="A19" s="1852" t="s">
        <v>1150</v>
      </c>
      <c r="B19" s="1859" t="s">
        <v>1162</v>
      </c>
      <c r="C19" s="1857">
        <v>9.9000000000000005E-2</v>
      </c>
      <c r="D19" s="1857">
        <v>7.5999999999999998E-2</v>
      </c>
      <c r="E19" s="1857">
        <v>8.6999999999999994E-2</v>
      </c>
      <c r="F19" s="1865"/>
    </row>
    <row r="20" spans="1:6" ht="14.25" thickBot="1">
      <c r="A20" s="1852" t="s">
        <v>1150</v>
      </c>
      <c r="B20" s="1859" t="s">
        <v>1172</v>
      </c>
      <c r="C20" s="1857">
        <v>9.8000000000000004E-2</v>
      </c>
      <c r="D20" s="1857">
        <v>8.5000000000000006E-2</v>
      </c>
      <c r="E20" s="1857">
        <v>8.2000000000000003E-2</v>
      </c>
      <c r="F20" s="1865"/>
    </row>
    <row r="21" spans="1:6" ht="14.25" thickBot="1">
      <c r="A21" s="1852" t="s">
        <v>1150</v>
      </c>
      <c r="B21" s="1859" t="s">
        <v>1182</v>
      </c>
      <c r="C21" s="1857">
        <v>6.6000000000000003E-2</v>
      </c>
      <c r="D21" s="1857">
        <v>6.4000000000000001E-2</v>
      </c>
      <c r="E21" s="1857">
        <v>6.5000000000000002E-2</v>
      </c>
      <c r="F21" s="1865"/>
    </row>
    <row r="22" spans="1:6" ht="14.25" thickBot="1">
      <c r="A22" s="1852" t="s">
        <v>1150</v>
      </c>
      <c r="B22" s="1859" t="s">
        <v>2085</v>
      </c>
      <c r="C22" s="1857">
        <v>0.08</v>
      </c>
      <c r="D22" s="1857">
        <v>9.8000000000000004E-2</v>
      </c>
      <c r="E22" s="1857">
        <v>9.8000000000000004E-2</v>
      </c>
      <c r="F22" s="1865"/>
    </row>
    <row r="23" spans="1:6" ht="14.25" thickBot="1">
      <c r="A23" s="1852" t="s">
        <v>1150</v>
      </c>
      <c r="B23" s="1859" t="s">
        <v>1202</v>
      </c>
      <c r="C23" s="1857">
        <v>9.9000000000000005E-2</v>
      </c>
      <c r="D23" s="1857">
        <v>9.8000000000000004E-2</v>
      </c>
      <c r="E23" s="1857">
        <v>9.0999999999999998E-2</v>
      </c>
      <c r="F23" s="1865"/>
    </row>
    <row r="24" spans="1:6" ht="14.25" thickBot="1">
      <c r="A24" s="1852" t="s">
        <v>1150</v>
      </c>
      <c r="B24" s="1859" t="s">
        <v>1212</v>
      </c>
      <c r="C24" s="1857">
        <v>8.8999999999999996E-2</v>
      </c>
      <c r="D24" s="1857">
        <v>9.7000000000000003E-2</v>
      </c>
      <c r="E24" s="1857">
        <v>7.0000000000000007E-2</v>
      </c>
      <c r="F24" s="1865"/>
    </row>
    <row r="25" spans="1:6" ht="14.25" thickBot="1">
      <c r="A25" s="1852" t="s">
        <v>1150</v>
      </c>
      <c r="B25" s="1859" t="s">
        <v>1222</v>
      </c>
      <c r="C25" s="1857">
        <v>8.8999999999999996E-2</v>
      </c>
      <c r="D25" s="1857">
        <v>0.1</v>
      </c>
      <c r="E25" s="1857">
        <v>8.1000000000000003E-2</v>
      </c>
      <c r="F25" s="1865"/>
    </row>
    <row r="26" spans="1:6" ht="14.25" thickBot="1">
      <c r="A26" s="1852" t="s">
        <v>1150</v>
      </c>
      <c r="B26" s="1859" t="s">
        <v>1232</v>
      </c>
      <c r="C26" s="1866"/>
      <c r="D26" s="1857">
        <v>9.6000000000000002E-2</v>
      </c>
      <c r="E26" s="1857">
        <v>9.2999999999999999E-2</v>
      </c>
      <c r="F26" s="1865"/>
    </row>
    <row r="27" spans="1:6" ht="14.25" thickBot="1">
      <c r="A27" s="1852" t="s">
        <v>1150</v>
      </c>
      <c r="B27" s="1859" t="s">
        <v>1242</v>
      </c>
      <c r="C27" s="1866"/>
      <c r="D27" s="1857">
        <v>7.5999999999999998E-2</v>
      </c>
      <c r="E27" s="1857">
        <v>9.1999999999999998E-2</v>
      </c>
      <c r="F27" s="1865"/>
    </row>
    <row r="28" spans="1:6" ht="14.25" thickBot="1">
      <c r="A28" s="1860" t="s">
        <v>1150</v>
      </c>
      <c r="B28" s="1861" t="s">
        <v>1252</v>
      </c>
      <c r="C28" s="1863"/>
      <c r="D28" s="1862">
        <v>7.5999999999999998E-2</v>
      </c>
      <c r="E28" s="1862">
        <v>9.1999999999999998E-2</v>
      </c>
      <c r="F28" s="1864"/>
    </row>
    <row r="29" spans="1:6" ht="14.25" thickBot="1">
      <c r="A29" s="1852" t="s">
        <v>1321</v>
      </c>
      <c r="B29" s="1853" t="s">
        <v>2086</v>
      </c>
      <c r="C29" s="1854">
        <v>6.4000000000000001E-2</v>
      </c>
      <c r="D29" s="1854">
        <v>6.5000000000000002E-2</v>
      </c>
      <c r="E29" s="1854">
        <v>6.9000000000000006E-2</v>
      </c>
      <c r="F29" s="1855">
        <v>0.1</v>
      </c>
    </row>
    <row r="30" spans="1:6" ht="14.25" thickBot="1">
      <c r="A30" s="1852" t="s">
        <v>1321</v>
      </c>
      <c r="B30" s="1859" t="s">
        <v>1067</v>
      </c>
      <c r="C30" s="1857">
        <v>6.4000000000000001E-2</v>
      </c>
      <c r="D30" s="1857">
        <v>9.9000000000000005E-2</v>
      </c>
      <c r="E30" s="1857">
        <v>0.1</v>
      </c>
      <c r="F30" s="1858">
        <v>0.1</v>
      </c>
    </row>
    <row r="31" spans="1:6" ht="14.25" thickBot="1">
      <c r="A31" s="1852" t="s">
        <v>1321</v>
      </c>
      <c r="B31" s="1859" t="s">
        <v>1081</v>
      </c>
      <c r="C31" s="1857">
        <v>0.1</v>
      </c>
      <c r="D31" s="1857">
        <v>9.5000000000000001E-2</v>
      </c>
      <c r="E31" s="1857">
        <v>8.8999999999999996E-2</v>
      </c>
      <c r="F31" s="1858">
        <v>0.1</v>
      </c>
    </row>
    <row r="32" spans="1:6" ht="14.25" thickBot="1">
      <c r="A32" s="1852" t="s">
        <v>1321</v>
      </c>
      <c r="B32" s="1859" t="s">
        <v>1094</v>
      </c>
      <c r="C32" s="1857">
        <v>0.05</v>
      </c>
      <c r="D32" s="1857">
        <v>0.05</v>
      </c>
      <c r="E32" s="1857">
        <v>8.7999999999999995E-2</v>
      </c>
      <c r="F32" s="1858">
        <v>0.1</v>
      </c>
    </row>
    <row r="33" spans="1:6" ht="14.25" thickBot="1">
      <c r="A33" s="1852" t="s">
        <v>1321</v>
      </c>
      <c r="B33" s="1859" t="s">
        <v>1108</v>
      </c>
      <c r="C33" s="1857">
        <v>7.4999999999999997E-2</v>
      </c>
      <c r="D33" s="1857">
        <v>9.4E-2</v>
      </c>
      <c r="E33" s="1857">
        <v>9.7000000000000003E-2</v>
      </c>
      <c r="F33" s="1858">
        <v>0.1</v>
      </c>
    </row>
    <row r="34" spans="1:6" ht="14.25" thickBot="1">
      <c r="A34" s="1852" t="s">
        <v>1321</v>
      </c>
      <c r="B34" s="1859" t="s">
        <v>1119</v>
      </c>
      <c r="C34" s="1857">
        <v>9.8000000000000004E-2</v>
      </c>
      <c r="D34" s="1857">
        <v>8.5999999999999993E-2</v>
      </c>
      <c r="E34" s="1857">
        <v>9.7000000000000003E-2</v>
      </c>
      <c r="F34" s="1858">
        <v>0.1</v>
      </c>
    </row>
    <row r="35" spans="1:6" ht="14.25" thickBot="1">
      <c r="A35" s="1852" t="s">
        <v>1321</v>
      </c>
      <c r="B35" s="1859" t="s">
        <v>1130</v>
      </c>
      <c r="C35" s="1857">
        <v>5.8999999999999997E-2</v>
      </c>
      <c r="D35" s="1857">
        <v>6.5000000000000002E-2</v>
      </c>
      <c r="E35" s="1857">
        <v>7.0000000000000007E-2</v>
      </c>
      <c r="F35" s="1858">
        <v>0.1</v>
      </c>
    </row>
    <row r="36" spans="1:6" ht="14.25" thickBot="1">
      <c r="A36" s="1852" t="s">
        <v>1321</v>
      </c>
      <c r="B36" s="1859" t="s">
        <v>1141</v>
      </c>
      <c r="C36" s="1857">
        <v>6.3E-2</v>
      </c>
      <c r="D36" s="1857">
        <v>0.1</v>
      </c>
      <c r="E36" s="1857">
        <v>0.1</v>
      </c>
      <c r="F36" s="1858">
        <v>0.1</v>
      </c>
    </row>
    <row r="37" spans="1:6" ht="14.25" thickBot="1">
      <c r="A37" s="1852" t="s">
        <v>1321</v>
      </c>
      <c r="B37" s="1859" t="s">
        <v>1153</v>
      </c>
      <c r="C37" s="1857">
        <v>7.3999999999999996E-2</v>
      </c>
      <c r="D37" s="1857">
        <v>0.1</v>
      </c>
      <c r="E37" s="1857">
        <v>0.1</v>
      </c>
      <c r="F37" s="1858">
        <v>0.1</v>
      </c>
    </row>
    <row r="38" spans="1:6" ht="14.25" thickBot="1">
      <c r="A38" s="1852" t="s">
        <v>1321</v>
      </c>
      <c r="B38" s="1859" t="s">
        <v>1163</v>
      </c>
      <c r="C38" s="1857">
        <v>0.1</v>
      </c>
      <c r="D38" s="1857">
        <v>9.6000000000000002E-2</v>
      </c>
      <c r="E38" s="1857">
        <v>9.6000000000000002E-2</v>
      </c>
      <c r="F38" s="1865"/>
    </row>
    <row r="39" spans="1:6" ht="14.25" thickBot="1">
      <c r="A39" s="1852" t="s">
        <v>1321</v>
      </c>
      <c r="B39" s="1859" t="s">
        <v>1173</v>
      </c>
      <c r="C39" s="1857">
        <v>0.1</v>
      </c>
      <c r="D39" s="1857">
        <v>9.6000000000000002E-2</v>
      </c>
      <c r="E39" s="1857">
        <v>9.6000000000000002E-2</v>
      </c>
      <c r="F39" s="1865"/>
    </row>
    <row r="40" spans="1:6" ht="14.25" thickBot="1">
      <c r="A40" s="1852" t="s">
        <v>1321</v>
      </c>
      <c r="B40" s="1859" t="s">
        <v>1183</v>
      </c>
      <c r="C40" s="1857">
        <v>9.6000000000000002E-2</v>
      </c>
      <c r="D40" s="1857">
        <v>0.1</v>
      </c>
      <c r="E40" s="1857">
        <v>9.9000000000000005E-2</v>
      </c>
      <c r="F40" s="1865"/>
    </row>
    <row r="41" spans="1:6" ht="14.25" thickBot="1">
      <c r="A41" s="1852" t="s">
        <v>1321</v>
      </c>
      <c r="B41" s="1859" t="s">
        <v>1193</v>
      </c>
      <c r="C41" s="1857">
        <v>9.6000000000000002E-2</v>
      </c>
      <c r="D41" s="1857">
        <v>9.8000000000000004E-2</v>
      </c>
      <c r="E41" s="1857">
        <v>9.8000000000000004E-2</v>
      </c>
      <c r="F41" s="1865"/>
    </row>
    <row r="42" spans="1:6" ht="14.25" thickBot="1">
      <c r="A42" s="1852" t="s">
        <v>1321</v>
      </c>
      <c r="B42" s="1859" t="s">
        <v>1203</v>
      </c>
      <c r="C42" s="1857">
        <v>0.1</v>
      </c>
      <c r="D42" s="1857">
        <v>8.7999999999999995E-2</v>
      </c>
      <c r="E42" s="1857">
        <v>0.1</v>
      </c>
      <c r="F42" s="1865"/>
    </row>
    <row r="43" spans="1:6" ht="14.25" thickBot="1">
      <c r="A43" s="1852" t="s">
        <v>1321</v>
      </c>
      <c r="B43" s="1859" t="s">
        <v>1213</v>
      </c>
      <c r="C43" s="1857">
        <v>9.8000000000000004E-2</v>
      </c>
      <c r="D43" s="1857">
        <v>9.7000000000000003E-2</v>
      </c>
      <c r="E43" s="1857">
        <v>9.6000000000000002E-2</v>
      </c>
      <c r="F43" s="1865"/>
    </row>
    <row r="44" spans="1:6" ht="14.25" thickBot="1">
      <c r="A44" s="1852" t="s">
        <v>1321</v>
      </c>
      <c r="B44" s="1859" t="s">
        <v>1223</v>
      </c>
      <c r="C44" s="1857">
        <v>8.5999999999999993E-2</v>
      </c>
      <c r="D44" s="1857">
        <v>7.9000000000000001E-2</v>
      </c>
      <c r="E44" s="1857">
        <v>7.0999999999999994E-2</v>
      </c>
      <c r="F44" s="1865"/>
    </row>
    <row r="45" spans="1:6" ht="14.25" thickBot="1">
      <c r="A45" s="1852" t="s">
        <v>1321</v>
      </c>
      <c r="B45" s="1859" t="s">
        <v>1233</v>
      </c>
      <c r="C45" s="1857">
        <v>9.8000000000000004E-2</v>
      </c>
      <c r="D45" s="1857">
        <v>9.6000000000000002E-2</v>
      </c>
      <c r="E45" s="1857">
        <v>9.6000000000000002E-2</v>
      </c>
      <c r="F45" s="1865"/>
    </row>
    <row r="46" spans="1:6" ht="14.25" thickBot="1">
      <c r="A46" s="1852" t="s">
        <v>1321</v>
      </c>
      <c r="B46" s="1859" t="s">
        <v>1243</v>
      </c>
      <c r="C46" s="1857">
        <v>8.5999999999999993E-2</v>
      </c>
      <c r="D46" s="1857">
        <v>9.8000000000000004E-2</v>
      </c>
      <c r="E46" s="1857">
        <v>8.7999999999999995E-2</v>
      </c>
      <c r="F46" s="1865"/>
    </row>
    <row r="47" spans="1:6" ht="14.25" thickBot="1">
      <c r="A47" s="1852" t="s">
        <v>1321</v>
      </c>
      <c r="B47" s="1859" t="s">
        <v>1253</v>
      </c>
      <c r="C47" s="1857">
        <v>9.6000000000000002E-2</v>
      </c>
      <c r="D47" s="1866"/>
      <c r="E47" s="1857">
        <v>6.9000000000000006E-2</v>
      </c>
      <c r="F47" s="1865"/>
    </row>
    <row r="48" spans="1:6" ht="14.25" thickBot="1">
      <c r="A48" s="1860" t="s">
        <v>1321</v>
      </c>
      <c r="B48" s="1861" t="s">
        <v>1262</v>
      </c>
      <c r="C48" s="1862">
        <v>9.8000000000000004E-2</v>
      </c>
      <c r="D48" s="1863"/>
      <c r="E48" s="1862">
        <v>9.5000000000000001E-2</v>
      </c>
      <c r="F48" s="1864"/>
    </row>
    <row r="49" spans="1:6" ht="14.25" thickBot="1">
      <c r="A49" s="1852" t="s">
        <v>919</v>
      </c>
      <c r="B49" s="1853" t="s">
        <v>2087</v>
      </c>
      <c r="C49" s="1854">
        <v>9.7000000000000003E-2</v>
      </c>
      <c r="D49" s="1854">
        <v>9.5000000000000001E-2</v>
      </c>
      <c r="E49" s="1854">
        <v>9.7000000000000003E-2</v>
      </c>
      <c r="F49" s="1855">
        <v>0.1</v>
      </c>
    </row>
    <row r="50" spans="1:6" ht="14.25" thickBot="1">
      <c r="A50" s="1852" t="s">
        <v>919</v>
      </c>
      <c r="B50" s="1856" t="s">
        <v>1068</v>
      </c>
      <c r="C50" s="1857">
        <v>7.4999999999999997E-2</v>
      </c>
      <c r="D50" s="1857">
        <v>9.5000000000000001E-2</v>
      </c>
      <c r="E50" s="1857">
        <v>0.1</v>
      </c>
      <c r="F50" s="1858">
        <v>0.1</v>
      </c>
    </row>
    <row r="51" spans="1:6" ht="14.25" thickBot="1">
      <c r="A51" s="1852" t="s">
        <v>919</v>
      </c>
      <c r="B51" s="1856" t="s">
        <v>1082</v>
      </c>
      <c r="C51" s="1857">
        <v>9.8000000000000004E-2</v>
      </c>
      <c r="D51" s="1857">
        <v>8.8999999999999996E-2</v>
      </c>
      <c r="E51" s="1857">
        <v>0.1</v>
      </c>
      <c r="F51" s="1858">
        <v>0.1</v>
      </c>
    </row>
    <row r="52" spans="1:6" ht="14.25" thickBot="1">
      <c r="A52" s="1852" t="s">
        <v>919</v>
      </c>
      <c r="B52" s="1856" t="s">
        <v>1095</v>
      </c>
      <c r="C52" s="1857">
        <v>9.8000000000000004E-2</v>
      </c>
      <c r="D52" s="1857">
        <v>9.7000000000000003E-2</v>
      </c>
      <c r="E52" s="1857">
        <v>8.1000000000000003E-2</v>
      </c>
      <c r="F52" s="1858">
        <v>0.1</v>
      </c>
    </row>
    <row r="53" spans="1:6" ht="14.25" thickBot="1">
      <c r="A53" s="1852" t="s">
        <v>919</v>
      </c>
      <c r="B53" s="1856" t="s">
        <v>1109</v>
      </c>
      <c r="C53" s="1857">
        <v>9.7000000000000003E-2</v>
      </c>
      <c r="D53" s="1857">
        <v>7.5999999999999998E-2</v>
      </c>
      <c r="E53" s="1857">
        <v>7.0999999999999994E-2</v>
      </c>
      <c r="F53" s="1858">
        <v>0.1</v>
      </c>
    </row>
    <row r="54" spans="1:6" ht="14.25" thickBot="1">
      <c r="A54" s="1852" t="s">
        <v>919</v>
      </c>
      <c r="B54" s="1856" t="s">
        <v>1120</v>
      </c>
      <c r="C54" s="1857">
        <v>7.5999999999999998E-2</v>
      </c>
      <c r="D54" s="1857">
        <v>0.1</v>
      </c>
      <c r="E54" s="1857">
        <v>9.9000000000000005E-2</v>
      </c>
      <c r="F54" s="1858">
        <v>0.1</v>
      </c>
    </row>
    <row r="55" spans="1:6" ht="14.25" thickBot="1">
      <c r="A55" s="1852" t="s">
        <v>919</v>
      </c>
      <c r="B55" s="1856" t="s">
        <v>1131</v>
      </c>
      <c r="C55" s="1857">
        <v>0.1</v>
      </c>
      <c r="D55" s="1857">
        <v>0.1</v>
      </c>
      <c r="E55" s="1857">
        <v>9.6000000000000002E-2</v>
      </c>
      <c r="F55" s="1858">
        <v>0.1</v>
      </c>
    </row>
    <row r="56" spans="1:6" ht="14.25" thickBot="1">
      <c r="A56" s="1852" t="s">
        <v>919</v>
      </c>
      <c r="B56" s="1856" t="s">
        <v>1142</v>
      </c>
      <c r="C56" s="1857">
        <v>0.1</v>
      </c>
      <c r="D56" s="1857">
        <v>9.6000000000000002E-2</v>
      </c>
      <c r="E56" s="1857">
        <v>5.1999999999999998E-2</v>
      </c>
      <c r="F56" s="1858">
        <v>0.1</v>
      </c>
    </row>
    <row r="57" spans="1:6" ht="14.25" thickBot="1">
      <c r="A57" s="1852" t="s">
        <v>919</v>
      </c>
      <c r="B57" s="1856" t="s">
        <v>1154</v>
      </c>
      <c r="C57" s="1857">
        <v>9.7000000000000003E-2</v>
      </c>
      <c r="D57" s="1857">
        <v>9.6000000000000002E-2</v>
      </c>
      <c r="E57" s="1857">
        <v>9.6000000000000002E-2</v>
      </c>
      <c r="F57" s="1858">
        <v>0.1</v>
      </c>
    </row>
    <row r="58" spans="1:6" ht="14.25" thickBot="1">
      <c r="A58" s="1852" t="s">
        <v>919</v>
      </c>
      <c r="B58" s="1856" t="s">
        <v>1164</v>
      </c>
      <c r="C58" s="1857">
        <v>9.6000000000000002E-2</v>
      </c>
      <c r="D58" s="1857">
        <v>9.9000000000000005E-2</v>
      </c>
      <c r="E58" s="1857">
        <v>9.6000000000000002E-2</v>
      </c>
      <c r="F58" s="1858">
        <v>0.1</v>
      </c>
    </row>
    <row r="59" spans="1:6" ht="14.25" thickBot="1">
      <c r="A59" s="1852" t="s">
        <v>919</v>
      </c>
      <c r="B59" s="1856" t="s">
        <v>1174</v>
      </c>
      <c r="C59" s="1857">
        <v>7.1999999999999995E-2</v>
      </c>
      <c r="D59" s="1857">
        <v>9.6000000000000002E-2</v>
      </c>
      <c r="E59" s="1857">
        <v>7.0999999999999994E-2</v>
      </c>
      <c r="F59" s="1858">
        <v>0.1</v>
      </c>
    </row>
    <row r="60" spans="1:6" ht="14.25" thickBot="1">
      <c r="A60" s="1852" t="s">
        <v>919</v>
      </c>
      <c r="B60" s="1856" t="s">
        <v>1184</v>
      </c>
      <c r="C60" s="1857">
        <v>9.6000000000000002E-2</v>
      </c>
      <c r="D60" s="1857">
        <v>8.8999999999999996E-2</v>
      </c>
      <c r="E60" s="1857">
        <v>9.6000000000000002E-2</v>
      </c>
      <c r="F60" s="1858">
        <v>0.1</v>
      </c>
    </row>
    <row r="61" spans="1:6" ht="14.25" thickBot="1">
      <c r="A61" s="1852" t="s">
        <v>919</v>
      </c>
      <c r="B61" s="1856" t="s">
        <v>1194</v>
      </c>
      <c r="C61" s="1857">
        <v>8.8999999999999996E-2</v>
      </c>
      <c r="D61" s="1857">
        <v>9.8000000000000004E-2</v>
      </c>
      <c r="E61" s="1857">
        <v>8.7999999999999995E-2</v>
      </c>
      <c r="F61" s="1865"/>
    </row>
    <row r="62" spans="1:6" ht="14.25" thickBot="1">
      <c r="A62" s="1852" t="s">
        <v>919</v>
      </c>
      <c r="B62" s="1856" t="s">
        <v>1204</v>
      </c>
      <c r="C62" s="1857">
        <v>9.8000000000000004E-2</v>
      </c>
      <c r="D62" s="1857">
        <v>9.2999999999999999E-2</v>
      </c>
      <c r="E62" s="1857">
        <v>9.7000000000000003E-2</v>
      </c>
      <c r="F62" s="1865"/>
    </row>
    <row r="63" spans="1:6" ht="14.25" thickBot="1">
      <c r="A63" s="1852" t="s">
        <v>919</v>
      </c>
      <c r="B63" s="1856" t="s">
        <v>1214</v>
      </c>
      <c r="C63" s="1857">
        <v>9.6000000000000002E-2</v>
      </c>
      <c r="D63" s="1857">
        <v>9.8000000000000004E-2</v>
      </c>
      <c r="E63" s="1857">
        <v>0.09</v>
      </c>
      <c r="F63" s="1865"/>
    </row>
    <row r="64" spans="1:6" ht="14.25" thickBot="1">
      <c r="A64" s="1852" t="s">
        <v>919</v>
      </c>
      <c r="B64" s="1856" t="s">
        <v>1224</v>
      </c>
      <c r="C64" s="1857">
        <v>9.9000000000000005E-2</v>
      </c>
      <c r="D64" s="1857">
        <v>9.7000000000000003E-2</v>
      </c>
      <c r="E64" s="1857">
        <v>9.9000000000000005E-2</v>
      </c>
      <c r="F64" s="1865"/>
    </row>
    <row r="65" spans="1:6" ht="14.25" thickBot="1">
      <c r="A65" s="1852" t="s">
        <v>919</v>
      </c>
      <c r="B65" s="1856" t="s">
        <v>1234</v>
      </c>
      <c r="C65" s="1857">
        <v>9.8000000000000004E-2</v>
      </c>
      <c r="D65" s="1857">
        <v>9.6000000000000002E-2</v>
      </c>
      <c r="E65" s="1857">
        <v>9.6000000000000002E-2</v>
      </c>
      <c r="F65" s="1865"/>
    </row>
    <row r="66" spans="1:6" ht="14.25" thickBot="1">
      <c r="A66" s="1852" t="s">
        <v>919</v>
      </c>
      <c r="B66" s="1856" t="s">
        <v>1244</v>
      </c>
      <c r="C66" s="1857">
        <v>9.6000000000000002E-2</v>
      </c>
      <c r="D66" s="1857">
        <v>9.1999999999999998E-2</v>
      </c>
      <c r="E66" s="1857">
        <v>9.6000000000000002E-2</v>
      </c>
      <c r="F66" s="1865"/>
    </row>
    <row r="67" spans="1:6" ht="14.25" thickBot="1">
      <c r="A67" s="1852" t="s">
        <v>919</v>
      </c>
      <c r="B67" s="1856" t="s">
        <v>1254</v>
      </c>
      <c r="C67" s="1857">
        <v>9.4E-2</v>
      </c>
      <c r="D67" s="1857">
        <v>0.1</v>
      </c>
      <c r="E67" s="1857">
        <v>8.7999999999999995E-2</v>
      </c>
      <c r="F67" s="1865"/>
    </row>
    <row r="68" spans="1:6" ht="14.25" thickBot="1">
      <c r="A68" s="1852" t="s">
        <v>919</v>
      </c>
      <c r="B68" s="1856" t="s">
        <v>1263</v>
      </c>
      <c r="C68" s="1857">
        <v>0.1</v>
      </c>
      <c r="D68" s="1857">
        <v>8.7999999999999995E-2</v>
      </c>
      <c r="E68" s="1857">
        <v>9.7000000000000003E-2</v>
      </c>
      <c r="F68" s="1865"/>
    </row>
    <row r="69" spans="1:6" ht="14.25" thickBot="1">
      <c r="A69" s="1852" t="s">
        <v>919</v>
      </c>
      <c r="B69" s="1856" t="s">
        <v>1272</v>
      </c>
      <c r="C69" s="1857">
        <v>6.4000000000000001E-2</v>
      </c>
      <c r="D69" s="1857">
        <v>0.1</v>
      </c>
      <c r="E69" s="1857">
        <v>0.1</v>
      </c>
      <c r="F69" s="1865"/>
    </row>
    <row r="70" spans="1:6" ht="14.25" thickBot="1">
      <c r="A70" s="1852" t="s">
        <v>919</v>
      </c>
      <c r="B70" s="1856" t="s">
        <v>1280</v>
      </c>
      <c r="C70" s="1857">
        <v>9.0999999999999998E-2</v>
      </c>
      <c r="D70" s="1866"/>
      <c r="E70" s="1866"/>
      <c r="F70" s="1865"/>
    </row>
    <row r="71" spans="1:6" ht="14.25" thickBot="1">
      <c r="A71" s="1852" t="s">
        <v>919</v>
      </c>
      <c r="B71" s="1856" t="s">
        <v>1287</v>
      </c>
      <c r="C71" s="1857">
        <v>0.1</v>
      </c>
      <c r="D71" s="1866"/>
      <c r="E71" s="1866"/>
      <c r="F71" s="1865"/>
    </row>
    <row r="72" spans="1:6" ht="14.25" thickBot="1">
      <c r="A72" s="1852" t="s">
        <v>919</v>
      </c>
      <c r="B72" s="1856" t="s">
        <v>2088</v>
      </c>
      <c r="C72" s="1866"/>
      <c r="D72" s="1866"/>
      <c r="E72" s="1866"/>
      <c r="F72" s="1858">
        <v>0.05</v>
      </c>
    </row>
    <row r="73" spans="1:6" ht="14.25" thickBot="1">
      <c r="A73" s="1852" t="s">
        <v>919</v>
      </c>
      <c r="B73" s="1856" t="s">
        <v>2089</v>
      </c>
      <c r="C73" s="1866"/>
      <c r="D73" s="1866"/>
      <c r="E73" s="1866"/>
      <c r="F73" s="1858">
        <v>0.05</v>
      </c>
    </row>
    <row r="74" spans="1:6" ht="14.25" thickBot="1">
      <c r="A74" s="1852" t="s">
        <v>919</v>
      </c>
      <c r="B74" s="1856" t="s">
        <v>2090</v>
      </c>
      <c r="C74" s="1866"/>
      <c r="D74" s="1866"/>
      <c r="E74" s="1866"/>
      <c r="F74" s="1858">
        <v>0.05</v>
      </c>
    </row>
    <row r="75" spans="1:6" ht="14.25" thickBot="1">
      <c r="A75" s="1860" t="s">
        <v>919</v>
      </c>
      <c r="B75" s="1867" t="s">
        <v>2091</v>
      </c>
      <c r="C75" s="1863"/>
      <c r="D75" s="1863"/>
      <c r="E75" s="1863"/>
      <c r="F75" s="1868">
        <v>0.05</v>
      </c>
    </row>
    <row r="76" spans="1:6" ht="14.25" thickBot="1">
      <c r="A76" s="1852" t="s">
        <v>1402</v>
      </c>
      <c r="B76" s="1853" t="s">
        <v>2092</v>
      </c>
      <c r="C76" s="1854">
        <v>0.1</v>
      </c>
      <c r="D76" s="1854">
        <v>0.1</v>
      </c>
      <c r="E76" s="1854">
        <v>0.1</v>
      </c>
      <c r="F76" s="1855">
        <v>0.1</v>
      </c>
    </row>
    <row r="77" spans="1:6" ht="14.25" thickBot="1">
      <c r="A77" s="1852" t="s">
        <v>1402</v>
      </c>
      <c r="B77" s="1856" t="s">
        <v>1069</v>
      </c>
      <c r="C77" s="1857">
        <v>8.7999999999999995E-2</v>
      </c>
      <c r="D77" s="1857">
        <v>8.6999999999999994E-2</v>
      </c>
      <c r="E77" s="1857">
        <v>7.9000000000000001E-2</v>
      </c>
      <c r="F77" s="1858">
        <v>0.1</v>
      </c>
    </row>
    <row r="78" spans="1:6" ht="14.25" thickBot="1">
      <c r="A78" s="1852" t="s">
        <v>1402</v>
      </c>
      <c r="B78" s="1856" t="s">
        <v>1083</v>
      </c>
      <c r="C78" s="1857">
        <v>8.6999999999999994E-2</v>
      </c>
      <c r="D78" s="1857">
        <v>8.4000000000000005E-2</v>
      </c>
      <c r="E78" s="1857">
        <v>9.6000000000000002E-2</v>
      </c>
      <c r="F78" s="1858">
        <v>0.1</v>
      </c>
    </row>
    <row r="79" spans="1:6" ht="14.25" thickBot="1">
      <c r="A79" s="1852" t="s">
        <v>1402</v>
      </c>
      <c r="B79" s="1856" t="s">
        <v>1096</v>
      </c>
      <c r="C79" s="1857">
        <v>9.8000000000000004E-2</v>
      </c>
      <c r="D79" s="1857">
        <v>9.8000000000000004E-2</v>
      </c>
      <c r="E79" s="1857">
        <v>9.0999999999999998E-2</v>
      </c>
      <c r="F79" s="1858">
        <v>0.1</v>
      </c>
    </row>
    <row r="80" spans="1:6" ht="14.25" thickBot="1">
      <c r="A80" s="1852" t="s">
        <v>1402</v>
      </c>
      <c r="B80" s="1856" t="s">
        <v>1110</v>
      </c>
      <c r="C80" s="1857">
        <v>9.6000000000000002E-2</v>
      </c>
      <c r="D80" s="1857">
        <v>9.6000000000000002E-2</v>
      </c>
      <c r="E80" s="1857">
        <v>0.1</v>
      </c>
      <c r="F80" s="1858">
        <v>0.1</v>
      </c>
    </row>
    <row r="81" spans="1:6" ht="14.25" thickBot="1">
      <c r="A81" s="1852" t="s">
        <v>1402</v>
      </c>
      <c r="B81" s="1856" t="s">
        <v>1121</v>
      </c>
      <c r="C81" s="1857">
        <v>9.9000000000000005E-2</v>
      </c>
      <c r="D81" s="1857">
        <v>9.9000000000000005E-2</v>
      </c>
      <c r="E81" s="1857">
        <v>9.8000000000000004E-2</v>
      </c>
      <c r="F81" s="1858">
        <v>0.1</v>
      </c>
    </row>
    <row r="82" spans="1:6" ht="14.25" thickBot="1">
      <c r="A82" s="1852" t="s">
        <v>1402</v>
      </c>
      <c r="B82" s="1856" t="s">
        <v>1132</v>
      </c>
      <c r="C82" s="1857">
        <v>9.9000000000000005E-2</v>
      </c>
      <c r="D82" s="1857">
        <v>9.9000000000000005E-2</v>
      </c>
      <c r="E82" s="1857">
        <v>9.7000000000000003E-2</v>
      </c>
      <c r="F82" s="1858">
        <v>0.1</v>
      </c>
    </row>
    <row r="83" spans="1:6" ht="14.25" thickBot="1">
      <c r="A83" s="1852" t="s">
        <v>1402</v>
      </c>
      <c r="B83" s="1856" t="s">
        <v>1143</v>
      </c>
      <c r="C83" s="1857">
        <v>9.8000000000000004E-2</v>
      </c>
      <c r="D83" s="1857">
        <v>9.8000000000000004E-2</v>
      </c>
      <c r="E83" s="1857">
        <v>9.8000000000000004E-2</v>
      </c>
      <c r="F83" s="1858">
        <v>0.1</v>
      </c>
    </row>
    <row r="84" spans="1:6" ht="14.25" thickBot="1">
      <c r="A84" s="1852" t="s">
        <v>1402</v>
      </c>
      <c r="B84" s="1856" t="s">
        <v>1155</v>
      </c>
      <c r="C84" s="1857">
        <v>9.9000000000000005E-2</v>
      </c>
      <c r="D84" s="1857">
        <v>9.9000000000000005E-2</v>
      </c>
      <c r="E84" s="1857">
        <v>9.9000000000000005E-2</v>
      </c>
      <c r="F84" s="1858">
        <v>0.1</v>
      </c>
    </row>
    <row r="85" spans="1:6" ht="14.25" thickBot="1">
      <c r="A85" s="1852" t="s">
        <v>1402</v>
      </c>
      <c r="B85" s="1856" t="s">
        <v>1165</v>
      </c>
      <c r="C85" s="1857">
        <v>9.9000000000000005E-2</v>
      </c>
      <c r="D85" s="1857">
        <v>9.9000000000000005E-2</v>
      </c>
      <c r="E85" s="1857">
        <v>9.9000000000000005E-2</v>
      </c>
      <c r="F85" s="1858">
        <v>0.1</v>
      </c>
    </row>
    <row r="86" spans="1:6" ht="14.25" thickBot="1">
      <c r="A86" s="1852" t="s">
        <v>1402</v>
      </c>
      <c r="B86" s="1856" t="s">
        <v>1175</v>
      </c>
      <c r="C86" s="1857">
        <v>0.1</v>
      </c>
      <c r="D86" s="1857">
        <v>0.1</v>
      </c>
      <c r="E86" s="1857">
        <v>7.6999999999999999E-2</v>
      </c>
      <c r="F86" s="1858">
        <v>0.1</v>
      </c>
    </row>
    <row r="87" spans="1:6" ht="14.25" thickBot="1">
      <c r="A87" s="1852" t="s">
        <v>1402</v>
      </c>
      <c r="B87" s="1856" t="s">
        <v>1185</v>
      </c>
      <c r="C87" s="1857">
        <v>0.1</v>
      </c>
      <c r="D87" s="1857">
        <v>0.1</v>
      </c>
      <c r="E87" s="1857">
        <v>9.8000000000000004E-2</v>
      </c>
      <c r="F87" s="1865"/>
    </row>
    <row r="88" spans="1:6" ht="14.25" thickBot="1">
      <c r="A88" s="1852" t="s">
        <v>1402</v>
      </c>
      <c r="B88" s="1856" t="s">
        <v>1195</v>
      </c>
      <c r="C88" s="1857">
        <v>9.1999999999999998E-2</v>
      </c>
      <c r="D88" s="1857">
        <v>8.5000000000000006E-2</v>
      </c>
      <c r="E88" s="1857">
        <v>9.6000000000000002E-2</v>
      </c>
      <c r="F88" s="1865"/>
    </row>
    <row r="89" spans="1:6" ht="14.25" thickBot="1">
      <c r="A89" s="1852" t="s">
        <v>1402</v>
      </c>
      <c r="B89" s="1856" t="s">
        <v>1205</v>
      </c>
      <c r="C89" s="1857">
        <v>0.1</v>
      </c>
      <c r="D89" s="1857">
        <v>0.1</v>
      </c>
      <c r="E89" s="1857">
        <v>9.7000000000000003E-2</v>
      </c>
      <c r="F89" s="1865"/>
    </row>
    <row r="90" spans="1:6" ht="14.25" thickBot="1">
      <c r="A90" s="1852" t="s">
        <v>1402</v>
      </c>
      <c r="B90" s="1856" t="s">
        <v>1215</v>
      </c>
      <c r="C90" s="1857">
        <v>9.8000000000000004E-2</v>
      </c>
      <c r="D90" s="1857">
        <v>9.8000000000000004E-2</v>
      </c>
      <c r="E90" s="1857">
        <v>8.7999999999999995E-2</v>
      </c>
      <c r="F90" s="1865"/>
    </row>
    <row r="91" spans="1:6" ht="14.25" thickBot="1">
      <c r="A91" s="1852" t="s">
        <v>1402</v>
      </c>
      <c r="B91" s="1856" t="s">
        <v>1225</v>
      </c>
      <c r="C91" s="1857">
        <v>9.9000000000000005E-2</v>
      </c>
      <c r="D91" s="1857">
        <v>9.9000000000000005E-2</v>
      </c>
      <c r="E91" s="1857">
        <v>9.0999999999999998E-2</v>
      </c>
      <c r="F91" s="1865"/>
    </row>
    <row r="92" spans="1:6" ht="14.25" thickBot="1">
      <c r="A92" s="1852" t="s">
        <v>1402</v>
      </c>
      <c r="B92" s="1856" t="s">
        <v>1235</v>
      </c>
      <c r="C92" s="1857">
        <v>9.6000000000000002E-2</v>
      </c>
      <c r="D92" s="1857">
        <v>9.6000000000000002E-2</v>
      </c>
      <c r="E92" s="1857">
        <v>7.2999999999999995E-2</v>
      </c>
      <c r="F92" s="1865"/>
    </row>
    <row r="93" spans="1:6" ht="14.25" thickBot="1">
      <c r="A93" s="1852" t="s">
        <v>1402</v>
      </c>
      <c r="B93" s="1856" t="s">
        <v>1245</v>
      </c>
      <c r="C93" s="1857">
        <v>9.6000000000000002E-2</v>
      </c>
      <c r="D93" s="1857">
        <v>9.6000000000000002E-2</v>
      </c>
      <c r="E93" s="1857">
        <v>9.9000000000000005E-2</v>
      </c>
      <c r="F93" s="1865"/>
    </row>
    <row r="94" spans="1:6" ht="14.25" thickBot="1">
      <c r="A94" s="1852" t="s">
        <v>1402</v>
      </c>
      <c r="B94" s="1856" t="s">
        <v>1255</v>
      </c>
      <c r="C94" s="1857">
        <v>7.5999999999999998E-2</v>
      </c>
      <c r="D94" s="1857">
        <v>7.3999999999999996E-2</v>
      </c>
      <c r="E94" s="1857">
        <v>9.7000000000000003E-2</v>
      </c>
      <c r="F94" s="1865"/>
    </row>
    <row r="95" spans="1:6" ht="14.25" thickBot="1">
      <c r="A95" s="1852" t="s">
        <v>1402</v>
      </c>
      <c r="B95" s="1856" t="s">
        <v>1264</v>
      </c>
      <c r="C95" s="1857">
        <v>9.9000000000000005E-2</v>
      </c>
      <c r="D95" s="1857">
        <v>9.4E-2</v>
      </c>
      <c r="E95" s="1857">
        <v>9.6000000000000002E-2</v>
      </c>
      <c r="F95" s="1865"/>
    </row>
    <row r="96" spans="1:6" ht="14.25" thickBot="1">
      <c r="A96" s="1852" t="s">
        <v>1402</v>
      </c>
      <c r="B96" s="1856" t="s">
        <v>1273</v>
      </c>
      <c r="C96" s="1857">
        <v>9.9000000000000005E-2</v>
      </c>
      <c r="D96" s="1857">
        <v>9.9000000000000005E-2</v>
      </c>
      <c r="E96" s="1857">
        <v>9.9000000000000005E-2</v>
      </c>
      <c r="F96" s="1865"/>
    </row>
    <row r="97" spans="1:6" ht="14.25" thickBot="1">
      <c r="A97" s="1852" t="s">
        <v>1402</v>
      </c>
      <c r="B97" s="1856" t="s">
        <v>1281</v>
      </c>
      <c r="C97" s="1857">
        <v>9.8000000000000004E-2</v>
      </c>
      <c r="D97" s="1857">
        <v>9.8000000000000004E-2</v>
      </c>
      <c r="E97" s="1857">
        <v>9.7000000000000003E-2</v>
      </c>
      <c r="F97" s="1865"/>
    </row>
    <row r="98" spans="1:6" ht="14.25" thickBot="1">
      <c r="A98" s="1852" t="s">
        <v>1402</v>
      </c>
      <c r="B98" s="1856" t="s">
        <v>1288</v>
      </c>
      <c r="C98" s="1857">
        <v>0.1</v>
      </c>
      <c r="D98" s="1857">
        <v>0.1</v>
      </c>
      <c r="E98" s="1857">
        <v>9.7000000000000003E-2</v>
      </c>
      <c r="F98" s="1865"/>
    </row>
    <row r="99" spans="1:6" ht="14.25" thickBot="1">
      <c r="A99" s="1852" t="s">
        <v>1402</v>
      </c>
      <c r="B99" s="1856" t="s">
        <v>1295</v>
      </c>
      <c r="C99" s="1857">
        <v>0.1</v>
      </c>
      <c r="D99" s="1857">
        <v>0.1</v>
      </c>
      <c r="E99" s="1866"/>
      <c r="F99" s="1865"/>
    </row>
    <row r="100" spans="1:6" ht="14.25" thickBot="1">
      <c r="A100" s="1852" t="s">
        <v>1402</v>
      </c>
      <c r="B100" s="1856" t="s">
        <v>1302</v>
      </c>
      <c r="C100" s="1857">
        <v>0.09</v>
      </c>
      <c r="D100" s="1857">
        <v>8.8999999999999996E-2</v>
      </c>
      <c r="E100" s="1866"/>
      <c r="F100" s="1865"/>
    </row>
    <row r="101" spans="1:6" ht="14.25" thickBot="1">
      <c r="A101" s="1852" t="s">
        <v>1402</v>
      </c>
      <c r="B101" s="1856" t="s">
        <v>1309</v>
      </c>
      <c r="C101" s="1857">
        <v>9.8000000000000004E-2</v>
      </c>
      <c r="D101" s="1857">
        <v>9.7000000000000003E-2</v>
      </c>
      <c r="E101" s="1866"/>
      <c r="F101" s="1865"/>
    </row>
    <row r="102" spans="1:6" ht="14.25" thickBot="1">
      <c r="A102" s="1852" t="s">
        <v>1402</v>
      </c>
      <c r="B102" s="1856" t="s">
        <v>2093</v>
      </c>
      <c r="C102" s="1866"/>
      <c r="D102" s="1866"/>
      <c r="E102" s="1866"/>
      <c r="F102" s="1858">
        <v>0.05</v>
      </c>
    </row>
    <row r="103" spans="1:6" ht="24.75" thickBot="1">
      <c r="A103" s="1852" t="s">
        <v>1402</v>
      </c>
      <c r="B103" s="1856" t="s">
        <v>2094</v>
      </c>
      <c r="C103" s="1866"/>
      <c r="D103" s="1866"/>
      <c r="E103" s="1866"/>
      <c r="F103" s="1858">
        <v>0.05</v>
      </c>
    </row>
    <row r="104" spans="1:6" ht="14.25" thickBot="1">
      <c r="A104" s="1852" t="s">
        <v>1402</v>
      </c>
      <c r="B104" s="1856" t="s">
        <v>2095</v>
      </c>
      <c r="C104" s="1866"/>
      <c r="D104" s="1866"/>
      <c r="E104" s="1866"/>
      <c r="F104" s="1858">
        <v>0.05</v>
      </c>
    </row>
    <row r="105" spans="1:6" ht="14.25" thickBot="1">
      <c r="A105" s="1852" t="s">
        <v>1402</v>
      </c>
      <c r="B105" s="1856" t="s">
        <v>2096</v>
      </c>
      <c r="C105" s="1866"/>
      <c r="D105" s="1866"/>
      <c r="E105" s="1866"/>
      <c r="F105" s="1858">
        <v>0.05</v>
      </c>
    </row>
    <row r="106" spans="1:6" ht="14.25" thickBot="1">
      <c r="A106" s="1852" t="s">
        <v>1402</v>
      </c>
      <c r="B106" s="1856" t="s">
        <v>2097</v>
      </c>
      <c r="C106" s="1866"/>
      <c r="D106" s="1866"/>
      <c r="E106" s="1866"/>
      <c r="F106" s="1858">
        <v>0.05</v>
      </c>
    </row>
    <row r="107" spans="1:6" ht="24.75" thickBot="1">
      <c r="A107" s="1852" t="s">
        <v>1402</v>
      </c>
      <c r="B107" s="1856" t="s">
        <v>2098</v>
      </c>
      <c r="C107" s="1866"/>
      <c r="D107" s="1866"/>
      <c r="E107" s="1866"/>
      <c r="F107" s="1858">
        <v>0.05</v>
      </c>
    </row>
    <row r="108" spans="1:6" ht="24.75" thickBot="1">
      <c r="A108" s="1852" t="s">
        <v>1402</v>
      </c>
      <c r="B108" s="1856" t="s">
        <v>2099</v>
      </c>
      <c r="C108" s="1866"/>
      <c r="D108" s="1866"/>
      <c r="E108" s="1866"/>
      <c r="F108" s="1858">
        <v>0.05</v>
      </c>
    </row>
    <row r="109" spans="1:6" ht="24.75" thickBot="1">
      <c r="A109" s="1860" t="s">
        <v>1402</v>
      </c>
      <c r="B109" s="1867" t="s">
        <v>2100</v>
      </c>
      <c r="C109" s="1863"/>
      <c r="D109" s="1863"/>
      <c r="E109" s="1863"/>
      <c r="F109" s="1868">
        <v>0.05</v>
      </c>
    </row>
    <row r="110" spans="1:6" ht="14.25" thickBot="1">
      <c r="A110" s="1852" t="s">
        <v>1404</v>
      </c>
      <c r="B110" s="1853" t="s">
        <v>2101</v>
      </c>
      <c r="C110" s="1854">
        <v>0.129</v>
      </c>
      <c r="D110" s="1854">
        <v>0.129</v>
      </c>
      <c r="E110" s="1854">
        <v>0.126</v>
      </c>
      <c r="F110" s="1855">
        <v>0.13</v>
      </c>
    </row>
    <row r="111" spans="1:6" ht="14.25" thickBot="1">
      <c r="A111" s="1852" t="s">
        <v>1404</v>
      </c>
      <c r="B111" s="1856" t="s">
        <v>1070</v>
      </c>
      <c r="C111" s="1857">
        <v>0.11</v>
      </c>
      <c r="D111" s="1857">
        <v>0.11</v>
      </c>
      <c r="E111" s="1857">
        <v>9.9000000000000005E-2</v>
      </c>
      <c r="F111" s="1858">
        <v>0.128</v>
      </c>
    </row>
    <row r="112" spans="1:6" ht="14.25" thickBot="1">
      <c r="A112" s="1852" t="s">
        <v>1404</v>
      </c>
      <c r="B112" s="1856" t="s">
        <v>1084</v>
      </c>
      <c r="C112" s="1857">
        <v>0.125</v>
      </c>
      <c r="D112" s="1857">
        <v>0.125</v>
      </c>
      <c r="E112" s="1857">
        <v>0.12</v>
      </c>
      <c r="F112" s="1858">
        <v>0.125</v>
      </c>
    </row>
    <row r="113" spans="1:6" ht="14.25" thickBot="1">
      <c r="A113" s="1852" t="s">
        <v>1404</v>
      </c>
      <c r="B113" s="1856" t="s">
        <v>1097</v>
      </c>
      <c r="C113" s="1857">
        <v>0.13</v>
      </c>
      <c r="D113" s="1857">
        <v>0.13</v>
      </c>
      <c r="E113" s="1857">
        <v>0.13</v>
      </c>
      <c r="F113" s="1858">
        <v>0.13</v>
      </c>
    </row>
    <row r="114" spans="1:6" ht="14.25" thickBot="1">
      <c r="A114" s="1852" t="s">
        <v>1404</v>
      </c>
      <c r="B114" s="1856" t="s">
        <v>1111</v>
      </c>
      <c r="C114" s="1857">
        <v>0.123</v>
      </c>
      <c r="D114" s="1857">
        <v>0.123</v>
      </c>
      <c r="E114" s="1857">
        <v>0.12</v>
      </c>
      <c r="F114" s="1858">
        <v>0.13</v>
      </c>
    </row>
    <row r="115" spans="1:6" ht="14.25" thickBot="1">
      <c r="A115" s="1852" t="s">
        <v>1404</v>
      </c>
      <c r="B115" s="1856" t="s">
        <v>1122</v>
      </c>
      <c r="C115" s="1857">
        <v>0.125</v>
      </c>
      <c r="D115" s="1857">
        <v>0.125</v>
      </c>
      <c r="E115" s="1857">
        <v>0.11700000000000001</v>
      </c>
      <c r="F115" s="1858">
        <v>0.13</v>
      </c>
    </row>
    <row r="116" spans="1:6" ht="14.25" thickBot="1">
      <c r="A116" s="1852" t="s">
        <v>1404</v>
      </c>
      <c r="B116" s="1856" t="s">
        <v>1133</v>
      </c>
      <c r="C116" s="1857">
        <v>0.11700000000000001</v>
      </c>
      <c r="D116" s="1857">
        <v>0.11700000000000001</v>
      </c>
      <c r="E116" s="1857">
        <v>8.7999999999999995E-2</v>
      </c>
      <c r="F116" s="1858">
        <v>0.13</v>
      </c>
    </row>
    <row r="117" spans="1:6" ht="14.25" thickBot="1">
      <c r="A117" s="1852" t="s">
        <v>1404</v>
      </c>
      <c r="B117" s="1856" t="s">
        <v>1144</v>
      </c>
      <c r="C117" s="1857">
        <v>0.13</v>
      </c>
      <c r="D117" s="1857">
        <v>0.13</v>
      </c>
      <c r="E117" s="1857">
        <v>0.129</v>
      </c>
      <c r="F117" s="1858">
        <v>0.13</v>
      </c>
    </row>
    <row r="118" spans="1:6" ht="14.25" thickBot="1">
      <c r="A118" s="1852" t="s">
        <v>1404</v>
      </c>
      <c r="B118" s="1856" t="s">
        <v>1156</v>
      </c>
      <c r="C118" s="1857">
        <v>0.123</v>
      </c>
      <c r="D118" s="1857">
        <v>0.123</v>
      </c>
      <c r="E118" s="1857">
        <v>0.11600000000000001</v>
      </c>
      <c r="F118" s="1858">
        <v>0.13</v>
      </c>
    </row>
    <row r="119" spans="1:6" ht="14.25" thickBot="1">
      <c r="A119" s="1852" t="s">
        <v>1404</v>
      </c>
      <c r="B119" s="1856" t="s">
        <v>1166</v>
      </c>
      <c r="C119" s="1857">
        <v>0.127</v>
      </c>
      <c r="D119" s="1857">
        <v>0.127</v>
      </c>
      <c r="E119" s="1857">
        <v>0.124</v>
      </c>
      <c r="F119" s="1858">
        <v>0.13</v>
      </c>
    </row>
    <row r="120" spans="1:6" ht="14.25" thickBot="1">
      <c r="A120" s="1852" t="s">
        <v>1404</v>
      </c>
      <c r="B120" s="1856" t="s">
        <v>1176</v>
      </c>
      <c r="C120" s="1857">
        <v>0.125</v>
      </c>
      <c r="D120" s="1857">
        <v>0.125</v>
      </c>
      <c r="E120" s="1857">
        <v>0.122</v>
      </c>
      <c r="F120" s="1858">
        <v>0.13</v>
      </c>
    </row>
    <row r="121" spans="1:6" ht="14.25" thickBot="1">
      <c r="A121" s="1852" t="s">
        <v>1404</v>
      </c>
      <c r="B121" s="1856" t="s">
        <v>1186</v>
      </c>
      <c r="C121" s="1857">
        <v>0.13</v>
      </c>
      <c r="D121" s="1857">
        <v>0.13</v>
      </c>
      <c r="E121" s="1857">
        <v>0.13</v>
      </c>
      <c r="F121" s="1858">
        <v>0.13</v>
      </c>
    </row>
    <row r="122" spans="1:6" ht="14.25" thickBot="1">
      <c r="A122" s="1852" t="s">
        <v>1404</v>
      </c>
      <c r="B122" s="1856" t="s">
        <v>1196</v>
      </c>
      <c r="C122" s="1857">
        <v>0.13</v>
      </c>
      <c r="D122" s="1857">
        <v>0.13</v>
      </c>
      <c r="E122" s="1857">
        <v>0.125</v>
      </c>
      <c r="F122" s="1858">
        <v>0.13</v>
      </c>
    </row>
    <row r="123" spans="1:6" ht="14.25" thickBot="1">
      <c r="A123" s="1852" t="s">
        <v>1404</v>
      </c>
      <c r="B123" s="1856" t="s">
        <v>1206</v>
      </c>
      <c r="C123" s="1857">
        <v>0.129</v>
      </c>
      <c r="D123" s="1857">
        <v>0.129</v>
      </c>
      <c r="E123" s="1857">
        <v>0.123</v>
      </c>
      <c r="F123" s="1858">
        <v>0.13</v>
      </c>
    </row>
    <row r="124" spans="1:6" ht="14.25" thickBot="1">
      <c r="A124" s="1852" t="s">
        <v>1404</v>
      </c>
      <c r="B124" s="1856" t="s">
        <v>1216</v>
      </c>
      <c r="C124" s="1857">
        <v>0.10199999999999999</v>
      </c>
      <c r="D124" s="1857">
        <v>0.10100000000000001</v>
      </c>
      <c r="E124" s="1857">
        <v>0.08</v>
      </c>
      <c r="F124" s="1865"/>
    </row>
    <row r="125" spans="1:6" ht="14.25" thickBot="1">
      <c r="A125" s="1852" t="s">
        <v>1404</v>
      </c>
      <c r="B125" s="1856" t="s">
        <v>1226</v>
      </c>
      <c r="C125" s="1857">
        <v>0.13</v>
      </c>
      <c r="D125" s="1857">
        <v>0.13</v>
      </c>
      <c r="E125" s="1857">
        <v>0.129</v>
      </c>
      <c r="F125" s="1865"/>
    </row>
    <row r="126" spans="1:6" ht="14.25" thickBot="1">
      <c r="A126" s="1852" t="s">
        <v>1404</v>
      </c>
      <c r="B126" s="1856" t="s">
        <v>1236</v>
      </c>
      <c r="C126" s="1857">
        <v>0.13</v>
      </c>
      <c r="D126" s="1857">
        <v>0.13</v>
      </c>
      <c r="E126" s="1857">
        <v>0.126</v>
      </c>
      <c r="F126" s="1865"/>
    </row>
    <row r="127" spans="1:6" ht="14.25" thickBot="1">
      <c r="A127" s="1852" t="s">
        <v>1404</v>
      </c>
      <c r="B127" s="1856" t="s">
        <v>1246</v>
      </c>
      <c r="C127" s="1857">
        <v>0.125</v>
      </c>
      <c r="D127" s="1857">
        <v>0.125</v>
      </c>
      <c r="E127" s="1857">
        <v>0.121</v>
      </c>
      <c r="F127" s="1865"/>
    </row>
    <row r="128" spans="1:6" ht="14.25" thickBot="1">
      <c r="A128" s="1852" t="s">
        <v>1404</v>
      </c>
      <c r="B128" s="1856" t="s">
        <v>1256</v>
      </c>
      <c r="C128" s="1857">
        <v>0.12</v>
      </c>
      <c r="D128" s="1857">
        <v>0.12</v>
      </c>
      <c r="E128" s="1857">
        <v>0.105</v>
      </c>
      <c r="F128" s="1865"/>
    </row>
    <row r="129" spans="1:6" ht="14.25" thickBot="1">
      <c r="A129" s="1852" t="s">
        <v>1404</v>
      </c>
      <c r="B129" s="1856" t="s">
        <v>1265</v>
      </c>
      <c r="C129" s="1857">
        <v>0.13</v>
      </c>
      <c r="D129" s="1857">
        <v>0.13</v>
      </c>
      <c r="E129" s="1857">
        <v>0.126</v>
      </c>
      <c r="F129" s="1865"/>
    </row>
    <row r="130" spans="1:6" ht="14.25" thickBot="1">
      <c r="A130" s="1852" t="s">
        <v>1404</v>
      </c>
      <c r="B130" s="1856" t="s">
        <v>1274</v>
      </c>
      <c r="C130" s="1857">
        <v>0.125</v>
      </c>
      <c r="D130" s="1857">
        <v>0.125</v>
      </c>
      <c r="E130" s="1857">
        <v>0.122</v>
      </c>
      <c r="F130" s="1865"/>
    </row>
    <row r="131" spans="1:6" ht="14.25" thickBot="1">
      <c r="A131" s="1852" t="s">
        <v>1404</v>
      </c>
      <c r="B131" s="1856" t="s">
        <v>1282</v>
      </c>
      <c r="C131" s="1857">
        <v>0.127</v>
      </c>
      <c r="D131" s="1857">
        <v>0.126</v>
      </c>
      <c r="E131" s="1857">
        <v>0.123</v>
      </c>
      <c r="F131" s="1865"/>
    </row>
    <row r="132" spans="1:6" ht="14.25" thickBot="1">
      <c r="A132" s="1852" t="s">
        <v>1404</v>
      </c>
      <c r="B132" s="1856" t="s">
        <v>1289</v>
      </c>
      <c r="C132" s="1857">
        <v>9.0999999999999998E-2</v>
      </c>
      <c r="D132" s="1857">
        <v>0.121</v>
      </c>
      <c r="E132" s="1857">
        <v>9.9000000000000005E-2</v>
      </c>
      <c r="F132" s="1865"/>
    </row>
    <row r="133" spans="1:6" ht="14.25" thickBot="1">
      <c r="A133" s="1852" t="s">
        <v>1404</v>
      </c>
      <c r="B133" s="1856" t="s">
        <v>1296</v>
      </c>
      <c r="C133" s="1857">
        <v>0.13</v>
      </c>
      <c r="D133" s="1857">
        <v>0.13</v>
      </c>
      <c r="E133" s="1857">
        <v>0.129</v>
      </c>
      <c r="F133" s="1865"/>
    </row>
    <row r="134" spans="1:6" ht="14.25" thickBot="1">
      <c r="A134" s="1852" t="s">
        <v>1404</v>
      </c>
      <c r="B134" s="1856" t="s">
        <v>2102</v>
      </c>
      <c r="C134" s="1857">
        <v>6.8000000000000005E-2</v>
      </c>
      <c r="D134" s="1857">
        <v>6.5000000000000002E-2</v>
      </c>
      <c r="E134" s="1857">
        <v>6.5000000000000002E-2</v>
      </c>
      <c r="F134" s="1858">
        <v>0.13</v>
      </c>
    </row>
    <row r="135" spans="1:6" ht="14.25" thickBot="1">
      <c r="A135" s="1852" t="s">
        <v>1404</v>
      </c>
      <c r="B135" s="1856" t="s">
        <v>1310</v>
      </c>
      <c r="C135" s="1857">
        <v>0.123</v>
      </c>
      <c r="D135" s="1857">
        <v>0.123</v>
      </c>
      <c r="E135" s="1857">
        <v>0.11</v>
      </c>
      <c r="F135" s="1865"/>
    </row>
    <row r="136" spans="1:6" ht="14.25" thickBot="1">
      <c r="A136" s="1852" t="s">
        <v>1404</v>
      </c>
      <c r="B136" s="1856" t="s">
        <v>1317</v>
      </c>
      <c r="C136" s="1857">
        <v>0.13</v>
      </c>
      <c r="D136" s="1857">
        <v>0.13</v>
      </c>
      <c r="E136" s="1857">
        <v>0.125</v>
      </c>
      <c r="F136" s="1865"/>
    </row>
    <row r="137" spans="1:6" ht="14.25" thickBot="1">
      <c r="A137" s="1852" t="s">
        <v>1404</v>
      </c>
      <c r="B137" s="1856" t="s">
        <v>1324</v>
      </c>
      <c r="C137" s="1857">
        <v>0.121</v>
      </c>
      <c r="D137" s="1857">
        <v>0.122</v>
      </c>
      <c r="E137" s="1857">
        <v>0.115</v>
      </c>
      <c r="F137" s="1865"/>
    </row>
    <row r="138" spans="1:6" ht="14.25" thickBot="1">
      <c r="A138" s="1852" t="s">
        <v>1404</v>
      </c>
      <c r="B138" s="1856" t="s">
        <v>2103</v>
      </c>
      <c r="C138" s="1857">
        <v>0.105</v>
      </c>
      <c r="D138" s="1857">
        <v>0.125</v>
      </c>
      <c r="E138" s="1857">
        <v>0.112</v>
      </c>
      <c r="F138" s="1865"/>
    </row>
    <row r="139" spans="1:6" ht="14.25" thickBot="1">
      <c r="A139" s="1852" t="s">
        <v>1404</v>
      </c>
      <c r="B139" s="1856" t="s">
        <v>2104</v>
      </c>
      <c r="C139" s="1857">
        <v>0.127</v>
      </c>
      <c r="D139" s="1857">
        <v>0.127</v>
      </c>
      <c r="E139" s="1857">
        <v>0.122</v>
      </c>
      <c r="F139" s="1858">
        <v>0.13</v>
      </c>
    </row>
    <row r="140" spans="1:6" ht="14.25" thickBot="1">
      <c r="A140" s="1852" t="s">
        <v>1404</v>
      </c>
      <c r="B140" s="1856" t="s">
        <v>2105</v>
      </c>
      <c r="C140" s="1857">
        <v>0.125</v>
      </c>
      <c r="D140" s="1857">
        <v>0.125</v>
      </c>
      <c r="E140" s="1857">
        <v>0.11899999999999999</v>
      </c>
      <c r="F140" s="1858">
        <v>0.13</v>
      </c>
    </row>
    <row r="141" spans="1:6" ht="14.25" thickBot="1">
      <c r="A141" s="1852" t="s">
        <v>1404</v>
      </c>
      <c r="B141" s="1856" t="s">
        <v>1343</v>
      </c>
      <c r="C141" s="1857">
        <v>0.125</v>
      </c>
      <c r="D141" s="1857">
        <v>0.125</v>
      </c>
      <c r="E141" s="1857">
        <v>0.11700000000000001</v>
      </c>
      <c r="F141" s="1865"/>
    </row>
    <row r="142" spans="1:6" ht="14.25" thickBot="1">
      <c r="A142" s="1852" t="s">
        <v>1404</v>
      </c>
      <c r="B142" s="1856" t="s">
        <v>1348</v>
      </c>
      <c r="C142" s="1857">
        <v>0.125</v>
      </c>
      <c r="D142" s="1857">
        <v>0.125</v>
      </c>
      <c r="E142" s="1857">
        <v>0.115</v>
      </c>
      <c r="F142" s="1865"/>
    </row>
    <row r="143" spans="1:6" ht="14.25" thickBot="1">
      <c r="A143" s="1852" t="s">
        <v>1404</v>
      </c>
      <c r="B143" s="1856" t="s">
        <v>1353</v>
      </c>
      <c r="C143" s="1857">
        <v>0.121</v>
      </c>
      <c r="D143" s="1857">
        <v>0.121</v>
      </c>
      <c r="E143" s="1857">
        <v>0.108</v>
      </c>
      <c r="F143" s="1865"/>
    </row>
    <row r="144" spans="1:6" ht="14.25" thickBot="1">
      <c r="A144" s="1852" t="s">
        <v>1404</v>
      </c>
      <c r="B144" s="1869" t="s">
        <v>2106</v>
      </c>
      <c r="C144" s="1870">
        <v>0.126</v>
      </c>
      <c r="D144" s="1870">
        <v>0.126</v>
      </c>
      <c r="E144" s="1870">
        <v>0.121</v>
      </c>
      <c r="F144" s="1865"/>
    </row>
    <row r="145" spans="1:6" ht="14.25" thickBot="1">
      <c r="A145" s="1860" t="s">
        <v>1404</v>
      </c>
      <c r="B145" s="1871" t="s">
        <v>2107</v>
      </c>
      <c r="C145" s="1872"/>
      <c r="D145" s="1872"/>
      <c r="E145" s="1872"/>
      <c r="F145" s="1873">
        <v>0.05</v>
      </c>
    </row>
    <row r="146" spans="1:6" ht="24.75" thickBot="1">
      <c r="A146" s="1874" t="s">
        <v>1404</v>
      </c>
      <c r="B146" s="1859" t="s">
        <v>2108</v>
      </c>
      <c r="C146" s="1866"/>
      <c r="D146" s="1866"/>
      <c r="E146" s="1866"/>
      <c r="F146" s="1875">
        <v>0.05</v>
      </c>
    </row>
    <row r="147" spans="1:6" ht="24.75" thickBot="1">
      <c r="A147" s="1852" t="s">
        <v>1404</v>
      </c>
      <c r="B147" s="1856" t="s">
        <v>2109</v>
      </c>
      <c r="C147" s="1866"/>
      <c r="D147" s="1866"/>
      <c r="E147" s="1866"/>
      <c r="F147" s="1858">
        <v>0.05</v>
      </c>
    </row>
    <row r="148" spans="1:6" ht="24.75" thickBot="1">
      <c r="A148" s="1852" t="s">
        <v>1404</v>
      </c>
      <c r="B148" s="1856" t="s">
        <v>2110</v>
      </c>
      <c r="C148" s="1866"/>
      <c r="D148" s="1866"/>
      <c r="E148" s="1866"/>
      <c r="F148" s="1858">
        <v>0.05</v>
      </c>
    </row>
    <row r="149" spans="1:6" ht="24.75" thickBot="1">
      <c r="A149" s="1852" t="s">
        <v>1404</v>
      </c>
      <c r="B149" s="1856" t="s">
        <v>2111</v>
      </c>
      <c r="C149" s="1866"/>
      <c r="D149" s="1866"/>
      <c r="E149" s="1866"/>
      <c r="F149" s="1858">
        <v>0.05</v>
      </c>
    </row>
    <row r="150" spans="1:6" ht="24.75" thickBot="1">
      <c r="A150" s="1852" t="s">
        <v>1404</v>
      </c>
      <c r="B150" s="1856" t="s">
        <v>2112</v>
      </c>
      <c r="C150" s="1866"/>
      <c r="D150" s="1866"/>
      <c r="E150" s="1866"/>
      <c r="F150" s="1858">
        <v>0.05</v>
      </c>
    </row>
    <row r="151" spans="1:6" ht="24.75" thickBot="1">
      <c r="A151" s="1852" t="s">
        <v>1404</v>
      </c>
      <c r="B151" s="1856" t="s">
        <v>2113</v>
      </c>
      <c r="C151" s="1866"/>
      <c r="D151" s="1866"/>
      <c r="E151" s="1866"/>
      <c r="F151" s="1858">
        <v>0.05</v>
      </c>
    </row>
    <row r="152" spans="1:6" ht="24.75" thickBot="1">
      <c r="A152" s="1852" t="s">
        <v>1404</v>
      </c>
      <c r="B152" s="1856" t="s">
        <v>1386</v>
      </c>
      <c r="C152" s="1866"/>
      <c r="D152" s="1866"/>
      <c r="E152" s="1866"/>
      <c r="F152" s="1858">
        <v>0.05</v>
      </c>
    </row>
    <row r="153" spans="1:6" ht="14.25" thickBot="1">
      <c r="A153" s="1852" t="s">
        <v>1404</v>
      </c>
      <c r="B153" s="1856" t="s">
        <v>2114</v>
      </c>
      <c r="C153" s="1866"/>
      <c r="D153" s="1866"/>
      <c r="E153" s="1866"/>
      <c r="F153" s="1858">
        <v>0.05</v>
      </c>
    </row>
    <row r="154" spans="1:6" ht="14.25" thickBot="1">
      <c r="A154" s="1852" t="s">
        <v>1404</v>
      </c>
      <c r="B154" s="1856" t="s">
        <v>2115</v>
      </c>
      <c r="C154" s="1866"/>
      <c r="D154" s="1866"/>
      <c r="E154" s="1866"/>
      <c r="F154" s="1858">
        <v>0.05</v>
      </c>
    </row>
    <row r="155" spans="1:6" ht="24.75" thickBot="1">
      <c r="A155" s="1852" t="s">
        <v>1404</v>
      </c>
      <c r="B155" s="1856" t="s">
        <v>2116</v>
      </c>
      <c r="C155" s="1866"/>
      <c r="D155" s="1866"/>
      <c r="E155" s="1866"/>
      <c r="F155" s="1858">
        <v>0.05</v>
      </c>
    </row>
    <row r="156" spans="1:6" ht="24.75" thickBot="1">
      <c r="A156" s="1852" t="s">
        <v>1404</v>
      </c>
      <c r="B156" s="1856" t="s">
        <v>2117</v>
      </c>
      <c r="C156" s="1866"/>
      <c r="D156" s="1866"/>
      <c r="E156" s="1866"/>
      <c r="F156" s="1858">
        <v>0.05</v>
      </c>
    </row>
    <row r="157" spans="1:6" ht="14.25" thickBot="1">
      <c r="A157" s="1860" t="s">
        <v>1404</v>
      </c>
      <c r="B157" s="1867" t="s">
        <v>2118</v>
      </c>
      <c r="C157" s="1863"/>
      <c r="D157" s="1863"/>
      <c r="E157" s="1863"/>
      <c r="F157" s="1868">
        <v>0.05</v>
      </c>
    </row>
    <row r="158" spans="1:6" ht="14.25" thickBot="1">
      <c r="A158" s="1852" t="s">
        <v>1406</v>
      </c>
      <c r="B158" s="1853" t="s">
        <v>2119</v>
      </c>
      <c r="C158" s="1854">
        <v>0.13</v>
      </c>
      <c r="D158" s="1854">
        <v>0.13</v>
      </c>
      <c r="E158" s="1854">
        <v>0.13</v>
      </c>
      <c r="F158" s="1855">
        <v>0.13</v>
      </c>
    </row>
    <row r="159" spans="1:6" ht="14.25" thickBot="1">
      <c r="A159" s="1852" t="s">
        <v>1406</v>
      </c>
      <c r="B159" s="1856" t="s">
        <v>1071</v>
      </c>
      <c r="C159" s="1857">
        <v>0.13</v>
      </c>
      <c r="D159" s="1857">
        <v>0.13</v>
      </c>
      <c r="E159" s="1857">
        <v>0.13</v>
      </c>
      <c r="F159" s="1858">
        <v>0.13</v>
      </c>
    </row>
    <row r="160" spans="1:6" ht="14.25" thickBot="1">
      <c r="A160" s="1852" t="s">
        <v>1406</v>
      </c>
      <c r="B160" s="1856" t="s">
        <v>1085</v>
      </c>
      <c r="C160" s="1857">
        <v>0.13</v>
      </c>
      <c r="D160" s="1857">
        <v>0.13</v>
      </c>
      <c r="E160" s="1857">
        <v>0.129</v>
      </c>
      <c r="F160" s="1858">
        <v>0.13</v>
      </c>
    </row>
    <row r="161" spans="1:6" ht="14.25" thickBot="1">
      <c r="A161" s="1852" t="s">
        <v>1406</v>
      </c>
      <c r="B161" s="1856" t="s">
        <v>1098</v>
      </c>
      <c r="C161" s="1857">
        <v>0.128</v>
      </c>
      <c r="D161" s="1857">
        <v>0.128</v>
      </c>
      <c r="E161" s="1857">
        <v>0.125</v>
      </c>
      <c r="F161" s="1858">
        <v>0.13</v>
      </c>
    </row>
    <row r="162" spans="1:6" ht="14.25" thickBot="1">
      <c r="A162" s="1852" t="s">
        <v>1406</v>
      </c>
      <c r="B162" s="1856" t="s">
        <v>1112</v>
      </c>
      <c r="C162" s="1857">
        <v>0.122</v>
      </c>
      <c r="D162" s="1857">
        <v>0.122</v>
      </c>
      <c r="E162" s="1857">
        <v>0.126</v>
      </c>
      <c r="F162" s="1858">
        <v>0.122</v>
      </c>
    </row>
    <row r="163" spans="1:6" ht="14.25" thickBot="1">
      <c r="A163" s="1852" t="s">
        <v>1406</v>
      </c>
      <c r="B163" s="1856" t="s">
        <v>1123</v>
      </c>
      <c r="C163" s="1857">
        <v>0.13</v>
      </c>
      <c r="D163" s="1857">
        <v>0.13</v>
      </c>
      <c r="E163" s="1857">
        <v>0.125</v>
      </c>
      <c r="F163" s="1858">
        <v>0.13</v>
      </c>
    </row>
    <row r="164" spans="1:6" ht="14.25" thickBot="1">
      <c r="A164" s="1852" t="s">
        <v>1406</v>
      </c>
      <c r="B164" s="1856" t="s">
        <v>1134</v>
      </c>
      <c r="C164" s="1857">
        <v>0.13</v>
      </c>
      <c r="D164" s="1857">
        <v>0.13</v>
      </c>
      <c r="E164" s="1857">
        <v>0.13</v>
      </c>
      <c r="F164" s="1858">
        <v>0.13</v>
      </c>
    </row>
    <row r="165" spans="1:6" ht="14.25" thickBot="1">
      <c r="A165" s="1852" t="s">
        <v>1406</v>
      </c>
      <c r="B165" s="1856" t="s">
        <v>1145</v>
      </c>
      <c r="C165" s="1857">
        <v>0.13</v>
      </c>
      <c r="D165" s="1857">
        <v>0.13</v>
      </c>
      <c r="E165" s="1857">
        <v>0.124</v>
      </c>
      <c r="F165" s="1858">
        <v>0.13</v>
      </c>
    </row>
    <row r="166" spans="1:6" ht="14.25" thickBot="1">
      <c r="A166" s="1852" t="s">
        <v>1406</v>
      </c>
      <c r="B166" s="1856" t="s">
        <v>1157</v>
      </c>
      <c r="C166" s="1857">
        <v>0.13</v>
      </c>
      <c r="D166" s="1857">
        <v>0.13</v>
      </c>
      <c r="E166" s="1857">
        <v>0.13</v>
      </c>
      <c r="F166" s="1858">
        <v>0.13</v>
      </c>
    </row>
    <row r="167" spans="1:6" ht="14.25" thickBot="1">
      <c r="A167" s="1852" t="s">
        <v>1406</v>
      </c>
      <c r="B167" s="1856" t="s">
        <v>1167</v>
      </c>
      <c r="C167" s="1857">
        <v>0.125</v>
      </c>
      <c r="D167" s="1857">
        <v>0.125</v>
      </c>
      <c r="E167" s="1857">
        <v>0.121</v>
      </c>
      <c r="F167" s="1865"/>
    </row>
    <row r="168" spans="1:6" ht="14.25" thickBot="1">
      <c r="A168" s="1852" t="s">
        <v>1406</v>
      </c>
      <c r="B168" s="1856" t="s">
        <v>1177</v>
      </c>
      <c r="C168" s="1857">
        <v>0.13</v>
      </c>
      <c r="D168" s="1857">
        <v>0.13</v>
      </c>
      <c r="E168" s="1857">
        <v>0.126</v>
      </c>
      <c r="F168" s="1865"/>
    </row>
    <row r="169" spans="1:6" ht="14.25" thickBot="1">
      <c r="A169" s="1852" t="s">
        <v>1406</v>
      </c>
      <c r="B169" s="1856" t="s">
        <v>1187</v>
      </c>
      <c r="C169" s="1857">
        <v>0.128</v>
      </c>
      <c r="D169" s="1857">
        <v>0.129</v>
      </c>
      <c r="E169" s="1857">
        <v>0.13</v>
      </c>
      <c r="F169" s="1865"/>
    </row>
    <row r="170" spans="1:6" ht="14.25" thickBot="1">
      <c r="A170" s="1852" t="s">
        <v>1406</v>
      </c>
      <c r="B170" s="1856" t="s">
        <v>1197</v>
      </c>
      <c r="C170" s="1857">
        <v>0.14099999999999999</v>
      </c>
      <c r="D170" s="1857">
        <v>0.13</v>
      </c>
      <c r="E170" s="1857">
        <v>0.125</v>
      </c>
      <c r="F170" s="1865"/>
    </row>
    <row r="171" spans="1:6" ht="14.25" thickBot="1">
      <c r="A171" s="1852" t="s">
        <v>1406</v>
      </c>
      <c r="B171" s="1856" t="s">
        <v>2120</v>
      </c>
      <c r="C171" s="1857">
        <v>0.127</v>
      </c>
      <c r="D171" s="1857">
        <v>0.126</v>
      </c>
      <c r="E171" s="1857">
        <v>0.126</v>
      </c>
      <c r="F171" s="1858">
        <v>0.11799999999999999</v>
      </c>
    </row>
    <row r="172" spans="1:6" ht="14.25" thickBot="1">
      <c r="A172" s="1852" t="s">
        <v>1406</v>
      </c>
      <c r="B172" s="1856" t="s">
        <v>2121</v>
      </c>
      <c r="C172" s="1857">
        <v>0.13</v>
      </c>
      <c r="D172" s="1857">
        <v>0.13</v>
      </c>
      <c r="E172" s="1857">
        <v>0.13</v>
      </c>
      <c r="F172" s="1865"/>
    </row>
    <row r="173" spans="1:6" ht="14.25" thickBot="1">
      <c r="A173" s="1852" t="s">
        <v>1406</v>
      </c>
      <c r="B173" s="1856" t="s">
        <v>1227</v>
      </c>
      <c r="C173" s="1857">
        <v>0.13</v>
      </c>
      <c r="D173" s="1857">
        <v>0.13</v>
      </c>
      <c r="E173" s="1857">
        <v>0.13</v>
      </c>
      <c r="F173" s="1865"/>
    </row>
    <row r="174" spans="1:6" ht="14.25" thickBot="1">
      <c r="A174" s="1852" t="s">
        <v>1406</v>
      </c>
      <c r="B174" s="1856" t="s">
        <v>2122</v>
      </c>
      <c r="C174" s="1857">
        <v>0.13</v>
      </c>
      <c r="D174" s="1857">
        <v>0.13</v>
      </c>
      <c r="E174" s="1857">
        <v>0.13</v>
      </c>
      <c r="F174" s="1858">
        <v>0.13</v>
      </c>
    </row>
    <row r="175" spans="1:6" ht="14.25" thickBot="1">
      <c r="A175" s="1852" t="s">
        <v>1406</v>
      </c>
      <c r="B175" s="1856" t="s">
        <v>2123</v>
      </c>
      <c r="C175" s="1857">
        <v>0.13</v>
      </c>
      <c r="D175" s="1857">
        <v>0.13</v>
      </c>
      <c r="E175" s="1857">
        <v>0.13</v>
      </c>
      <c r="F175" s="1858">
        <v>0.13</v>
      </c>
    </row>
    <row r="176" spans="1:6" ht="14.25" thickBot="1">
      <c r="A176" s="1852" t="s">
        <v>1406</v>
      </c>
      <c r="B176" s="1856" t="s">
        <v>1257</v>
      </c>
      <c r="C176" s="1857">
        <v>0.13</v>
      </c>
      <c r="D176" s="1857">
        <v>0.13</v>
      </c>
      <c r="E176" s="1857">
        <v>0.13</v>
      </c>
      <c r="F176" s="1858">
        <v>0.13</v>
      </c>
    </row>
    <row r="177" spans="1:6" ht="14.25" thickBot="1">
      <c r="A177" s="1852" t="s">
        <v>1406</v>
      </c>
      <c r="B177" s="1856" t="s">
        <v>2124</v>
      </c>
      <c r="C177" s="1857">
        <v>0.13</v>
      </c>
      <c r="D177" s="1857">
        <v>0.13</v>
      </c>
      <c r="E177" s="1857">
        <v>0.13</v>
      </c>
      <c r="F177" s="1858">
        <v>0.13</v>
      </c>
    </row>
    <row r="178" spans="1:6" ht="14.25" thickBot="1">
      <c r="A178" s="1852" t="s">
        <v>1406</v>
      </c>
      <c r="B178" s="1856" t="s">
        <v>1275</v>
      </c>
      <c r="C178" s="1857">
        <v>0.13</v>
      </c>
      <c r="D178" s="1857">
        <v>0.13</v>
      </c>
      <c r="E178" s="1857">
        <v>0.13</v>
      </c>
      <c r="F178" s="1858">
        <v>0.127</v>
      </c>
    </row>
    <row r="179" spans="1:6" ht="14.25" thickBot="1">
      <c r="A179" s="1852" t="s">
        <v>1406</v>
      </c>
      <c r="B179" s="1856" t="s">
        <v>1283</v>
      </c>
      <c r="C179" s="1857">
        <v>0.13</v>
      </c>
      <c r="D179" s="1857">
        <v>0.13</v>
      </c>
      <c r="E179" s="1857">
        <v>0.13</v>
      </c>
      <c r="F179" s="1865"/>
    </row>
    <row r="180" spans="1:6" ht="14.25" thickBot="1">
      <c r="A180" s="1852" t="s">
        <v>1406</v>
      </c>
      <c r="B180" s="1856" t="s">
        <v>2125</v>
      </c>
      <c r="C180" s="1857">
        <v>0.13</v>
      </c>
      <c r="D180" s="1857">
        <v>0.13</v>
      </c>
      <c r="E180" s="1857">
        <v>0.125</v>
      </c>
      <c r="F180" s="1858">
        <v>0.13</v>
      </c>
    </row>
    <row r="181" spans="1:6" ht="14.25" thickBot="1">
      <c r="A181" s="1852" t="s">
        <v>1406</v>
      </c>
      <c r="B181" s="1856" t="s">
        <v>1297</v>
      </c>
      <c r="C181" s="1857">
        <v>0.122</v>
      </c>
      <c r="D181" s="1857">
        <v>0.123</v>
      </c>
      <c r="E181" s="1857">
        <v>0.126</v>
      </c>
      <c r="F181" s="1858">
        <v>0.121</v>
      </c>
    </row>
    <row r="182" spans="1:6" ht="14.25" thickBot="1">
      <c r="A182" s="1852" t="s">
        <v>1406</v>
      </c>
      <c r="B182" s="1856" t="s">
        <v>1304</v>
      </c>
      <c r="C182" s="1857">
        <v>0.125</v>
      </c>
      <c r="D182" s="1857">
        <v>0.125</v>
      </c>
      <c r="E182" s="1857">
        <v>0.11700000000000001</v>
      </c>
      <c r="F182" s="1858">
        <v>0.13</v>
      </c>
    </row>
    <row r="183" spans="1:6" ht="14.25" thickBot="1">
      <c r="A183" s="1852" t="s">
        <v>1406</v>
      </c>
      <c r="B183" s="1856" t="s">
        <v>1311</v>
      </c>
      <c r="C183" s="1857">
        <v>0.127</v>
      </c>
      <c r="D183" s="1857">
        <v>0.127</v>
      </c>
      <c r="E183" s="1857">
        <v>0.128</v>
      </c>
      <c r="F183" s="1865"/>
    </row>
    <row r="184" spans="1:6" ht="14.25" thickBot="1">
      <c r="A184" s="1852" t="s">
        <v>1406</v>
      </c>
      <c r="B184" s="1856" t="s">
        <v>1318</v>
      </c>
      <c r="C184" s="1857">
        <v>0.125</v>
      </c>
      <c r="D184" s="1857">
        <v>0.125</v>
      </c>
      <c r="E184" s="1857">
        <v>0.127</v>
      </c>
      <c r="F184" s="1865"/>
    </row>
    <row r="185" spans="1:6" ht="14.25" thickBot="1">
      <c r="A185" s="1852" t="s">
        <v>1406</v>
      </c>
      <c r="B185" s="1856" t="s">
        <v>2126</v>
      </c>
      <c r="C185" s="1857">
        <v>0.127</v>
      </c>
      <c r="D185" s="1857">
        <v>0.127</v>
      </c>
      <c r="E185" s="1857">
        <v>0.128</v>
      </c>
      <c r="F185" s="1858">
        <v>0.13</v>
      </c>
    </row>
    <row r="186" spans="1:6" ht="24.75" thickBot="1">
      <c r="A186" s="1852" t="s">
        <v>1406</v>
      </c>
      <c r="B186" s="1856" t="s">
        <v>2127</v>
      </c>
      <c r="C186" s="1866"/>
      <c r="D186" s="1866"/>
      <c r="E186" s="1866"/>
      <c r="F186" s="1858">
        <v>0.05</v>
      </c>
    </row>
    <row r="187" spans="1:6" ht="14.25" thickBot="1">
      <c r="A187" s="1852" t="s">
        <v>1406</v>
      </c>
      <c r="B187" s="1856" t="s">
        <v>2128</v>
      </c>
      <c r="C187" s="1866"/>
      <c r="D187" s="1866"/>
      <c r="E187" s="1866"/>
      <c r="F187" s="1858">
        <v>0.05</v>
      </c>
    </row>
    <row r="188" spans="1:6" ht="14.25" thickBot="1">
      <c r="A188" s="1852" t="s">
        <v>1406</v>
      </c>
      <c r="B188" s="1856" t="s">
        <v>2129</v>
      </c>
      <c r="C188" s="1866"/>
      <c r="D188" s="1866"/>
      <c r="E188" s="1866"/>
      <c r="F188" s="1858">
        <v>0.05</v>
      </c>
    </row>
    <row r="189" spans="1:6" ht="24.75" thickBot="1">
      <c r="A189" s="1852" t="s">
        <v>1406</v>
      </c>
      <c r="B189" s="1856" t="s">
        <v>2130</v>
      </c>
      <c r="C189" s="1866"/>
      <c r="D189" s="1866"/>
      <c r="E189" s="1866"/>
      <c r="F189" s="1858">
        <v>0.05</v>
      </c>
    </row>
    <row r="190" spans="1:6" ht="24.75" thickBot="1">
      <c r="A190" s="1852" t="s">
        <v>1406</v>
      </c>
      <c r="B190" s="1856" t="s">
        <v>2131</v>
      </c>
      <c r="C190" s="1866"/>
      <c r="D190" s="1866"/>
      <c r="E190" s="1866"/>
      <c r="F190" s="1858">
        <v>0.05</v>
      </c>
    </row>
    <row r="191" spans="1:6" ht="24.75" thickBot="1">
      <c r="A191" s="1852" t="s">
        <v>1406</v>
      </c>
      <c r="B191" s="1856" t="s">
        <v>2132</v>
      </c>
      <c r="C191" s="1866"/>
      <c r="D191" s="1866"/>
      <c r="E191" s="1866"/>
      <c r="F191" s="1858">
        <v>0.05</v>
      </c>
    </row>
    <row r="192" spans="1:6" ht="24.75" thickBot="1">
      <c r="A192" s="1852" t="s">
        <v>1406</v>
      </c>
      <c r="B192" s="1856" t="s">
        <v>2133</v>
      </c>
      <c r="C192" s="1866"/>
      <c r="D192" s="1866"/>
      <c r="E192" s="1866"/>
      <c r="F192" s="1858">
        <v>0.05</v>
      </c>
    </row>
    <row r="193" spans="1:6" ht="24.75" thickBot="1">
      <c r="A193" s="1852" t="s">
        <v>1406</v>
      </c>
      <c r="B193" s="1856" t="s">
        <v>2134</v>
      </c>
      <c r="C193" s="1866"/>
      <c r="D193" s="1866"/>
      <c r="E193" s="1866"/>
      <c r="F193" s="1858">
        <v>0.05</v>
      </c>
    </row>
    <row r="194" spans="1:6" ht="24.75" thickBot="1">
      <c r="A194" s="1852" t="s">
        <v>1406</v>
      </c>
      <c r="B194" s="1856" t="s">
        <v>2135</v>
      </c>
      <c r="C194" s="1866"/>
      <c r="D194" s="1866"/>
      <c r="E194" s="1866"/>
      <c r="F194" s="1858">
        <v>0.05</v>
      </c>
    </row>
    <row r="195" spans="1:6" ht="14.25" thickBot="1">
      <c r="A195" s="1852" t="s">
        <v>1406</v>
      </c>
      <c r="B195" s="1856" t="s">
        <v>2136</v>
      </c>
      <c r="C195" s="1866"/>
      <c r="D195" s="1866"/>
      <c r="E195" s="1866"/>
      <c r="F195" s="1858">
        <v>0.05</v>
      </c>
    </row>
    <row r="196" spans="1:6" ht="24.75" thickBot="1">
      <c r="A196" s="1852" t="s">
        <v>1406</v>
      </c>
      <c r="B196" s="1856" t="s">
        <v>2137</v>
      </c>
      <c r="C196" s="1866"/>
      <c r="D196" s="1866"/>
      <c r="E196" s="1866"/>
      <c r="F196" s="1858">
        <v>0.05</v>
      </c>
    </row>
    <row r="197" spans="1:6" ht="24.75" thickBot="1">
      <c r="A197" s="1852" t="s">
        <v>1406</v>
      </c>
      <c r="B197" s="1856" t="s">
        <v>2138</v>
      </c>
      <c r="C197" s="1866"/>
      <c r="D197" s="1866"/>
      <c r="E197" s="1866"/>
      <c r="F197" s="1858">
        <v>0.05</v>
      </c>
    </row>
    <row r="198" spans="1:6" ht="24.75" thickBot="1">
      <c r="A198" s="1852" t="s">
        <v>1406</v>
      </c>
      <c r="B198" s="1856" t="s">
        <v>2139</v>
      </c>
      <c r="C198" s="1866"/>
      <c r="D198" s="1866"/>
      <c r="E198" s="1866"/>
      <c r="F198" s="1858">
        <v>0.05</v>
      </c>
    </row>
    <row r="199" spans="1:6" ht="24.75" thickBot="1">
      <c r="A199" s="1852" t="s">
        <v>1406</v>
      </c>
      <c r="B199" s="1856" t="s">
        <v>2140</v>
      </c>
      <c r="C199" s="1866"/>
      <c r="D199" s="1866"/>
      <c r="E199" s="1866"/>
      <c r="F199" s="1858">
        <v>0.05</v>
      </c>
    </row>
    <row r="200" spans="1:6" ht="24.75" thickBot="1">
      <c r="A200" s="1852" t="s">
        <v>1406</v>
      </c>
      <c r="B200" s="1856" t="s">
        <v>2141</v>
      </c>
      <c r="C200" s="1866"/>
      <c r="D200" s="1866"/>
      <c r="E200" s="1866"/>
      <c r="F200" s="1858">
        <v>0.05</v>
      </c>
    </row>
    <row r="201" spans="1:6" ht="24.75" thickBot="1">
      <c r="A201" s="1852" t="s">
        <v>1406</v>
      </c>
      <c r="B201" s="1856" t="s">
        <v>2142</v>
      </c>
      <c r="C201" s="1866"/>
      <c r="D201" s="1866"/>
      <c r="E201" s="1866"/>
      <c r="F201" s="1858">
        <v>0.05</v>
      </c>
    </row>
    <row r="202" spans="1:6" ht="24.75" thickBot="1">
      <c r="A202" s="1852" t="s">
        <v>1406</v>
      </c>
      <c r="B202" s="1856" t="s">
        <v>2143</v>
      </c>
      <c r="C202" s="1866"/>
      <c r="D202" s="1866"/>
      <c r="E202" s="1866"/>
      <c r="F202" s="1858">
        <v>0.05</v>
      </c>
    </row>
    <row r="203" spans="1:6" ht="24.75" thickBot="1">
      <c r="A203" s="1852" t="s">
        <v>1406</v>
      </c>
      <c r="B203" s="1856" t="s">
        <v>2144</v>
      </c>
      <c r="C203" s="1866"/>
      <c r="D203" s="1866"/>
      <c r="E203" s="1866"/>
      <c r="F203" s="1858">
        <v>0.05</v>
      </c>
    </row>
    <row r="204" spans="1:6" ht="14.25" thickBot="1">
      <c r="A204" s="1852" t="s">
        <v>1406</v>
      </c>
      <c r="B204" s="1856" t="s">
        <v>2145</v>
      </c>
      <c r="C204" s="1866"/>
      <c r="D204" s="1866"/>
      <c r="E204" s="1866"/>
      <c r="F204" s="1858">
        <v>0.05</v>
      </c>
    </row>
    <row r="205" spans="1:6" ht="14.25" thickBot="1">
      <c r="A205" s="1860" t="s">
        <v>1406</v>
      </c>
      <c r="B205" s="1867" t="s">
        <v>2146</v>
      </c>
      <c r="C205" s="1863"/>
      <c r="D205" s="1863"/>
      <c r="E205" s="1863"/>
      <c r="F205" s="1868">
        <v>0.05</v>
      </c>
    </row>
    <row r="206" spans="1:6" ht="14.25" thickBot="1">
      <c r="A206" s="1852" t="s">
        <v>1408</v>
      </c>
      <c r="B206" s="1853" t="s">
        <v>2147</v>
      </c>
      <c r="C206" s="1854">
        <v>0.15</v>
      </c>
      <c r="D206" s="1854">
        <v>0.15</v>
      </c>
      <c r="E206" s="1854">
        <v>0.15</v>
      </c>
      <c r="F206" s="1855">
        <v>0.15</v>
      </c>
    </row>
    <row r="207" spans="1:6" ht="14.25" thickBot="1">
      <c r="A207" s="1852" t="s">
        <v>1408</v>
      </c>
      <c r="B207" s="1856" t="s">
        <v>1072</v>
      </c>
      <c r="C207" s="1857">
        <v>0.15</v>
      </c>
      <c r="D207" s="1857">
        <v>0.15</v>
      </c>
      <c r="E207" s="1857">
        <v>0.15</v>
      </c>
      <c r="F207" s="1858">
        <v>0.14399999999999999</v>
      </c>
    </row>
    <row r="208" spans="1:6" ht="14.25" thickBot="1">
      <c r="A208" s="1852" t="s">
        <v>1408</v>
      </c>
      <c r="B208" s="1856" t="s">
        <v>1086</v>
      </c>
      <c r="C208" s="1857">
        <v>0.15</v>
      </c>
      <c r="D208" s="1857">
        <v>0.15</v>
      </c>
      <c r="E208" s="1857">
        <v>0.15</v>
      </c>
      <c r="F208" s="1858">
        <v>0.15</v>
      </c>
    </row>
    <row r="209" spans="1:6" ht="14.25" thickBot="1">
      <c r="A209" s="1852" t="s">
        <v>1408</v>
      </c>
      <c r="B209" s="1856" t="s">
        <v>1099</v>
      </c>
      <c r="C209" s="1857">
        <v>0.13700000000000001</v>
      </c>
      <c r="D209" s="1857">
        <v>0.13700000000000001</v>
      </c>
      <c r="E209" s="1857">
        <v>0.14000000000000001</v>
      </c>
      <c r="F209" s="1858">
        <v>0.11700000000000001</v>
      </c>
    </row>
    <row r="210" spans="1:6" ht="14.25" thickBot="1">
      <c r="A210" s="1852" t="s">
        <v>1408</v>
      </c>
      <c r="B210" s="1856" t="s">
        <v>2148</v>
      </c>
      <c r="C210" s="1857">
        <v>0.15</v>
      </c>
      <c r="D210" s="1857">
        <v>0.15</v>
      </c>
      <c r="E210" s="1857">
        <v>0.15</v>
      </c>
      <c r="F210" s="1858">
        <v>0.13800000000000001</v>
      </c>
    </row>
    <row r="211" spans="1:6" ht="14.25" thickBot="1">
      <c r="A211" s="1852" t="s">
        <v>1408</v>
      </c>
      <c r="B211" s="1856" t="s">
        <v>2149</v>
      </c>
      <c r="C211" s="1857">
        <v>0.13700000000000001</v>
      </c>
      <c r="D211" s="1857">
        <v>0.13500000000000001</v>
      </c>
      <c r="E211" s="1857">
        <v>0.13600000000000001</v>
      </c>
      <c r="F211" s="1858">
        <v>0.1</v>
      </c>
    </row>
    <row r="212" spans="1:6" ht="14.25" thickBot="1">
      <c r="A212" s="1852" t="s">
        <v>1408</v>
      </c>
      <c r="B212" s="1856" t="s">
        <v>2150</v>
      </c>
      <c r="C212" s="1857">
        <v>0.15</v>
      </c>
      <c r="D212" s="1857">
        <v>0.15</v>
      </c>
      <c r="E212" s="1857">
        <v>0.14799999999999999</v>
      </c>
      <c r="F212" s="1858">
        <v>0.13600000000000001</v>
      </c>
    </row>
    <row r="213" spans="1:6" ht="14.25" thickBot="1">
      <c r="A213" s="1852" t="s">
        <v>1408</v>
      </c>
      <c r="B213" s="1856" t="s">
        <v>1146</v>
      </c>
      <c r="C213" s="1857">
        <v>0.15</v>
      </c>
      <c r="D213" s="1857">
        <v>0.15</v>
      </c>
      <c r="E213" s="1857">
        <v>0.15</v>
      </c>
      <c r="F213" s="1858">
        <v>0.13800000000000001</v>
      </c>
    </row>
    <row r="214" spans="1:6" ht="14.25" thickBot="1">
      <c r="A214" s="1852" t="s">
        <v>1408</v>
      </c>
      <c r="B214" s="1856" t="s">
        <v>1158</v>
      </c>
      <c r="C214" s="1857">
        <v>9.0999999999999998E-2</v>
      </c>
      <c r="D214" s="1857">
        <v>0.09</v>
      </c>
      <c r="E214" s="1857">
        <v>9.1999999999999998E-2</v>
      </c>
      <c r="F214" s="1865"/>
    </row>
    <row r="215" spans="1:6" ht="14.25" thickBot="1">
      <c r="A215" s="1852" t="s">
        <v>1408</v>
      </c>
      <c r="B215" s="1856" t="s">
        <v>2151</v>
      </c>
      <c r="C215" s="1857">
        <v>0.15</v>
      </c>
      <c r="D215" s="1857">
        <v>0.15</v>
      </c>
      <c r="E215" s="1857">
        <v>0.15</v>
      </c>
      <c r="F215" s="1858">
        <v>0.15</v>
      </c>
    </row>
    <row r="216" spans="1:6" ht="14.25" thickBot="1">
      <c r="A216" s="1852" t="s">
        <v>1408</v>
      </c>
      <c r="B216" s="1856" t="s">
        <v>1178</v>
      </c>
      <c r="C216" s="1857">
        <v>0.14699999999999999</v>
      </c>
      <c r="D216" s="1857">
        <v>0.14699999999999999</v>
      </c>
      <c r="E216" s="1857">
        <v>0.15</v>
      </c>
      <c r="F216" s="1858">
        <v>0.14000000000000001</v>
      </c>
    </row>
    <row r="217" spans="1:6" ht="14.25" thickBot="1">
      <c r="A217" s="1852" t="s">
        <v>1408</v>
      </c>
      <c r="B217" s="1856" t="s">
        <v>1188</v>
      </c>
      <c r="C217" s="1857">
        <v>0.15</v>
      </c>
      <c r="D217" s="1857">
        <v>0.15</v>
      </c>
      <c r="E217" s="1857">
        <v>0.15</v>
      </c>
      <c r="F217" s="1858">
        <v>0.15</v>
      </c>
    </row>
    <row r="218" spans="1:6" ht="14.25" thickBot="1">
      <c r="A218" s="1852" t="s">
        <v>1408</v>
      </c>
      <c r="B218" s="1856" t="s">
        <v>2152</v>
      </c>
      <c r="C218" s="1857">
        <v>0.15</v>
      </c>
      <c r="D218" s="1857">
        <v>0.15</v>
      </c>
      <c r="E218" s="1857">
        <v>0.15</v>
      </c>
      <c r="F218" s="1858">
        <v>0.15</v>
      </c>
    </row>
    <row r="219" spans="1:6" ht="14.25" thickBot="1">
      <c r="A219" s="1852" t="s">
        <v>1408</v>
      </c>
      <c r="B219" s="1856" t="s">
        <v>1208</v>
      </c>
      <c r="C219" s="1857">
        <v>0.15</v>
      </c>
      <c r="D219" s="1857">
        <v>0.15</v>
      </c>
      <c r="E219" s="1857">
        <v>0.15</v>
      </c>
      <c r="F219" s="1858">
        <v>0.14799999999999999</v>
      </c>
    </row>
    <row r="220" spans="1:6" ht="14.25" thickBot="1">
      <c r="A220" s="1852" t="s">
        <v>1408</v>
      </c>
      <c r="B220" s="1856" t="s">
        <v>2153</v>
      </c>
      <c r="C220" s="1857">
        <v>0.15</v>
      </c>
      <c r="D220" s="1857">
        <v>0.15</v>
      </c>
      <c r="E220" s="1857">
        <v>0.15</v>
      </c>
      <c r="F220" s="1858">
        <v>0.15</v>
      </c>
    </row>
    <row r="221" spans="1:6" ht="14.25" thickBot="1">
      <c r="A221" s="1852" t="s">
        <v>1408</v>
      </c>
      <c r="B221" s="1856" t="s">
        <v>1228</v>
      </c>
      <c r="C221" s="1857"/>
      <c r="D221" s="1866"/>
      <c r="E221" s="1866"/>
      <c r="F221" s="1858">
        <v>0.14799999999999999</v>
      </c>
    </row>
    <row r="222" spans="1:6" ht="14.25" thickBot="1">
      <c r="A222" s="1852" t="s">
        <v>1408</v>
      </c>
      <c r="B222" s="1856" t="s">
        <v>1238</v>
      </c>
      <c r="C222" s="1857"/>
      <c r="D222" s="1866"/>
      <c r="E222" s="1866"/>
      <c r="F222" s="1858">
        <v>0.1</v>
      </c>
    </row>
    <row r="223" spans="1:6" ht="14.25" thickBot="1">
      <c r="A223" s="1852" t="s">
        <v>1408</v>
      </c>
      <c r="B223" s="1856" t="s">
        <v>1248</v>
      </c>
      <c r="C223" s="1857"/>
      <c r="D223" s="1866"/>
      <c r="E223" s="1866"/>
      <c r="F223" s="1858">
        <v>0.15</v>
      </c>
    </row>
    <row r="224" spans="1:6" ht="14.25" thickBot="1">
      <c r="A224" s="1852" t="s">
        <v>1408</v>
      </c>
      <c r="B224" s="1856" t="s">
        <v>1258</v>
      </c>
      <c r="C224" s="1857"/>
      <c r="D224" s="1866"/>
      <c r="E224" s="1866"/>
      <c r="F224" s="1858">
        <v>0.15</v>
      </c>
    </row>
    <row r="225" spans="1:6" ht="14.25" thickBot="1">
      <c r="A225" s="1852" t="s">
        <v>1408</v>
      </c>
      <c r="B225" s="1856" t="s">
        <v>2154</v>
      </c>
      <c r="C225" s="1857">
        <v>0.15</v>
      </c>
      <c r="D225" s="1857">
        <v>0.15</v>
      </c>
      <c r="E225" s="1857">
        <v>0.15</v>
      </c>
      <c r="F225" s="1858">
        <v>0.15</v>
      </c>
    </row>
    <row r="226" spans="1:6" ht="14.25" thickBot="1">
      <c r="A226" s="1852" t="s">
        <v>1408</v>
      </c>
      <c r="B226" s="1856" t="s">
        <v>1276</v>
      </c>
      <c r="C226" s="1857">
        <v>0.15</v>
      </c>
      <c r="D226" s="1857">
        <v>0.15</v>
      </c>
      <c r="E226" s="1857">
        <v>0.15</v>
      </c>
      <c r="F226" s="1858">
        <v>0.14799999999999999</v>
      </c>
    </row>
    <row r="227" spans="1:6" ht="14.25" thickBot="1">
      <c r="A227" s="1852" t="s">
        <v>1408</v>
      </c>
      <c r="B227" s="1856" t="s">
        <v>2155</v>
      </c>
      <c r="C227" s="1857">
        <v>0.15</v>
      </c>
      <c r="D227" s="1857">
        <v>0.15</v>
      </c>
      <c r="E227" s="1857">
        <v>0.15</v>
      </c>
      <c r="F227" s="1858">
        <v>0.15</v>
      </c>
    </row>
    <row r="228" spans="1:6" ht="14.25" thickBot="1">
      <c r="A228" s="1852" t="s">
        <v>1408</v>
      </c>
      <c r="B228" s="1856" t="s">
        <v>1291</v>
      </c>
      <c r="C228" s="1857">
        <v>0.15</v>
      </c>
      <c r="D228" s="1857">
        <v>0.15</v>
      </c>
      <c r="E228" s="1857">
        <v>0.15</v>
      </c>
      <c r="F228" s="1858">
        <v>0.15</v>
      </c>
    </row>
    <row r="229" spans="1:6" ht="14.25" thickBot="1">
      <c r="A229" s="1852" t="s">
        <v>1408</v>
      </c>
      <c r="B229" s="1856" t="s">
        <v>1298</v>
      </c>
      <c r="C229" s="1857">
        <v>0.15</v>
      </c>
      <c r="D229" s="1857">
        <v>0.15</v>
      </c>
      <c r="E229" s="1857">
        <v>0.15</v>
      </c>
      <c r="F229" s="1865"/>
    </row>
    <row r="230" spans="1:6" ht="14.25" thickBot="1">
      <c r="A230" s="1852" t="s">
        <v>1408</v>
      </c>
      <c r="B230" s="1856" t="s">
        <v>1305</v>
      </c>
      <c r="C230" s="1857">
        <v>0.14499999999999999</v>
      </c>
      <c r="D230" s="1857">
        <v>0.14499999999999999</v>
      </c>
      <c r="E230" s="1857">
        <v>0.14399999999999999</v>
      </c>
      <c r="F230" s="1865"/>
    </row>
    <row r="231" spans="1:6" ht="14.25" thickBot="1">
      <c r="A231" s="1852" t="s">
        <v>1408</v>
      </c>
      <c r="B231" s="1856" t="s">
        <v>2156</v>
      </c>
      <c r="C231" s="1857">
        <v>0.128</v>
      </c>
      <c r="D231" s="1857">
        <v>0.125</v>
      </c>
      <c r="E231" s="1857">
        <v>0.13200000000000001</v>
      </c>
      <c r="F231" s="1865"/>
    </row>
    <row r="232" spans="1:6" ht="14.25" thickBot="1">
      <c r="A232" s="1852" t="s">
        <v>1408</v>
      </c>
      <c r="B232" s="1856" t="s">
        <v>2157</v>
      </c>
      <c r="C232" s="1857">
        <v>0.14499999999999999</v>
      </c>
      <c r="D232" s="1857">
        <v>0.14399999999999999</v>
      </c>
      <c r="E232" s="1857">
        <v>0.14599999999999999</v>
      </c>
      <c r="F232" s="1858">
        <v>0.13800000000000001</v>
      </c>
    </row>
    <row r="233" spans="1:6" ht="14.25" thickBot="1">
      <c r="A233" s="1852" t="s">
        <v>1408</v>
      </c>
      <c r="B233" s="1856" t="s">
        <v>2158</v>
      </c>
      <c r="C233" s="1857">
        <v>0.14499999999999999</v>
      </c>
      <c r="D233" s="1857">
        <v>0.14299999999999999</v>
      </c>
      <c r="E233" s="1857">
        <v>0.14199999999999999</v>
      </c>
      <c r="F233" s="1865"/>
    </row>
    <row r="234" spans="1:6" ht="14.25" thickBot="1">
      <c r="A234" s="1852" t="s">
        <v>1408</v>
      </c>
      <c r="B234" s="1856" t="s">
        <v>2159</v>
      </c>
      <c r="C234" s="1857">
        <v>0.14000000000000001</v>
      </c>
      <c r="D234" s="1857">
        <v>0.14000000000000001</v>
      </c>
      <c r="E234" s="1857">
        <v>0.14399999999999999</v>
      </c>
      <c r="F234" s="1865"/>
    </row>
    <row r="235" spans="1:6" ht="14.25" thickBot="1">
      <c r="A235" s="1852" t="s">
        <v>1408</v>
      </c>
      <c r="B235" s="1856" t="s">
        <v>2160</v>
      </c>
      <c r="C235" s="1857">
        <v>0.14099999999999999</v>
      </c>
      <c r="D235" s="1857">
        <v>0.14199999999999999</v>
      </c>
      <c r="E235" s="1857">
        <v>0.14499999999999999</v>
      </c>
      <c r="F235" s="1858">
        <v>0.15</v>
      </c>
    </row>
    <row r="236" spans="1:6" ht="14.25" thickBot="1">
      <c r="A236" s="1852" t="s">
        <v>1408</v>
      </c>
      <c r="B236" s="1856" t="s">
        <v>1340</v>
      </c>
      <c r="C236" s="1866"/>
      <c r="D236" s="1866"/>
      <c r="E236" s="1866"/>
      <c r="F236" s="1858">
        <v>0.14299999999999999</v>
      </c>
    </row>
    <row r="237" spans="1:6" ht="24.75" thickBot="1">
      <c r="A237" s="1852" t="s">
        <v>1408</v>
      </c>
      <c r="B237" s="1856" t="s">
        <v>2161</v>
      </c>
      <c r="C237" s="1866"/>
      <c r="D237" s="1866"/>
      <c r="E237" s="1866"/>
      <c r="F237" s="1858">
        <v>0.05</v>
      </c>
    </row>
    <row r="238" spans="1:6" ht="24.75" thickBot="1">
      <c r="A238" s="1852" t="s">
        <v>1408</v>
      </c>
      <c r="B238" s="1856" t="s">
        <v>2162</v>
      </c>
      <c r="C238" s="1866"/>
      <c r="D238" s="1866"/>
      <c r="E238" s="1866"/>
      <c r="F238" s="1858">
        <v>0.05</v>
      </c>
    </row>
    <row r="239" spans="1:6" ht="24.75" thickBot="1">
      <c r="A239" s="1852" t="s">
        <v>1408</v>
      </c>
      <c r="B239" s="1856" t="s">
        <v>2163</v>
      </c>
      <c r="C239" s="1866"/>
      <c r="D239" s="1866"/>
      <c r="E239" s="1866"/>
      <c r="F239" s="1858">
        <v>0.05</v>
      </c>
    </row>
    <row r="240" spans="1:6" ht="24.75" thickBot="1">
      <c r="A240" s="1852" t="s">
        <v>1408</v>
      </c>
      <c r="B240" s="1856" t="s">
        <v>2164</v>
      </c>
      <c r="C240" s="1866"/>
      <c r="D240" s="1866"/>
      <c r="E240" s="1866"/>
      <c r="F240" s="1858">
        <v>0.05</v>
      </c>
    </row>
    <row r="241" spans="1:6" ht="24.75" thickBot="1">
      <c r="A241" s="1852" t="s">
        <v>1408</v>
      </c>
      <c r="B241" s="1856" t="s">
        <v>2165</v>
      </c>
      <c r="C241" s="1866"/>
      <c r="D241" s="1866"/>
      <c r="E241" s="1866"/>
      <c r="F241" s="1858">
        <v>0.05</v>
      </c>
    </row>
    <row r="242" spans="1:6" ht="24.75" thickBot="1">
      <c r="A242" s="1852" t="s">
        <v>1408</v>
      </c>
      <c r="B242" s="1856" t="s">
        <v>2166</v>
      </c>
      <c r="C242" s="1866"/>
      <c r="D242" s="1866"/>
      <c r="E242" s="1866"/>
      <c r="F242" s="1858">
        <v>0.05</v>
      </c>
    </row>
    <row r="243" spans="1:6" ht="24.75" thickBot="1">
      <c r="A243" s="1852" t="s">
        <v>1408</v>
      </c>
      <c r="B243" s="1856" t="s">
        <v>2167</v>
      </c>
      <c r="C243" s="1866"/>
      <c r="D243" s="1866"/>
      <c r="E243" s="1866"/>
      <c r="F243" s="1858">
        <v>0.05</v>
      </c>
    </row>
    <row r="244" spans="1:6" ht="24.75" thickBot="1">
      <c r="A244" s="1860" t="s">
        <v>1408</v>
      </c>
      <c r="B244" s="1867" t="s">
        <v>2168</v>
      </c>
      <c r="C244" s="1863"/>
      <c r="D244" s="1863"/>
      <c r="E244" s="1863"/>
      <c r="F244" s="1868">
        <v>0.05</v>
      </c>
    </row>
    <row r="245" spans="1:6" ht="14.25" thickBot="1">
      <c r="A245" s="1852" t="s">
        <v>1410</v>
      </c>
      <c r="B245" s="1853" t="s">
        <v>2169</v>
      </c>
      <c r="C245" s="1854">
        <v>0.15</v>
      </c>
      <c r="D245" s="1854">
        <v>0.15</v>
      </c>
      <c r="E245" s="1854">
        <v>0.15</v>
      </c>
      <c r="F245" s="1855">
        <v>0.14299999999999999</v>
      </c>
    </row>
    <row r="246" spans="1:6" ht="14.25" thickBot="1">
      <c r="A246" s="1852" t="s">
        <v>1410</v>
      </c>
      <c r="B246" s="1856" t="s">
        <v>1073</v>
      </c>
      <c r="C246" s="1857">
        <v>0.15</v>
      </c>
      <c r="D246" s="1857">
        <v>0.15</v>
      </c>
      <c r="E246" s="1857">
        <v>0.15</v>
      </c>
      <c r="F246" s="1858">
        <v>0.114</v>
      </c>
    </row>
    <row r="247" spans="1:6" ht="14.25" thickBot="1">
      <c r="A247" s="1852" t="s">
        <v>1410</v>
      </c>
      <c r="B247" s="1856" t="s">
        <v>2170</v>
      </c>
      <c r="C247" s="1857">
        <v>0.15</v>
      </c>
      <c r="D247" s="1857">
        <v>0.15</v>
      </c>
      <c r="E247" s="1857">
        <v>0.15</v>
      </c>
      <c r="F247" s="1858">
        <v>0.15</v>
      </c>
    </row>
    <row r="248" spans="1:6" ht="14.25" thickBot="1">
      <c r="A248" s="1852" t="s">
        <v>1410</v>
      </c>
      <c r="B248" s="1856" t="s">
        <v>2171</v>
      </c>
      <c r="C248" s="1857">
        <v>0.15</v>
      </c>
      <c r="D248" s="1857">
        <v>0.15</v>
      </c>
      <c r="E248" s="1857">
        <v>0.15</v>
      </c>
      <c r="F248" s="1858">
        <v>0.14000000000000001</v>
      </c>
    </row>
    <row r="249" spans="1:6" ht="14.25" thickBot="1">
      <c r="A249" s="1852" t="s">
        <v>1410</v>
      </c>
      <c r="B249" s="1856" t="s">
        <v>2172</v>
      </c>
      <c r="C249" s="1857">
        <v>0.15</v>
      </c>
      <c r="D249" s="1857">
        <v>0.14899999999999999</v>
      </c>
      <c r="E249" s="1857">
        <v>0.15</v>
      </c>
      <c r="F249" s="1858">
        <v>0.1</v>
      </c>
    </row>
    <row r="250" spans="1:6" ht="14.25" thickBot="1">
      <c r="A250" s="1852" t="s">
        <v>1410</v>
      </c>
      <c r="B250" s="1856" t="s">
        <v>2173</v>
      </c>
      <c r="C250" s="1857">
        <v>0.15</v>
      </c>
      <c r="D250" s="1857">
        <v>0.15</v>
      </c>
      <c r="E250" s="1857">
        <v>0.15</v>
      </c>
      <c r="F250" s="1858">
        <v>0.14399999999999999</v>
      </c>
    </row>
    <row r="251" spans="1:6" ht="14.25" thickBot="1">
      <c r="A251" s="1852" t="s">
        <v>1410</v>
      </c>
      <c r="B251" s="1856" t="s">
        <v>1136</v>
      </c>
      <c r="C251" s="1857">
        <v>0.15</v>
      </c>
      <c r="D251" s="1857">
        <v>0.15</v>
      </c>
      <c r="E251" s="1857">
        <v>0.15</v>
      </c>
      <c r="F251" s="1858">
        <v>0.14299999999999999</v>
      </c>
    </row>
    <row r="252" spans="1:6" ht="14.25" thickBot="1">
      <c r="A252" s="1852" t="s">
        <v>1410</v>
      </c>
      <c r="B252" s="1856" t="s">
        <v>1147</v>
      </c>
      <c r="C252" s="1857">
        <v>0.15</v>
      </c>
      <c r="D252" s="1857">
        <v>0.15</v>
      </c>
      <c r="E252" s="1857">
        <v>0.15</v>
      </c>
      <c r="F252" s="1858">
        <v>0.1</v>
      </c>
    </row>
    <row r="253" spans="1:6" ht="14.25" thickBot="1">
      <c r="A253" s="1852" t="s">
        <v>1410</v>
      </c>
      <c r="B253" s="1856" t="s">
        <v>1159</v>
      </c>
      <c r="C253" s="1857">
        <v>0.15</v>
      </c>
      <c r="D253" s="1857">
        <v>0.15</v>
      </c>
      <c r="E253" s="1857">
        <v>0.15</v>
      </c>
      <c r="F253" s="1858">
        <v>0.1</v>
      </c>
    </row>
    <row r="254" spans="1:6" ht="14.25" thickBot="1">
      <c r="A254" s="1852" t="s">
        <v>1410</v>
      </c>
      <c r="B254" s="1856" t="s">
        <v>1169</v>
      </c>
      <c r="C254" s="1866"/>
      <c r="D254" s="1866"/>
      <c r="E254" s="1866"/>
      <c r="F254" s="1858">
        <v>0.15</v>
      </c>
    </row>
    <row r="255" spans="1:6" ht="14.25" thickBot="1">
      <c r="A255" s="1852" t="s">
        <v>1410</v>
      </c>
      <c r="B255" s="1856" t="s">
        <v>1179</v>
      </c>
      <c r="C255" s="1866"/>
      <c r="D255" s="1866"/>
      <c r="E255" s="1866"/>
      <c r="F255" s="1858">
        <v>0.14299999999999999</v>
      </c>
    </row>
    <row r="256" spans="1:6" ht="14.25" thickBot="1">
      <c r="A256" s="1852" t="s">
        <v>1410</v>
      </c>
      <c r="B256" s="1856" t="s">
        <v>2174</v>
      </c>
      <c r="C256" s="1857">
        <v>0.14599999999999999</v>
      </c>
      <c r="D256" s="1857">
        <v>0.14699999999999999</v>
      </c>
      <c r="E256" s="1857">
        <v>0.15</v>
      </c>
      <c r="F256" s="1858">
        <v>0.13200000000000001</v>
      </c>
    </row>
    <row r="257" spans="1:6" ht="14.25" thickBot="1">
      <c r="A257" s="1852" t="s">
        <v>1410</v>
      </c>
      <c r="B257" s="1856" t="s">
        <v>1199</v>
      </c>
      <c r="C257" s="1857">
        <v>0.15</v>
      </c>
      <c r="D257" s="1857">
        <v>0.15</v>
      </c>
      <c r="E257" s="1857">
        <v>0.15</v>
      </c>
      <c r="F257" s="1858">
        <v>0.13900000000000001</v>
      </c>
    </row>
    <row r="258" spans="1:6" ht="14.25" thickBot="1">
      <c r="A258" s="1852" t="s">
        <v>1410</v>
      </c>
      <c r="B258" s="1856" t="s">
        <v>1209</v>
      </c>
      <c r="C258" s="1857">
        <v>0.15</v>
      </c>
      <c r="D258" s="1857">
        <v>0.15</v>
      </c>
      <c r="E258" s="1857">
        <v>0.15</v>
      </c>
      <c r="F258" s="1858">
        <v>0.13</v>
      </c>
    </row>
    <row r="259" spans="1:6" ht="14.25" thickBot="1">
      <c r="A259" s="1852" t="s">
        <v>1410</v>
      </c>
      <c r="B259" s="1856" t="s">
        <v>2175</v>
      </c>
      <c r="C259" s="1857">
        <v>0.14799999999999999</v>
      </c>
      <c r="D259" s="1857">
        <v>0.14899999999999999</v>
      </c>
      <c r="E259" s="1857">
        <v>0.15</v>
      </c>
      <c r="F259" s="1858">
        <v>0.13700000000000001</v>
      </c>
    </row>
    <row r="260" spans="1:6" ht="14.25" thickBot="1">
      <c r="A260" s="1852" t="s">
        <v>1410</v>
      </c>
      <c r="B260" s="1856" t="s">
        <v>1229</v>
      </c>
      <c r="C260" s="1857">
        <v>0.15</v>
      </c>
      <c r="D260" s="1857">
        <v>0.15</v>
      </c>
      <c r="E260" s="1857">
        <v>0.15</v>
      </c>
      <c r="F260" s="1858">
        <v>0.14199999999999999</v>
      </c>
    </row>
    <row r="261" spans="1:6" ht="14.25" thickBot="1">
      <c r="A261" s="1852" t="s">
        <v>1410</v>
      </c>
      <c r="B261" s="1856" t="s">
        <v>1239</v>
      </c>
      <c r="C261" s="1857">
        <v>0.15</v>
      </c>
      <c r="D261" s="1857">
        <v>0.15</v>
      </c>
      <c r="E261" s="1857">
        <v>0.14899999999999999</v>
      </c>
      <c r="F261" s="1858">
        <v>0.14799999999999999</v>
      </c>
    </row>
    <row r="262" spans="1:6" ht="14.25" thickBot="1">
      <c r="A262" s="1852" t="s">
        <v>1410</v>
      </c>
      <c r="B262" s="1856" t="s">
        <v>1249</v>
      </c>
      <c r="C262" s="1857">
        <v>0.15</v>
      </c>
      <c r="D262" s="1857">
        <v>0.15</v>
      </c>
      <c r="E262" s="1857">
        <v>0.15</v>
      </c>
      <c r="F262" s="1865"/>
    </row>
    <row r="263" spans="1:6" ht="14.25" thickBot="1">
      <c r="A263" s="1852" t="s">
        <v>1410</v>
      </c>
      <c r="B263" s="1856" t="s">
        <v>2176</v>
      </c>
      <c r="C263" s="1857">
        <v>0.14899999999999999</v>
      </c>
      <c r="D263" s="1857">
        <v>0.14899999999999999</v>
      </c>
      <c r="E263" s="1857">
        <v>0.15</v>
      </c>
      <c r="F263" s="1858">
        <v>0.13</v>
      </c>
    </row>
    <row r="264" spans="1:6" ht="14.25" thickBot="1">
      <c r="A264" s="1852" t="s">
        <v>1410</v>
      </c>
      <c r="B264" s="1856" t="s">
        <v>1268</v>
      </c>
      <c r="C264" s="1857">
        <v>0.14799999999999999</v>
      </c>
      <c r="D264" s="1857">
        <v>0.14699999999999999</v>
      </c>
      <c r="E264" s="1857">
        <v>0.15</v>
      </c>
      <c r="F264" s="1858">
        <v>7.8E-2</v>
      </c>
    </row>
    <row r="265" spans="1:6" ht="14.25" thickBot="1">
      <c r="A265" s="1852" t="s">
        <v>1410</v>
      </c>
      <c r="B265" s="1856" t="s">
        <v>1277</v>
      </c>
      <c r="C265" s="1857">
        <v>0.15</v>
      </c>
      <c r="D265" s="1857">
        <v>0.15</v>
      </c>
      <c r="E265" s="1857">
        <v>0.15</v>
      </c>
      <c r="F265" s="1858">
        <v>7.3999999999999996E-2</v>
      </c>
    </row>
    <row r="266" spans="1:6" ht="14.25" thickBot="1">
      <c r="A266" s="1852" t="s">
        <v>1410</v>
      </c>
      <c r="B266" s="1856" t="s">
        <v>1285</v>
      </c>
      <c r="C266" s="1857">
        <v>0.14699999999999999</v>
      </c>
      <c r="D266" s="1857">
        <v>0.14699999999999999</v>
      </c>
      <c r="E266" s="1857">
        <v>0.15</v>
      </c>
      <c r="F266" s="1858">
        <v>0.14299999999999999</v>
      </c>
    </row>
    <row r="267" spans="1:6" ht="14.25" thickBot="1">
      <c r="A267" s="1852" t="s">
        <v>1410</v>
      </c>
      <c r="B267" s="1856" t="s">
        <v>1292</v>
      </c>
      <c r="C267" s="1857">
        <v>0.14199999999999999</v>
      </c>
      <c r="D267" s="1857">
        <v>0.14299999999999999</v>
      </c>
      <c r="E267" s="1857">
        <v>0.15</v>
      </c>
      <c r="F267" s="1865"/>
    </row>
    <row r="268" spans="1:6" ht="14.25" thickBot="1">
      <c r="A268" s="1852" t="s">
        <v>1410</v>
      </c>
      <c r="B268" s="1856" t="s">
        <v>2177</v>
      </c>
      <c r="C268" s="1857">
        <v>0.15</v>
      </c>
      <c r="D268" s="1857">
        <v>0.15</v>
      </c>
      <c r="E268" s="1857">
        <v>0.15</v>
      </c>
      <c r="F268" s="1858">
        <v>0.13</v>
      </c>
    </row>
    <row r="269" spans="1:6" ht="14.25" thickBot="1">
      <c r="A269" s="1852" t="s">
        <v>1410</v>
      </c>
      <c r="B269" s="1856" t="s">
        <v>1306</v>
      </c>
      <c r="C269" s="1857">
        <v>0.15</v>
      </c>
      <c r="D269" s="1857">
        <v>0.15</v>
      </c>
      <c r="E269" s="1857">
        <v>0.15</v>
      </c>
      <c r="F269" s="1858">
        <v>0.14299999999999999</v>
      </c>
    </row>
    <row r="270" spans="1:6" ht="14.25" thickBot="1">
      <c r="A270" s="1852" t="s">
        <v>1410</v>
      </c>
      <c r="B270" s="1856" t="s">
        <v>1313</v>
      </c>
      <c r="C270" s="1857">
        <v>0.14499999999999999</v>
      </c>
      <c r="D270" s="1857">
        <v>0.14499999999999999</v>
      </c>
      <c r="E270" s="1857">
        <v>0.15</v>
      </c>
      <c r="F270" s="1858">
        <v>0.14699999999999999</v>
      </c>
    </row>
    <row r="271" spans="1:6" ht="14.25" thickBot="1">
      <c r="A271" s="1852" t="s">
        <v>1410</v>
      </c>
      <c r="B271" s="1856" t="s">
        <v>1320</v>
      </c>
      <c r="C271" s="1857">
        <v>0.15</v>
      </c>
      <c r="D271" s="1857">
        <v>0.15</v>
      </c>
      <c r="E271" s="1857">
        <v>0.15</v>
      </c>
      <c r="F271" s="1858">
        <v>0.13800000000000001</v>
      </c>
    </row>
    <row r="272" spans="1:6" ht="14.25" thickBot="1">
      <c r="A272" s="1852" t="s">
        <v>1410</v>
      </c>
      <c r="B272" s="1856" t="s">
        <v>1327</v>
      </c>
      <c r="C272" s="1866"/>
      <c r="D272" s="1866"/>
      <c r="E272" s="1866"/>
      <c r="F272" s="1858">
        <v>0.14000000000000001</v>
      </c>
    </row>
    <row r="273" spans="1:6" ht="14.25" thickBot="1">
      <c r="A273" s="1852" t="s">
        <v>1410</v>
      </c>
      <c r="B273" s="1856" t="s">
        <v>2178</v>
      </c>
      <c r="C273" s="1857">
        <v>0.14199999999999999</v>
      </c>
      <c r="D273" s="1857">
        <v>0.14299999999999999</v>
      </c>
      <c r="E273" s="1857">
        <v>0.15</v>
      </c>
      <c r="F273" s="1858">
        <v>0.1</v>
      </c>
    </row>
    <row r="274" spans="1:6" ht="14.25" thickBot="1">
      <c r="A274" s="1852" t="s">
        <v>1410</v>
      </c>
      <c r="B274" s="1856" t="s">
        <v>2179</v>
      </c>
      <c r="C274" s="1857">
        <v>0.14799999999999999</v>
      </c>
      <c r="D274" s="1857">
        <v>0.14799999999999999</v>
      </c>
      <c r="E274" s="1857">
        <v>0.15</v>
      </c>
      <c r="F274" s="1858">
        <v>6.7000000000000004E-2</v>
      </c>
    </row>
    <row r="275" spans="1:6" ht="14.25" thickBot="1">
      <c r="A275" s="1852" t="s">
        <v>1410</v>
      </c>
      <c r="B275" s="1856" t="s">
        <v>2180</v>
      </c>
      <c r="C275" s="1857">
        <v>0.15</v>
      </c>
      <c r="D275" s="1857">
        <v>0.15</v>
      </c>
      <c r="E275" s="1857">
        <v>0.15</v>
      </c>
      <c r="F275" s="1858">
        <v>0.15</v>
      </c>
    </row>
    <row r="276" spans="1:6" ht="14.25" thickBot="1">
      <c r="A276" s="1852" t="s">
        <v>1410</v>
      </c>
      <c r="B276" s="1856" t="s">
        <v>2181</v>
      </c>
      <c r="C276" s="1857">
        <v>0.14499999999999999</v>
      </c>
      <c r="D276" s="1857">
        <v>0.14299999999999999</v>
      </c>
      <c r="E276" s="1857">
        <v>0.15</v>
      </c>
      <c r="F276" s="1858">
        <v>5.8999999999999997E-2</v>
      </c>
    </row>
    <row r="277" spans="1:6" ht="14.25" thickBot="1">
      <c r="A277" s="1852" t="s">
        <v>1410</v>
      </c>
      <c r="B277" s="1856" t="s">
        <v>2182</v>
      </c>
      <c r="C277" s="1857">
        <v>0.15</v>
      </c>
      <c r="D277" s="1857">
        <v>0.15</v>
      </c>
      <c r="E277" s="1857">
        <v>0.15</v>
      </c>
      <c r="F277" s="1858">
        <v>0.121</v>
      </c>
    </row>
    <row r="278" spans="1:6" ht="14.25" thickBot="1">
      <c r="A278" s="1852" t="s">
        <v>1410</v>
      </c>
      <c r="B278" s="1856" t="s">
        <v>2183</v>
      </c>
      <c r="C278" s="1857">
        <v>0.15</v>
      </c>
      <c r="D278" s="1857">
        <v>0.15</v>
      </c>
      <c r="E278" s="1857">
        <v>0.15</v>
      </c>
      <c r="F278" s="1858">
        <v>0.13800000000000001</v>
      </c>
    </row>
    <row r="279" spans="1:6" ht="24.75" thickBot="1">
      <c r="A279" s="1852" t="s">
        <v>1410</v>
      </c>
      <c r="B279" s="1856" t="s">
        <v>2184</v>
      </c>
      <c r="C279" s="1866"/>
      <c r="D279" s="1866"/>
      <c r="E279" s="1866"/>
      <c r="F279" s="1858">
        <v>0.05</v>
      </c>
    </row>
    <row r="280" spans="1:6" ht="24.75" thickBot="1">
      <c r="A280" s="1852" t="s">
        <v>1410</v>
      </c>
      <c r="B280" s="1856" t="s">
        <v>2185</v>
      </c>
      <c r="C280" s="1866"/>
      <c r="D280" s="1866"/>
      <c r="E280" s="1866"/>
      <c r="F280" s="1858">
        <v>0.05</v>
      </c>
    </row>
    <row r="281" spans="1:6" ht="24.75" thickBot="1">
      <c r="A281" s="1852" t="s">
        <v>1410</v>
      </c>
      <c r="B281" s="1856" t="s">
        <v>2186</v>
      </c>
      <c r="C281" s="1866"/>
      <c r="D281" s="1866"/>
      <c r="E281" s="1866"/>
      <c r="F281" s="1858">
        <v>0.05</v>
      </c>
    </row>
    <row r="282" spans="1:6" ht="24.75" thickBot="1">
      <c r="A282" s="1852" t="s">
        <v>1410</v>
      </c>
      <c r="B282" s="1856" t="s">
        <v>2187</v>
      </c>
      <c r="C282" s="1866"/>
      <c r="D282" s="1866"/>
      <c r="E282" s="1866"/>
      <c r="F282" s="1858">
        <v>0.05</v>
      </c>
    </row>
    <row r="283" spans="1:6" ht="24.75" thickBot="1">
      <c r="A283" s="1852" t="s">
        <v>1410</v>
      </c>
      <c r="B283" s="1856" t="s">
        <v>2188</v>
      </c>
      <c r="C283" s="1866"/>
      <c r="D283" s="1866"/>
      <c r="E283" s="1866"/>
      <c r="F283" s="1858">
        <v>0.05</v>
      </c>
    </row>
    <row r="284" spans="1:6" ht="24.75" thickBot="1">
      <c r="A284" s="1852" t="s">
        <v>1410</v>
      </c>
      <c r="B284" s="1856" t="s">
        <v>2189</v>
      </c>
      <c r="C284" s="1866"/>
      <c r="D284" s="1866"/>
      <c r="E284" s="1866"/>
      <c r="F284" s="1858">
        <v>0.05</v>
      </c>
    </row>
    <row r="285" spans="1:6" ht="24.75" thickBot="1">
      <c r="A285" s="1852" t="s">
        <v>1410</v>
      </c>
      <c r="B285" s="1856" t="s">
        <v>2190</v>
      </c>
      <c r="C285" s="1866"/>
      <c r="D285" s="1866"/>
      <c r="E285" s="1866"/>
      <c r="F285" s="1858">
        <v>0.05</v>
      </c>
    </row>
    <row r="286" spans="1:6" ht="24.75" thickBot="1">
      <c r="A286" s="1852" t="s">
        <v>1410</v>
      </c>
      <c r="B286" s="1856" t="s">
        <v>2191</v>
      </c>
      <c r="C286" s="1866"/>
      <c r="D286" s="1866"/>
      <c r="E286" s="1866"/>
      <c r="F286" s="1858">
        <v>0.05</v>
      </c>
    </row>
    <row r="287" spans="1:6" ht="24.75" thickBot="1">
      <c r="A287" s="1852" t="s">
        <v>1410</v>
      </c>
      <c r="B287" s="1856" t="s">
        <v>2192</v>
      </c>
      <c r="C287" s="1866"/>
      <c r="D287" s="1866"/>
      <c r="E287" s="1866"/>
      <c r="F287" s="1858">
        <v>0.05</v>
      </c>
    </row>
    <row r="288" spans="1:6" ht="24.75" thickBot="1">
      <c r="A288" s="1852" t="s">
        <v>1410</v>
      </c>
      <c r="B288" s="1856" t="s">
        <v>2193</v>
      </c>
      <c r="C288" s="1866"/>
      <c r="D288" s="1866"/>
      <c r="E288" s="1866"/>
      <c r="F288" s="1858">
        <v>0.05</v>
      </c>
    </row>
    <row r="289" spans="1:6" ht="24.75" thickBot="1">
      <c r="A289" s="1860" t="s">
        <v>1410</v>
      </c>
      <c r="B289" s="1867" t="s">
        <v>2194</v>
      </c>
      <c r="C289" s="1863"/>
      <c r="D289" s="1863"/>
      <c r="E289" s="1863"/>
      <c r="F289" s="1868">
        <v>0.05</v>
      </c>
    </row>
    <row r="290" spans="1:6" ht="14.25" thickBot="1">
      <c r="A290" s="1852" t="s">
        <v>1414</v>
      </c>
      <c r="B290" s="1853" t="s">
        <v>2195</v>
      </c>
      <c r="C290" s="1854">
        <v>0.15</v>
      </c>
      <c r="D290" s="1854">
        <v>0.15</v>
      </c>
      <c r="E290" s="1854">
        <v>0.15</v>
      </c>
      <c r="F290" s="1876"/>
    </row>
    <row r="291" spans="1:6" ht="14.25" thickBot="1">
      <c r="A291" s="1852" t="s">
        <v>1414</v>
      </c>
      <c r="B291" s="1856" t="s">
        <v>1074</v>
      </c>
      <c r="C291" s="1857">
        <v>0.15</v>
      </c>
      <c r="D291" s="1857">
        <v>0.15</v>
      </c>
      <c r="E291" s="1857">
        <v>0.15</v>
      </c>
      <c r="F291" s="1865"/>
    </row>
    <row r="292" spans="1:6" ht="14.25" thickBot="1">
      <c r="A292" s="1852" t="s">
        <v>1414</v>
      </c>
      <c r="B292" s="1856" t="s">
        <v>2196</v>
      </c>
      <c r="C292" s="1857">
        <v>0.15</v>
      </c>
      <c r="D292" s="1857">
        <v>0.15</v>
      </c>
      <c r="E292" s="1857">
        <v>0.15</v>
      </c>
      <c r="F292" s="1858">
        <v>0.14699999999999999</v>
      </c>
    </row>
    <row r="293" spans="1:6" ht="14.25" thickBot="1">
      <c r="A293" s="1852" t="s">
        <v>1414</v>
      </c>
      <c r="B293" s="1856" t="s">
        <v>2197</v>
      </c>
      <c r="C293" s="1866"/>
      <c r="D293" s="1866"/>
      <c r="E293" s="1866"/>
      <c r="F293" s="1858">
        <v>0.1</v>
      </c>
    </row>
    <row r="294" spans="1:6" ht="14.25" thickBot="1">
      <c r="A294" s="1852" t="s">
        <v>1414</v>
      </c>
      <c r="B294" s="1856" t="s">
        <v>2198</v>
      </c>
      <c r="C294" s="1857">
        <v>0.15</v>
      </c>
      <c r="D294" s="1857">
        <v>0.15</v>
      </c>
      <c r="E294" s="1857">
        <v>0.15</v>
      </c>
      <c r="F294" s="1858">
        <v>0.15</v>
      </c>
    </row>
    <row r="295" spans="1:6" ht="14.25" thickBot="1">
      <c r="A295" s="1852" t="s">
        <v>1414</v>
      </c>
      <c r="B295" s="1856" t="s">
        <v>1115</v>
      </c>
      <c r="C295" s="1857">
        <v>0.15</v>
      </c>
      <c r="D295" s="1857">
        <v>0.15</v>
      </c>
      <c r="E295" s="1857">
        <v>0.15</v>
      </c>
      <c r="F295" s="1858">
        <v>0.15</v>
      </c>
    </row>
    <row r="296" spans="1:6" ht="14.25" thickBot="1">
      <c r="A296" s="1852" t="s">
        <v>1414</v>
      </c>
      <c r="B296" s="1856" t="s">
        <v>2199</v>
      </c>
      <c r="C296" s="1857">
        <v>0.15</v>
      </c>
      <c r="D296" s="1857">
        <v>0.15</v>
      </c>
      <c r="E296" s="1857">
        <v>0.15</v>
      </c>
      <c r="F296" s="1858">
        <v>0.15</v>
      </c>
    </row>
    <row r="297" spans="1:6" ht="14.25" thickBot="1">
      <c r="A297" s="1852" t="s">
        <v>1414</v>
      </c>
      <c r="B297" s="1856" t="s">
        <v>2200</v>
      </c>
      <c r="C297" s="1857">
        <v>0.14799999999999999</v>
      </c>
      <c r="D297" s="1857">
        <v>0.14899999999999999</v>
      </c>
      <c r="E297" s="1857">
        <v>0.15</v>
      </c>
      <c r="F297" s="1858">
        <v>0.13700000000000001</v>
      </c>
    </row>
    <row r="298" spans="1:6" ht="14.25" thickBot="1">
      <c r="A298" s="1852" t="s">
        <v>1414</v>
      </c>
      <c r="B298" s="1856" t="s">
        <v>1148</v>
      </c>
      <c r="C298" s="1857">
        <v>0.13400000000000001</v>
      </c>
      <c r="D298" s="1857">
        <v>0.13400000000000001</v>
      </c>
      <c r="E298" s="1857">
        <v>0.14499999999999999</v>
      </c>
      <c r="F298" s="1858">
        <v>0.14799999999999999</v>
      </c>
    </row>
    <row r="299" spans="1:6" ht="14.25" thickBot="1">
      <c r="A299" s="1852" t="s">
        <v>1414</v>
      </c>
      <c r="B299" s="1856" t="s">
        <v>1160</v>
      </c>
      <c r="C299" s="1857">
        <v>0.15</v>
      </c>
      <c r="D299" s="1857">
        <v>0.15</v>
      </c>
      <c r="E299" s="1857">
        <v>0.15</v>
      </c>
      <c r="F299" s="1865"/>
    </row>
    <row r="300" spans="1:6" ht="14.25" thickBot="1">
      <c r="A300" s="1852" t="s">
        <v>1414</v>
      </c>
      <c r="B300" s="1856" t="s">
        <v>2201</v>
      </c>
      <c r="C300" s="1857">
        <v>0.15</v>
      </c>
      <c r="D300" s="1857">
        <v>0.15</v>
      </c>
      <c r="E300" s="1857">
        <v>0.15</v>
      </c>
      <c r="F300" s="1858">
        <v>0.15</v>
      </c>
    </row>
    <row r="301" spans="1:6" ht="14.25" thickBot="1">
      <c r="A301" s="1852" t="s">
        <v>1414</v>
      </c>
      <c r="B301" s="1856" t="s">
        <v>1180</v>
      </c>
      <c r="C301" s="1857">
        <v>0.15</v>
      </c>
      <c r="D301" s="1857">
        <v>0.15</v>
      </c>
      <c r="E301" s="1857">
        <v>0.15</v>
      </c>
      <c r="F301" s="1865"/>
    </row>
    <row r="302" spans="1:6" ht="14.25" thickBot="1">
      <c r="A302" s="1852" t="s">
        <v>1414</v>
      </c>
      <c r="B302" s="1856" t="s">
        <v>2202</v>
      </c>
      <c r="C302" s="1857">
        <v>0.15</v>
      </c>
      <c r="D302" s="1857">
        <v>0.15</v>
      </c>
      <c r="E302" s="1857">
        <v>0.15</v>
      </c>
      <c r="F302" s="1858">
        <v>0.15</v>
      </c>
    </row>
    <row r="303" spans="1:6" ht="14.25" thickBot="1">
      <c r="A303" s="1852" t="s">
        <v>1414</v>
      </c>
      <c r="B303" s="1856" t="s">
        <v>1200</v>
      </c>
      <c r="C303" s="1857">
        <v>0.15</v>
      </c>
      <c r="D303" s="1857">
        <v>0.15</v>
      </c>
      <c r="E303" s="1857">
        <v>0.15</v>
      </c>
      <c r="F303" s="1858">
        <v>0.15</v>
      </c>
    </row>
    <row r="304" spans="1:6" ht="14.25" thickBot="1">
      <c r="A304" s="1852" t="s">
        <v>1414</v>
      </c>
      <c r="B304" s="1856" t="s">
        <v>1210</v>
      </c>
      <c r="C304" s="1857">
        <v>0.15</v>
      </c>
      <c r="D304" s="1857">
        <v>0.15</v>
      </c>
      <c r="E304" s="1857">
        <v>0.15</v>
      </c>
      <c r="F304" s="1865"/>
    </row>
    <row r="305" spans="1:6" ht="14.25" thickBot="1">
      <c r="A305" s="1852" t="s">
        <v>1414</v>
      </c>
      <c r="B305" s="1856" t="s">
        <v>2203</v>
      </c>
      <c r="C305" s="1857">
        <v>0.15</v>
      </c>
      <c r="D305" s="1857">
        <v>0.15</v>
      </c>
      <c r="E305" s="1857">
        <v>0.15</v>
      </c>
      <c r="F305" s="1858">
        <v>0.14000000000000001</v>
      </c>
    </row>
    <row r="306" spans="1:6" ht="14.25" thickBot="1">
      <c r="A306" s="1852" t="s">
        <v>1414</v>
      </c>
      <c r="B306" s="1856" t="s">
        <v>1230</v>
      </c>
      <c r="C306" s="1857">
        <v>0.15</v>
      </c>
      <c r="D306" s="1857">
        <v>0.15</v>
      </c>
      <c r="E306" s="1857">
        <v>0.15</v>
      </c>
      <c r="F306" s="1865"/>
    </row>
    <row r="307" spans="1:6" ht="14.25" thickBot="1">
      <c r="A307" s="1852" t="s">
        <v>1414</v>
      </c>
      <c r="B307" s="1856" t="s">
        <v>2204</v>
      </c>
      <c r="C307" s="1857">
        <v>0.15</v>
      </c>
      <c r="D307" s="1857">
        <v>0.15</v>
      </c>
      <c r="E307" s="1857">
        <v>0.15</v>
      </c>
      <c r="F307" s="1858">
        <v>0.14299999999999999</v>
      </c>
    </row>
    <row r="308" spans="1:6" ht="14.25" thickBot="1">
      <c r="A308" s="1852" t="s">
        <v>1414</v>
      </c>
      <c r="B308" s="1856" t="s">
        <v>1250</v>
      </c>
      <c r="C308" s="1857">
        <v>0.15</v>
      </c>
      <c r="D308" s="1857">
        <v>0.15</v>
      </c>
      <c r="E308" s="1857">
        <v>0.15</v>
      </c>
      <c r="F308" s="1858">
        <v>0.15</v>
      </c>
    </row>
    <row r="309" spans="1:6" ht="14.25" thickBot="1">
      <c r="A309" s="1852" t="s">
        <v>1414</v>
      </c>
      <c r="B309" s="1856" t="s">
        <v>1260</v>
      </c>
      <c r="C309" s="1857">
        <v>0.15</v>
      </c>
      <c r="D309" s="1857">
        <v>0.15</v>
      </c>
      <c r="E309" s="1857">
        <v>0.15</v>
      </c>
      <c r="F309" s="1865"/>
    </row>
    <row r="310" spans="1:6" ht="14.25" thickBot="1">
      <c r="A310" s="1852" t="s">
        <v>1414</v>
      </c>
      <c r="B310" s="1856" t="s">
        <v>2205</v>
      </c>
      <c r="C310" s="1857">
        <v>0.15</v>
      </c>
      <c r="D310" s="1857">
        <v>0.15</v>
      </c>
      <c r="E310" s="1857">
        <v>0.15</v>
      </c>
      <c r="F310" s="1858">
        <v>0.13700000000000001</v>
      </c>
    </row>
    <row r="311" spans="1:6" ht="14.25" thickBot="1">
      <c r="A311" s="1852" t="s">
        <v>1414</v>
      </c>
      <c r="B311" s="1856" t="s">
        <v>2206</v>
      </c>
      <c r="C311" s="1857">
        <v>0.15</v>
      </c>
      <c r="D311" s="1857">
        <v>0.15</v>
      </c>
      <c r="E311" s="1857">
        <v>0.15</v>
      </c>
      <c r="F311" s="1858">
        <v>0.15</v>
      </c>
    </row>
    <row r="312" spans="1:6" ht="14.25" thickBot="1">
      <c r="A312" s="1852" t="s">
        <v>1414</v>
      </c>
      <c r="B312" s="1856" t="s">
        <v>1286</v>
      </c>
      <c r="C312" s="1857">
        <v>0.15</v>
      </c>
      <c r="D312" s="1857">
        <v>0.15</v>
      </c>
      <c r="E312" s="1857">
        <v>0.15</v>
      </c>
      <c r="F312" s="1858">
        <v>0.1</v>
      </c>
    </row>
    <row r="313" spans="1:6" ht="14.25" thickBot="1">
      <c r="A313" s="1852" t="s">
        <v>1414</v>
      </c>
      <c r="B313" s="1856" t="s">
        <v>2207</v>
      </c>
      <c r="C313" s="1857">
        <v>0.15</v>
      </c>
      <c r="D313" s="1857">
        <v>0.15</v>
      </c>
      <c r="E313" s="1857">
        <v>0.15</v>
      </c>
      <c r="F313" s="1858">
        <v>0.15</v>
      </c>
    </row>
    <row r="314" spans="1:6" ht="24.75" thickBot="1">
      <c r="A314" s="1852" t="s">
        <v>1414</v>
      </c>
      <c r="B314" s="1856" t="s">
        <v>2208</v>
      </c>
      <c r="C314" s="1866"/>
      <c r="D314" s="1866"/>
      <c r="E314" s="1866"/>
      <c r="F314" s="1858">
        <v>0.05</v>
      </c>
    </row>
    <row r="315" spans="1:6" ht="24.75" thickBot="1">
      <c r="A315" s="1852" t="s">
        <v>1414</v>
      </c>
      <c r="B315" s="1856" t="s">
        <v>2209</v>
      </c>
      <c r="C315" s="1866"/>
      <c r="D315" s="1866"/>
      <c r="E315" s="1866"/>
      <c r="F315" s="1858">
        <v>0.05</v>
      </c>
    </row>
    <row r="316" spans="1:6" ht="24.75" thickBot="1">
      <c r="A316" s="1860" t="s">
        <v>1414</v>
      </c>
      <c r="B316" s="1867" t="s">
        <v>2210</v>
      </c>
      <c r="C316" s="1863"/>
      <c r="D316" s="1863"/>
      <c r="E316" s="1863"/>
      <c r="F316" s="1868">
        <v>0.05</v>
      </c>
    </row>
    <row r="317" spans="1:6" ht="14.25" thickBot="1">
      <c r="A317" s="1852" t="s">
        <v>2211</v>
      </c>
      <c r="B317" s="1853" t="s">
        <v>2212</v>
      </c>
      <c r="C317" s="1854">
        <v>0.15</v>
      </c>
      <c r="D317" s="1854">
        <v>0.15</v>
      </c>
      <c r="E317" s="1854">
        <v>0.15</v>
      </c>
      <c r="F317" s="1855">
        <v>0.15</v>
      </c>
    </row>
    <row r="318" spans="1:6" ht="14.25" thickBot="1">
      <c r="A318" s="1852" t="s">
        <v>2211</v>
      </c>
      <c r="B318" s="1856" t="s">
        <v>2213</v>
      </c>
      <c r="C318" s="1857">
        <v>0.107</v>
      </c>
      <c r="D318" s="1857">
        <v>0.11</v>
      </c>
      <c r="E318" s="1857">
        <v>0.112</v>
      </c>
      <c r="F318" s="1865"/>
    </row>
    <row r="319" spans="1:6" ht="14.25" thickBot="1">
      <c r="A319" s="1852" t="s">
        <v>2211</v>
      </c>
      <c r="B319" s="1856" t="s">
        <v>2214</v>
      </c>
      <c r="C319" s="1857">
        <v>0.15</v>
      </c>
      <c r="D319" s="1857">
        <v>0.15</v>
      </c>
      <c r="E319" s="1857">
        <v>0.15</v>
      </c>
      <c r="F319" s="1858">
        <v>0.15</v>
      </c>
    </row>
    <row r="320" spans="1:6" ht="14.25" thickBot="1">
      <c r="A320" s="1852" t="s">
        <v>2211</v>
      </c>
      <c r="B320" s="1856" t="s">
        <v>1102</v>
      </c>
      <c r="C320" s="1857">
        <v>0.15</v>
      </c>
      <c r="D320" s="1857">
        <v>0.15</v>
      </c>
      <c r="E320" s="1857">
        <v>0.15</v>
      </c>
      <c r="F320" s="1865"/>
    </row>
    <row r="321" spans="1:6" ht="14.25" thickBot="1">
      <c r="A321" s="1852" t="s">
        <v>2211</v>
      </c>
      <c r="B321" s="1856" t="s">
        <v>2215</v>
      </c>
      <c r="C321" s="1857">
        <v>0.15</v>
      </c>
      <c r="D321" s="1857">
        <v>0.15</v>
      </c>
      <c r="E321" s="1857">
        <v>0.15</v>
      </c>
      <c r="F321" s="1865"/>
    </row>
    <row r="322" spans="1:6" ht="14.25" thickBot="1">
      <c r="A322" s="1852" t="s">
        <v>2211</v>
      </c>
      <c r="B322" s="1856" t="s">
        <v>2216</v>
      </c>
      <c r="C322" s="1857">
        <v>0.15</v>
      </c>
      <c r="D322" s="1857">
        <v>0.15</v>
      </c>
      <c r="E322" s="1857">
        <v>0.15</v>
      </c>
      <c r="F322" s="1858">
        <v>0.15</v>
      </c>
    </row>
    <row r="323" spans="1:6" ht="14.25" thickBot="1">
      <c r="A323" s="1852" t="s">
        <v>2211</v>
      </c>
      <c r="B323" s="1856" t="s">
        <v>2217</v>
      </c>
      <c r="C323" s="1857">
        <v>0.15</v>
      </c>
      <c r="D323" s="1857">
        <v>0.15</v>
      </c>
      <c r="E323" s="1857">
        <v>0.15</v>
      </c>
      <c r="F323" s="1865"/>
    </row>
    <row r="324" spans="1:6" ht="14.25" thickBot="1">
      <c r="A324" s="1852" t="s">
        <v>2211</v>
      </c>
      <c r="B324" s="1856" t="s">
        <v>2218</v>
      </c>
      <c r="C324" s="1857">
        <v>0.15</v>
      </c>
      <c r="D324" s="1857">
        <v>0.15</v>
      </c>
      <c r="E324" s="1857">
        <v>0.15</v>
      </c>
      <c r="F324" s="1865"/>
    </row>
    <row r="325" spans="1:6" ht="14.25" thickBot="1">
      <c r="A325" s="1852" t="s">
        <v>2211</v>
      </c>
      <c r="B325" s="1856" t="s">
        <v>2219</v>
      </c>
      <c r="C325" s="1857">
        <v>0.15</v>
      </c>
      <c r="D325" s="1857">
        <v>0.15</v>
      </c>
      <c r="E325" s="1857">
        <v>0.15</v>
      </c>
      <c r="F325" s="1858">
        <v>0.14699999999999999</v>
      </c>
    </row>
    <row r="326" spans="1:6" ht="14.25" thickBot="1">
      <c r="A326" s="1852" t="s">
        <v>2211</v>
      </c>
      <c r="B326" s="1856" t="s">
        <v>1171</v>
      </c>
      <c r="C326" s="1857">
        <v>0.15</v>
      </c>
      <c r="D326" s="1857">
        <v>0.15</v>
      </c>
      <c r="E326" s="1857">
        <v>0.15</v>
      </c>
      <c r="F326" s="1865"/>
    </row>
    <row r="327" spans="1:6" ht="14.25" thickBot="1">
      <c r="A327" s="1852" t="s">
        <v>2211</v>
      </c>
      <c r="B327" s="1856" t="s">
        <v>2220</v>
      </c>
      <c r="C327" s="1857">
        <v>0.15</v>
      </c>
      <c r="D327" s="1857">
        <v>0.15</v>
      </c>
      <c r="E327" s="1857">
        <v>0.15</v>
      </c>
      <c r="F327" s="1858">
        <v>0.15</v>
      </c>
    </row>
    <row r="328" spans="1:6" ht="14.25" thickBot="1">
      <c r="A328" s="1852" t="s">
        <v>2211</v>
      </c>
      <c r="B328" s="1856" t="s">
        <v>1191</v>
      </c>
      <c r="C328" s="1857">
        <v>0.15</v>
      </c>
      <c r="D328" s="1857">
        <v>0.15</v>
      </c>
      <c r="E328" s="1857">
        <v>0.15</v>
      </c>
      <c r="F328" s="1858">
        <v>0.14099999999999999</v>
      </c>
    </row>
    <row r="329" spans="1:6" ht="14.25" thickBot="1">
      <c r="A329" s="1852" t="s">
        <v>2211</v>
      </c>
      <c r="B329" s="1856" t="s">
        <v>1201</v>
      </c>
      <c r="C329" s="1857">
        <v>0.15</v>
      </c>
      <c r="D329" s="1857">
        <v>0.15</v>
      </c>
      <c r="E329" s="1857">
        <v>0.15</v>
      </c>
      <c r="F329" s="1858">
        <v>0.15</v>
      </c>
    </row>
    <row r="330" spans="1:6" ht="14.25" thickBot="1">
      <c r="A330" s="1852" t="s">
        <v>2211</v>
      </c>
      <c r="B330" s="1856" t="s">
        <v>1211</v>
      </c>
      <c r="C330" s="1857">
        <v>0.15</v>
      </c>
      <c r="D330" s="1857">
        <v>0.15</v>
      </c>
      <c r="E330" s="1857">
        <v>0.15</v>
      </c>
      <c r="F330" s="1865"/>
    </row>
    <row r="331" spans="1:6" ht="14.25" thickBot="1">
      <c r="A331" s="1852" t="s">
        <v>2211</v>
      </c>
      <c r="B331" s="1856" t="s">
        <v>2221</v>
      </c>
      <c r="C331" s="1857">
        <v>0.15</v>
      </c>
      <c r="D331" s="1857">
        <v>0.15</v>
      </c>
      <c r="E331" s="1857">
        <v>0.15</v>
      </c>
      <c r="F331" s="1858">
        <v>0.15</v>
      </c>
    </row>
    <row r="332" spans="1:6" ht="14.25" thickBot="1">
      <c r="A332" s="1852" t="s">
        <v>2211</v>
      </c>
      <c r="B332" s="1856" t="s">
        <v>1231</v>
      </c>
      <c r="C332" s="1857">
        <v>0.15</v>
      </c>
      <c r="D332" s="1857">
        <v>0.15</v>
      </c>
      <c r="E332" s="1857">
        <v>0.15</v>
      </c>
      <c r="F332" s="1858">
        <v>0.15</v>
      </c>
    </row>
    <row r="333" spans="1:6" ht="14.25" thickBot="1">
      <c r="A333" s="1852" t="s">
        <v>2211</v>
      </c>
      <c r="B333" s="1856" t="s">
        <v>2222</v>
      </c>
      <c r="C333" s="1857">
        <v>0.15</v>
      </c>
      <c r="D333" s="1857">
        <v>0.15</v>
      </c>
      <c r="E333" s="1857">
        <v>0.15</v>
      </c>
      <c r="F333" s="1858">
        <v>0.14099999999999999</v>
      </c>
    </row>
    <row r="334" spans="1:6" ht="14.25" thickBot="1">
      <c r="A334" s="1852" t="s">
        <v>2211</v>
      </c>
      <c r="B334" s="1856" t="s">
        <v>1251</v>
      </c>
      <c r="C334" s="1857">
        <v>0.15</v>
      </c>
      <c r="D334" s="1857">
        <v>0.15</v>
      </c>
      <c r="E334" s="1857">
        <v>0.15</v>
      </c>
      <c r="F334" s="1858">
        <v>0.15</v>
      </c>
    </row>
    <row r="335" spans="1:6" ht="14.25" thickBot="1">
      <c r="A335" s="1852" t="s">
        <v>2211</v>
      </c>
      <c r="B335" s="1856" t="s">
        <v>1261</v>
      </c>
      <c r="C335" s="1857">
        <v>0.15</v>
      </c>
      <c r="D335" s="1857">
        <v>0.15</v>
      </c>
      <c r="E335" s="1857">
        <v>0.15</v>
      </c>
      <c r="F335" s="1865"/>
    </row>
    <row r="336" spans="1:6" ht="14.25" thickBot="1">
      <c r="A336" s="1852" t="s">
        <v>2211</v>
      </c>
      <c r="B336" s="1856" t="s">
        <v>2223</v>
      </c>
      <c r="C336" s="1857">
        <v>0.15</v>
      </c>
      <c r="D336" s="1857">
        <v>0.15</v>
      </c>
      <c r="E336" s="1857">
        <v>0.15</v>
      </c>
      <c r="F336" s="1858">
        <v>0.11799999999999999</v>
      </c>
    </row>
    <row r="337" spans="1:6" ht="14.25" thickBot="1">
      <c r="A337" s="1860" t="s">
        <v>2211</v>
      </c>
      <c r="B337" s="1867" t="s">
        <v>1279</v>
      </c>
      <c r="C337" s="1863"/>
      <c r="D337" s="1863"/>
      <c r="E337" s="1863"/>
      <c r="F337" s="1868">
        <v>0.14299999999999999</v>
      </c>
    </row>
    <row r="338" spans="1:6" ht="14.25" thickBot="1">
      <c r="A338" s="1852" t="s">
        <v>2224</v>
      </c>
      <c r="B338" s="1853" t="s">
        <v>2225</v>
      </c>
      <c r="C338" s="1854">
        <v>0.15</v>
      </c>
      <c r="D338" s="1854">
        <v>0.15</v>
      </c>
      <c r="E338" s="1854">
        <v>0.15</v>
      </c>
      <c r="F338" s="1876"/>
    </row>
    <row r="339" spans="1:6" ht="14.25" thickBot="1">
      <c r="A339" s="1852" t="s">
        <v>2224</v>
      </c>
      <c r="B339" s="1856" t="s">
        <v>2226</v>
      </c>
      <c r="C339" s="1857">
        <v>0.15</v>
      </c>
      <c r="D339" s="1857">
        <v>0.15</v>
      </c>
      <c r="E339" s="1857">
        <v>0.15</v>
      </c>
      <c r="F339" s="1865"/>
    </row>
    <row r="340" spans="1:6" ht="14.25" thickBot="1">
      <c r="A340" s="1852" t="s">
        <v>2224</v>
      </c>
      <c r="B340" s="1856" t="s">
        <v>2227</v>
      </c>
      <c r="C340" s="1857">
        <v>0.15</v>
      </c>
      <c r="D340" s="1857">
        <v>0.15</v>
      </c>
      <c r="E340" s="1857">
        <v>0.15</v>
      </c>
      <c r="F340" s="1865"/>
    </row>
    <row r="341" spans="1:6" ht="14.25" thickBot="1">
      <c r="A341" s="1852" t="s">
        <v>2228</v>
      </c>
      <c r="B341" s="1856" t="s">
        <v>2229</v>
      </c>
      <c r="C341" s="1857">
        <v>0.15</v>
      </c>
      <c r="D341" s="1857">
        <v>0.15</v>
      </c>
      <c r="E341" s="1857">
        <v>0.15</v>
      </c>
      <c r="F341" s="1858">
        <v>0.15</v>
      </c>
    </row>
    <row r="342" spans="1:6" ht="14.25" thickBot="1">
      <c r="A342" s="1852" t="s">
        <v>2224</v>
      </c>
      <c r="B342" s="1856" t="s">
        <v>2230</v>
      </c>
      <c r="C342" s="1857">
        <v>0.15</v>
      </c>
      <c r="D342" s="1857">
        <v>0.15</v>
      </c>
      <c r="E342" s="1857">
        <v>0.15</v>
      </c>
      <c r="F342" s="1858">
        <v>0.15</v>
      </c>
    </row>
    <row r="343" spans="1:6" ht="14.25" thickBot="1">
      <c r="A343" s="1852" t="s">
        <v>2224</v>
      </c>
      <c r="B343" s="1856" t="s">
        <v>2231</v>
      </c>
      <c r="C343" s="1857">
        <v>0.15</v>
      </c>
      <c r="D343" s="1857">
        <v>0.15</v>
      </c>
      <c r="E343" s="1857">
        <v>0.15</v>
      </c>
      <c r="F343" s="1858">
        <v>0.15</v>
      </c>
    </row>
    <row r="344" spans="1:6" ht="14.25" thickBot="1">
      <c r="A344" s="1860" t="s">
        <v>2224</v>
      </c>
      <c r="B344" s="1867" t="s">
        <v>2232</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2947</v>
      </c>
      <c r="B1" s="3100"/>
      <c r="C1" s="3100"/>
      <c r="D1" s="3100"/>
      <c r="E1" s="3100"/>
      <c r="F1" s="3100"/>
    </row>
    <row r="2" spans="1:6" ht="14.25">
      <c r="A2" s="3101" t="s">
        <v>2942</v>
      </c>
      <c r="B2" s="3102">
        <f ca="1">SUMIF(B7:B14,"&lt;&gt;#ref!",B7:B14)</f>
        <v>349408</v>
      </c>
      <c r="C2" s="3101" t="s">
        <v>2943</v>
      </c>
      <c r="D2" s="3100"/>
      <c r="E2" s="3100"/>
      <c r="F2" s="3100"/>
    </row>
    <row r="3" spans="1:6" ht="14.25">
      <c r="A3" s="3101" t="s">
        <v>2975</v>
      </c>
      <c r="B3" s="3102">
        <f ca="1">ROUND(B2*10000/E3,0)</f>
        <v>8053</v>
      </c>
      <c r="C3" s="3101" t="s">
        <v>2073</v>
      </c>
      <c r="D3" s="3101" t="s">
        <v>2944</v>
      </c>
      <c r="E3" s="3102">
        <f ca="1">SUMIF(E7:E14,"&lt;&gt;#ref!",E7:E14)</f>
        <v>433886</v>
      </c>
      <c r="F3" s="3100"/>
    </row>
    <row r="4" spans="1:6" ht="14.25">
      <c r="A4" s="3101" t="s">
        <v>2950</v>
      </c>
      <c r="B4" s="3102">
        <f ca="1">ROUND(B2*10000/E4,0)</f>
        <v>31233</v>
      </c>
      <c r="C4" s="3101" t="s">
        <v>2073</v>
      </c>
      <c r="D4" s="3101" t="s">
        <v>2951</v>
      </c>
      <c r="E4" s="3102">
        <f ca="1">SUMIF(F7:F14,"&lt;&gt;#ref!",F7:F14)</f>
        <v>111871.42</v>
      </c>
      <c r="F4" s="3100"/>
    </row>
    <row r="5" spans="1:6" ht="14.25">
      <c r="A5" s="3103"/>
      <c r="B5" s="1878"/>
      <c r="C5" s="1878"/>
      <c r="D5" s="1878"/>
      <c r="E5" s="1878"/>
      <c r="F5" s="3100"/>
    </row>
    <row r="6" spans="1:6" ht="28.5">
      <c r="A6" s="3104" t="s">
        <v>2948</v>
      </c>
      <c r="B6" s="3101" t="s">
        <v>2945</v>
      </c>
      <c r="C6" s="3102"/>
      <c r="D6" s="1878"/>
      <c r="E6" s="3101" t="s">
        <v>2946</v>
      </c>
      <c r="F6" s="3101" t="s">
        <v>2949</v>
      </c>
    </row>
    <row r="7" spans="1:6" ht="14.25">
      <c r="A7" s="259" t="s">
        <v>2986</v>
      </c>
      <c r="B7" s="3105">
        <f ca="1">SUMIF(INDIRECT("'"&amp;A7&amp;"'"&amp;"!A:A"),"总价",INDIRECT("'"&amp;A7&amp;"'"&amp;"!B:B"))</f>
        <v>349408</v>
      </c>
      <c r="C7" s="3101" t="s">
        <v>2943</v>
      </c>
      <c r="D7" s="1878"/>
      <c r="E7" s="3106">
        <f ca="1">SUMIF(INDIRECT("'"&amp;A7&amp;"'"&amp;"!C:C"),"建筑面积",INDIRECT("'"&amp;A7&amp;"'"&amp;"!D:D"))</f>
        <v>433886</v>
      </c>
      <c r="F7" s="3106">
        <f ca="1">SUMIF(INDIRECT("'"&amp;A7&amp;"'"&amp;"!E:E"),"土地面积",INDIRECT("'"&amp;A7&amp;"'"&amp;"!F:F"))</f>
        <v>111871.42</v>
      </c>
    </row>
    <row r="8" spans="1:6" ht="14.25">
      <c r="A8" s="259"/>
      <c r="B8" s="3105" t="e">
        <f t="shared" ref="B8:B14" ca="1" si="0">SUMIF(INDIRECT("'"&amp;A8&amp;"'"&amp;"!A:A"),"总价",INDIRECT("'"&amp;A8&amp;"'"&amp;"!B:B"))</f>
        <v>#REF!</v>
      </c>
      <c r="C8" s="3101" t="s">
        <v>2943</v>
      </c>
      <c r="D8" s="1878"/>
      <c r="E8" s="3106" t="e">
        <f t="shared" ref="E8:E14" ca="1" si="1">SUMIF(INDIRECT("'"&amp;A8&amp;"'"&amp;"!C:C"),"建筑面积",INDIRECT("'"&amp;A8&amp;"'"&amp;"!D:D"))</f>
        <v>#REF!</v>
      </c>
      <c r="F8" s="3106" t="e">
        <f t="shared" ref="F8:F14" ca="1" si="2">SUMIF(INDIRECT("'"&amp;A8&amp;"'"&amp;"!E:E"),"土地面积",INDIRECT("'"&amp;A8&amp;"'"&amp;"!F:F"))</f>
        <v>#REF!</v>
      </c>
    </row>
    <row r="9" spans="1:6" ht="14.25">
      <c r="A9" s="259"/>
      <c r="B9" s="3105" t="e">
        <f t="shared" ca="1" si="0"/>
        <v>#REF!</v>
      </c>
      <c r="C9" s="3101" t="s">
        <v>2943</v>
      </c>
      <c r="D9" s="1878"/>
      <c r="E9" s="3106" t="e">
        <f t="shared" ca="1" si="1"/>
        <v>#REF!</v>
      </c>
      <c r="F9" s="3106" t="e">
        <f t="shared" ca="1" si="2"/>
        <v>#REF!</v>
      </c>
    </row>
    <row r="10" spans="1:6" ht="14.25">
      <c r="A10" s="259"/>
      <c r="B10" s="3105" t="e">
        <f t="shared" ca="1" si="0"/>
        <v>#REF!</v>
      </c>
      <c r="C10" s="3101" t="s">
        <v>2943</v>
      </c>
      <c r="D10" s="1878"/>
      <c r="E10" s="3106" t="e">
        <f t="shared" ca="1" si="1"/>
        <v>#REF!</v>
      </c>
      <c r="F10" s="3106" t="e">
        <f t="shared" ca="1" si="2"/>
        <v>#REF!</v>
      </c>
    </row>
    <row r="11" spans="1:6" ht="14.25">
      <c r="A11" s="259"/>
      <c r="B11" s="3105" t="e">
        <f t="shared" ca="1" si="0"/>
        <v>#REF!</v>
      </c>
      <c r="C11" s="3101" t="s">
        <v>2943</v>
      </c>
      <c r="D11" s="1878"/>
      <c r="E11" s="3106" t="e">
        <f t="shared" ca="1" si="1"/>
        <v>#REF!</v>
      </c>
      <c r="F11" s="3106" t="e">
        <f t="shared" ca="1" si="2"/>
        <v>#REF!</v>
      </c>
    </row>
    <row r="12" spans="1:6" ht="14.25">
      <c r="A12" s="259"/>
      <c r="B12" s="3105" t="e">
        <f t="shared" ca="1" si="0"/>
        <v>#REF!</v>
      </c>
      <c r="C12" s="3101" t="s">
        <v>2943</v>
      </c>
      <c r="D12" s="1878"/>
      <c r="E12" s="3106" t="e">
        <f t="shared" ca="1" si="1"/>
        <v>#REF!</v>
      </c>
      <c r="F12" s="3106" t="e">
        <f t="shared" ca="1" si="2"/>
        <v>#REF!</v>
      </c>
    </row>
    <row r="13" spans="1:6" ht="14.25">
      <c r="A13" s="259"/>
      <c r="B13" s="3105" t="e">
        <f t="shared" ca="1" si="0"/>
        <v>#REF!</v>
      </c>
      <c r="C13" s="3101" t="s">
        <v>2943</v>
      </c>
      <c r="D13" s="1878"/>
      <c r="E13" s="3106" t="e">
        <f t="shared" ca="1" si="1"/>
        <v>#REF!</v>
      </c>
      <c r="F13" s="3106" t="e">
        <f t="shared" ca="1" si="2"/>
        <v>#REF!</v>
      </c>
    </row>
    <row r="14" spans="1:6" ht="14.25">
      <c r="A14" s="3099"/>
      <c r="B14" s="3105" t="e">
        <f t="shared" ca="1" si="0"/>
        <v>#REF!</v>
      </c>
      <c r="C14" s="3101" t="s">
        <v>2943</v>
      </c>
      <c r="D14" s="1878"/>
      <c r="E14" s="3106" t="e">
        <f t="shared" ca="1" si="1"/>
        <v>#REF!</v>
      </c>
      <c r="F14" s="310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8" t="s">
        <v>622</v>
      </c>
      <c r="B1" s="734"/>
      <c r="C1" s="769"/>
      <c r="D1" s="2047"/>
      <c r="E1" s="2384" t="s">
        <v>864</v>
      </c>
      <c r="F1" s="2385">
        <f ca="1">J54</f>
        <v>-3</v>
      </c>
      <c r="G1" s="770">
        <f>MATCH(C1,'数据-取费表'!A6:A16,0)+5</f>
        <v>12</v>
      </c>
      <c r="H1" s="1346"/>
      <c r="I1" s="2048"/>
      <c r="J1" s="2048"/>
      <c r="K1" s="2049"/>
      <c r="L1" s="2048"/>
      <c r="M1" s="2048"/>
      <c r="N1" s="2050"/>
      <c r="O1" s="2050"/>
      <c r="P1" s="2050"/>
      <c r="Q1" s="2050"/>
      <c r="R1" s="2050"/>
      <c r="S1" s="2050"/>
      <c r="T1" s="2050"/>
      <c r="U1" s="2050"/>
      <c r="V1" s="2050"/>
      <c r="W1" s="2050"/>
      <c r="X1" s="2050"/>
      <c r="Y1" s="2050"/>
    </row>
    <row r="2" spans="1:25" ht="18" customHeight="1">
      <c r="A2" s="1640" t="s">
        <v>623</v>
      </c>
      <c r="B2" s="771">
        <f ca="1">IF(ISERROR(C45+J31),0,C45+J31)</f>
        <v>0</v>
      </c>
      <c r="C2" s="1347"/>
      <c r="D2" s="2052"/>
      <c r="E2" s="2053"/>
      <c r="F2" s="2053"/>
      <c r="G2" s="1586"/>
      <c r="H2" s="1359"/>
      <c r="I2" s="2054"/>
      <c r="J2" s="2054"/>
      <c r="K2" s="2055"/>
      <c r="L2" s="2054"/>
      <c r="M2" s="2054"/>
    </row>
    <row r="3" spans="1:25" ht="18" customHeight="1">
      <c r="A3" s="1641" t="s">
        <v>1677</v>
      </c>
      <c r="B3" s="1387">
        <f ca="1">ROUND(B2*10000/'数据-汇总表'!E3,0)</f>
        <v>0</v>
      </c>
      <c r="C3" s="1347"/>
      <c r="D3" s="2052"/>
      <c r="E3" s="2053"/>
      <c r="F3" s="2053"/>
      <c r="G3" s="1586"/>
      <c r="H3" s="772" t="s">
        <v>689</v>
      </c>
      <c r="I3" s="2054"/>
      <c r="J3" s="2054"/>
      <c r="K3" s="2055"/>
      <c r="L3" s="2054"/>
      <c r="M3" s="2054"/>
    </row>
    <row r="4" spans="1:25" ht="18" customHeight="1">
      <c r="A4" s="1642" t="s">
        <v>690</v>
      </c>
      <c r="B4" s="1348">
        <f ca="1">ROUND(B2*10000/'数据-汇总表'!D3,0)</f>
        <v>0</v>
      </c>
      <c r="C4" s="424"/>
      <c r="D4" s="2052"/>
      <c r="E4" s="2053"/>
      <c r="F4" s="2053"/>
      <c r="G4" s="1586"/>
      <c r="H4" s="772"/>
      <c r="I4" s="2054"/>
      <c r="J4" s="2054"/>
      <c r="K4" s="2055"/>
      <c r="L4" s="2054"/>
      <c r="M4" s="2054"/>
    </row>
    <row r="5" spans="1:25" ht="18" customHeight="1" thickBot="1">
      <c r="A5" s="1643"/>
      <c r="B5" s="426">
        <f ca="1">ROUND(B2/('数据-汇总表'!D3/666.67),0)</f>
        <v>0</v>
      </c>
      <c r="C5" s="427" t="s">
        <v>463</v>
      </c>
      <c r="D5" s="2052"/>
      <c r="E5" s="2053"/>
      <c r="F5" s="2053"/>
      <c r="G5" s="1586"/>
      <c r="H5" s="772"/>
      <c r="I5" s="2054"/>
      <c r="J5" s="2054"/>
      <c r="K5" s="2055"/>
      <c r="L5" s="2054"/>
      <c r="M5" s="2054"/>
    </row>
    <row r="6" spans="1:25" ht="18" customHeight="1">
      <c r="A6" s="1825" t="s">
        <v>624</v>
      </c>
      <c r="B6" s="1817" t="s">
        <v>625</v>
      </c>
      <c r="C6" s="1817" t="s">
        <v>626</v>
      </c>
      <c r="D6" s="1817" t="s">
        <v>627</v>
      </c>
      <c r="E6" s="775" t="s">
        <v>628</v>
      </c>
      <c r="F6" s="776"/>
      <c r="G6" s="1588"/>
      <c r="H6" s="1825" t="s">
        <v>624</v>
      </c>
      <c r="I6" s="1817" t="s">
        <v>625</v>
      </c>
      <c r="J6" s="1817" t="s">
        <v>626</v>
      </c>
      <c r="K6" s="1817" t="s">
        <v>627</v>
      </c>
      <c r="L6" s="775" t="s">
        <v>628</v>
      </c>
      <c r="M6" s="776"/>
    </row>
    <row r="7" spans="1:25" ht="18" customHeight="1">
      <c r="A7" s="777">
        <v>1</v>
      </c>
      <c r="B7" s="778" t="s">
        <v>2453</v>
      </c>
      <c r="C7" s="53">
        <f ca="1">C8+C12+C14</f>
        <v>0</v>
      </c>
      <c r="D7" s="2493" t="s">
        <v>2456</v>
      </c>
      <c r="E7" s="2487"/>
      <c r="F7" s="2488"/>
      <c r="G7" s="1588"/>
      <c r="H7" s="777">
        <v>1</v>
      </c>
      <c r="I7" s="778" t="s">
        <v>2453</v>
      </c>
      <c r="J7" s="53">
        <f ca="1">J8+J12+J14</f>
        <v>0</v>
      </c>
      <c r="K7" s="2493" t="s">
        <v>2456</v>
      </c>
      <c r="L7" s="2487"/>
      <c r="M7" s="2488"/>
    </row>
    <row r="8" spans="1:25" ht="18" customHeight="1">
      <c r="A8" s="1827" t="s">
        <v>1817</v>
      </c>
      <c r="B8" s="3575" t="s">
        <v>2458</v>
      </c>
      <c r="C8" s="1822">
        <f ca="1">ROUND(F8*F10*F9*(1-F11)/10000,0)</f>
        <v>0</v>
      </c>
      <c r="D8" s="1819" t="s">
        <v>2529</v>
      </c>
      <c r="E8" s="61" t="s">
        <v>631</v>
      </c>
      <c r="F8" s="781">
        <f ca="1">INDIRECT("'数据-取费表'!u"&amp;$G$1)</f>
        <v>0</v>
      </c>
      <c r="G8" s="1588"/>
      <c r="H8" s="2501" t="s">
        <v>1817</v>
      </c>
      <c r="I8" s="3575" t="s">
        <v>2458</v>
      </c>
      <c r="J8" s="779">
        <f ca="1">ROUND(M8*M10*M9*(1-M11)/10000,0)</f>
        <v>0</v>
      </c>
      <c r="K8" s="337" t="s">
        <v>2529</v>
      </c>
      <c r="L8" s="780" t="s">
        <v>631</v>
      </c>
      <c r="M8" s="781">
        <f ca="1">INDIRECT("'数据-取费表'!z"&amp;$G$1)</f>
        <v>0</v>
      </c>
    </row>
    <row r="9" spans="1:25" ht="18" customHeight="1">
      <c r="A9" s="2497"/>
      <c r="B9" s="3576"/>
      <c r="C9" s="1823"/>
      <c r="D9" s="1820"/>
      <c r="E9" s="61" t="s">
        <v>632</v>
      </c>
      <c r="F9" s="781">
        <f ca="1">IF(INDIRECT("'数据-取费表'!ah"&amp;$G$1)="",INDIRECT("'数据-取费表'!k"&amp;$G$1),INDIRECT("'数据-取费表'!ah"&amp;$G$1))</f>
        <v>0</v>
      </c>
      <c r="G9" s="1588"/>
      <c r="H9" s="2486"/>
      <c r="I9" s="3576"/>
      <c r="J9" s="784"/>
      <c r="K9" s="785"/>
      <c r="L9" s="780" t="s">
        <v>632</v>
      </c>
      <c r="M9" s="781">
        <f ca="1">F9</f>
        <v>0</v>
      </c>
    </row>
    <row r="10" spans="1:25" ht="18" customHeight="1">
      <c r="A10" s="2490"/>
      <c r="B10" s="3577"/>
      <c r="C10" s="1823"/>
      <c r="D10" s="1820"/>
      <c r="E10" s="61" t="s">
        <v>633</v>
      </c>
      <c r="F10" s="781">
        <f ca="1">INDIRECT("'数据-取费表'!ai"&amp;$G$1)</f>
        <v>0</v>
      </c>
      <c r="G10" s="1588"/>
      <c r="H10" s="2486"/>
      <c r="I10" s="3577"/>
      <c r="J10" s="784"/>
      <c r="K10" s="785"/>
      <c r="L10" s="780" t="s">
        <v>633</v>
      </c>
      <c r="M10" s="781">
        <f ca="1">INDIRECT("'数据-取费表'!ai"&amp;$G$1)</f>
        <v>0</v>
      </c>
    </row>
    <row r="11" spans="1:25" ht="18" customHeight="1">
      <c r="A11" s="782"/>
      <c r="B11" s="3578"/>
      <c r="C11" s="1823"/>
      <c r="D11" s="1820"/>
      <c r="E11" s="61" t="s">
        <v>634</v>
      </c>
      <c r="F11" s="790">
        <f ca="1">INDIRECT("'数据-取费表'!w"&amp;$G$1)</f>
        <v>0</v>
      </c>
      <c r="G11" s="1588"/>
      <c r="H11" s="2502"/>
      <c r="I11" s="3577"/>
      <c r="J11" s="784"/>
      <c r="K11" s="785"/>
      <c r="L11" s="791" t="s">
        <v>634</v>
      </c>
      <c r="M11" s="792">
        <f ca="1">INDIRECT("'数据-取费表'!ab"&amp;$G$1)</f>
        <v>0</v>
      </c>
    </row>
    <row r="12" spans="1:25" ht="18" customHeight="1">
      <c r="A12" s="1827" t="s">
        <v>1818</v>
      </c>
      <c r="B12" s="2491" t="s">
        <v>2454</v>
      </c>
      <c r="C12" s="795">
        <f ca="1">ROUND(IF(F12="押一",C8/12*F13,IF(F12="押二",C8/12*2*F13,IF(F12="押三",C8/12*3*F13,C13*F13))),0)</f>
        <v>0</v>
      </c>
      <c r="D12" s="2498" t="s">
        <v>2971</v>
      </c>
      <c r="E12" s="2495" t="s">
        <v>2459</v>
      </c>
      <c r="F12" s="2618"/>
      <c r="G12" s="1588"/>
      <c r="H12" s="2558" t="s">
        <v>1818</v>
      </c>
      <c r="I12" s="2563" t="s">
        <v>2454</v>
      </c>
      <c r="J12" s="779">
        <f ca="1">ROUND(IF(M12="押一",J8/12*M13,IF(M12="押二",J8/12*2*M13,IF(M12="押三",J8/12*3*M13,J13*M13))),0)</f>
        <v>0</v>
      </c>
      <c r="K12" s="2498" t="s">
        <v>2971</v>
      </c>
      <c r="L12" s="2495" t="s">
        <v>2459</v>
      </c>
      <c r="M12" s="2618"/>
    </row>
    <row r="13" spans="1:25" ht="18" customHeight="1">
      <c r="A13" s="786"/>
      <c r="B13" s="2492" t="s">
        <v>2568</v>
      </c>
      <c r="C13" s="2496"/>
      <c r="D13" s="785"/>
      <c r="E13" s="2495" t="s">
        <v>2451</v>
      </c>
      <c r="F13" s="792">
        <f ca="1">'数据-取费表'!B39</f>
        <v>1.4999999999999999E-2</v>
      </c>
      <c r="G13" s="1588"/>
      <c r="H13" s="2559"/>
      <c r="I13" s="2492" t="s">
        <v>2568</v>
      </c>
      <c r="J13" s="2496"/>
      <c r="K13" s="2560"/>
      <c r="L13" s="2495" t="s">
        <v>2451</v>
      </c>
      <c r="M13" s="2489">
        <f ca="1">'数据-取费表'!B39</f>
        <v>1.4999999999999999E-2</v>
      </c>
    </row>
    <row r="14" spans="1:25" ht="18" customHeight="1" thickBot="1">
      <c r="A14" s="2534" t="s">
        <v>2462</v>
      </c>
      <c r="B14" s="2535" t="s">
        <v>2455</v>
      </c>
      <c r="C14" s="2536"/>
      <c r="D14" s="2537"/>
      <c r="E14" s="2538"/>
      <c r="F14" s="2539"/>
      <c r="G14" s="1588"/>
      <c r="H14" s="2548" t="s">
        <v>2462</v>
      </c>
      <c r="I14" s="2561" t="s">
        <v>2455</v>
      </c>
      <c r="J14" s="2562"/>
      <c r="K14" s="2537"/>
      <c r="L14" s="2538"/>
      <c r="M14" s="2551"/>
    </row>
    <row r="15" spans="1:25" ht="18" customHeight="1" thickTop="1">
      <c r="A15" s="1826" t="s">
        <v>1867</v>
      </c>
      <c r="B15" s="1824" t="s">
        <v>635</v>
      </c>
      <c r="C15" s="788">
        <f ca="1">ROUND(C31*F15,0)</f>
        <v>0</v>
      </c>
      <c r="D15" s="1831" t="s">
        <v>636</v>
      </c>
      <c r="E15" s="791" t="s">
        <v>637</v>
      </c>
      <c r="F15" s="796">
        <f ca="1">INDIRECT("'数据-取费表'!y"&amp;$G$1)</f>
        <v>0</v>
      </c>
      <c r="G15" s="1588"/>
      <c r="H15" s="1826" t="s">
        <v>1819</v>
      </c>
      <c r="I15" s="1824" t="s">
        <v>638</v>
      </c>
      <c r="J15" s="1816">
        <f ca="1">ROUND(J16*J17,0)</f>
        <v>0</v>
      </c>
      <c r="K15" s="1818" t="s">
        <v>636</v>
      </c>
      <c r="L15" s="797"/>
      <c r="M15" s="798"/>
    </row>
    <row r="16" spans="1:25" ht="18" customHeight="1">
      <c r="A16" s="799" t="s">
        <v>1868</v>
      </c>
      <c r="B16" s="780" t="s">
        <v>639</v>
      </c>
      <c r="C16" s="800">
        <f ca="1">INDIRECT("'数据-取费表'!m"&amp;$G$1)+INDIRECT("'数据-取费表'!t"&amp;$G$1)</f>
        <v>0</v>
      </c>
      <c r="D16" s="3176" t="s">
        <v>640</v>
      </c>
      <c r="E16" s="3175"/>
      <c r="F16" s="801"/>
      <c r="G16" s="1588"/>
      <c r="H16" s="799" t="s">
        <v>1817</v>
      </c>
      <c r="I16" s="2228" t="s">
        <v>2820</v>
      </c>
      <c r="J16" s="53">
        <f ca="1">C31</f>
        <v>0</v>
      </c>
      <c r="K16" s="26"/>
      <c r="L16" s="797"/>
      <c r="M16" s="798"/>
    </row>
    <row r="17" spans="1:25" s="2061" customFormat="1" ht="18" customHeight="1">
      <c r="A17" s="799" t="s">
        <v>1842</v>
      </c>
      <c r="B17" s="780" t="s">
        <v>641</v>
      </c>
      <c r="C17" s="53">
        <f ca="1">ROUND(C16*F17,0)</f>
        <v>0</v>
      </c>
      <c r="D17" s="802" t="s">
        <v>642</v>
      </c>
      <c r="E17" s="802" t="s">
        <v>643</v>
      </c>
      <c r="F17" s="803">
        <f>'数据-取费表'!B33</f>
        <v>0.03</v>
      </c>
      <c r="G17" s="1589"/>
      <c r="H17" s="799" t="s">
        <v>1818</v>
      </c>
      <c r="I17" s="780" t="s">
        <v>637</v>
      </c>
      <c r="J17" s="804">
        <f ca="1">INDIRECT("'数据-取费表'!ad"&amp;$G$1)</f>
        <v>0</v>
      </c>
      <c r="K17" s="26"/>
      <c r="L17" s="797"/>
      <c r="M17" s="798"/>
      <c r="N17" s="2060"/>
      <c r="O17" s="2060"/>
      <c r="P17" s="2060"/>
      <c r="Q17" s="2060"/>
      <c r="R17" s="2060"/>
      <c r="S17" s="2060"/>
      <c r="T17" s="2060"/>
      <c r="U17" s="2060"/>
      <c r="V17" s="2060"/>
      <c r="W17" s="2060"/>
      <c r="X17" s="2060"/>
      <c r="Y17" s="2060"/>
    </row>
    <row r="18" spans="1:25" ht="18" customHeight="1">
      <c r="A18" s="799" t="s">
        <v>1843</v>
      </c>
      <c r="B18" s="780" t="s">
        <v>644</v>
      </c>
      <c r="C18" s="53">
        <f ca="1">ROUND(INDIRECT("'数据-取费表'!m"&amp;$G$1)*F18,0)</f>
        <v>0</v>
      </c>
      <c r="D18" s="780" t="s">
        <v>642</v>
      </c>
      <c r="E18" s="780" t="s">
        <v>643</v>
      </c>
      <c r="F18" s="805">
        <f ca="1">IF(INDIRECT("'数据-取费表'!c"&amp;$G$1)="住宅",'数据-取费表'!B34,0)</f>
        <v>0</v>
      </c>
      <c r="G18" s="1588"/>
      <c r="H18" s="793" t="s">
        <v>1820</v>
      </c>
      <c r="I18" s="794" t="s">
        <v>645</v>
      </c>
      <c r="J18" s="795">
        <f ca="1">ROUND(J19+J24+J25+J26,0)</f>
        <v>0</v>
      </c>
      <c r="K18" s="26" t="s">
        <v>646</v>
      </c>
      <c r="L18" s="3184"/>
      <c r="M18" s="56"/>
    </row>
    <row r="19" spans="1:25" s="2061" customFormat="1" ht="18" customHeight="1">
      <c r="A19" s="799" t="s">
        <v>1844</v>
      </c>
      <c r="B19" s="780" t="s">
        <v>647</v>
      </c>
      <c r="C19" s="53">
        <f ca="1">ROUND(F19*(INDIRECT("'数据-取费表'!k"&amp;$G$1)+INDIRECT("'数据-取费表'!S"&amp;$G$1))/10000,0)</f>
        <v>0</v>
      </c>
      <c r="D19" s="780" t="s">
        <v>648</v>
      </c>
      <c r="E19" s="780" t="s">
        <v>649</v>
      </c>
      <c r="F19" s="56">
        <f>'数据-取费表'!B35</f>
        <v>200</v>
      </c>
      <c r="G19" s="1589"/>
      <c r="H19" s="799" t="s">
        <v>1817</v>
      </c>
      <c r="I19" s="780" t="s">
        <v>650</v>
      </c>
      <c r="J19" s="53">
        <f ca="1">ROUND(IF(项目基本情况!B11="自然人",J7*M19,J20+J21+J22),0)</f>
        <v>0</v>
      </c>
      <c r="K19" s="3176" t="s">
        <v>651</v>
      </c>
      <c r="L19" s="3177" t="s">
        <v>652</v>
      </c>
      <c r="M19" s="806">
        <f ca="1">IF(项目基本情况!B11="企业","",IF(INDIRECT("'数据-取费表'!c"&amp;$G$1)="住宅",5%,IF(M8*M9*M10/12/(1+'数据-取费表'!C42)&gt;20000,12%,7%)))</f>
        <v>7.0000000000000007E-2</v>
      </c>
      <c r="N19" s="2060"/>
      <c r="O19" s="2060"/>
      <c r="P19" s="2060"/>
      <c r="Q19" s="2060"/>
      <c r="R19" s="2060"/>
      <c r="S19" s="2060"/>
      <c r="T19" s="2060"/>
      <c r="U19" s="2060"/>
      <c r="V19" s="2060"/>
      <c r="W19" s="2060"/>
      <c r="X19" s="2060"/>
      <c r="Y19" s="2060"/>
    </row>
    <row r="20" spans="1:25" s="2061" customFormat="1" ht="18" customHeight="1">
      <c r="A20" s="799" t="s">
        <v>1845</v>
      </c>
      <c r="B20" s="780" t="s">
        <v>653</v>
      </c>
      <c r="C20" s="53">
        <f ca="1">ROUND(C16*F20,0)</f>
        <v>0</v>
      </c>
      <c r="D20" s="780" t="s">
        <v>642</v>
      </c>
      <c r="E20" s="780" t="s">
        <v>643</v>
      </c>
      <c r="F20" s="805">
        <f>'数据-取费表'!B36</f>
        <v>1.4999999999999999E-2</v>
      </c>
      <c r="G20" s="1589"/>
      <c r="H20" s="799" t="s">
        <v>1824</v>
      </c>
      <c r="I20" s="780" t="s">
        <v>654</v>
      </c>
      <c r="J20" s="53">
        <f ca="1">ROUND(J7*M20/1.05,1)</f>
        <v>0</v>
      </c>
      <c r="K20" s="3177" t="s">
        <v>655</v>
      </c>
      <c r="L20" s="780" t="s">
        <v>643</v>
      </c>
      <c r="M20" s="805">
        <f>'数据-取费表'!B41</f>
        <v>5.6000000000000001E-2</v>
      </c>
      <c r="N20" s="2060"/>
      <c r="O20" s="2060"/>
      <c r="P20" s="2060"/>
      <c r="Q20" s="2060"/>
      <c r="R20" s="2060"/>
      <c r="S20" s="2060"/>
      <c r="T20" s="2060"/>
      <c r="U20" s="2060"/>
      <c r="V20" s="2060"/>
      <c r="W20" s="2060"/>
      <c r="X20" s="2060"/>
      <c r="Y20" s="2060"/>
    </row>
    <row r="21" spans="1:25" ht="18" customHeight="1">
      <c r="A21" s="799" t="s">
        <v>1817</v>
      </c>
      <c r="B21" s="780" t="s">
        <v>656</v>
      </c>
      <c r="C21" s="53">
        <f ca="1">SUM(C16:C20)</f>
        <v>0</v>
      </c>
      <c r="D21" s="260" t="s">
        <v>657</v>
      </c>
      <c r="E21" s="3184"/>
      <c r="F21" s="56"/>
      <c r="G21" s="1588"/>
      <c r="H21" s="1827" t="s">
        <v>1842</v>
      </c>
      <c r="I21" s="780" t="s">
        <v>658</v>
      </c>
      <c r="J21" s="53">
        <f ca="1">IF(K21="按租金收入计税",ROUND(J7*M21,1),ROUND(C31*F35*0.7,1))</f>
        <v>0</v>
      </c>
      <c r="K21" s="807" t="s">
        <v>659</v>
      </c>
      <c r="L21" s="780" t="s">
        <v>643</v>
      </c>
      <c r="M21" s="805">
        <f>IF(K21="按租金收入计税",'数据-取费表'!B51,'数据-取费表'!B50)</f>
        <v>1.2E-2</v>
      </c>
    </row>
    <row r="22" spans="1:25" s="2061" customFormat="1" ht="18" customHeight="1">
      <c r="A22" s="799" t="s">
        <v>1870</v>
      </c>
      <c r="B22" s="780" t="s">
        <v>660</v>
      </c>
      <c r="C22" s="53">
        <f ca="1">ROUND(C21*F22,0)</f>
        <v>0</v>
      </c>
      <c r="D22" s="808" t="s">
        <v>661</v>
      </c>
      <c r="E22" s="780" t="s">
        <v>643</v>
      </c>
      <c r="F22" s="805">
        <f>'数据-取费表'!B37</f>
        <v>0.03</v>
      </c>
      <c r="G22" s="1589"/>
      <c r="H22" s="1829" t="s">
        <v>1843</v>
      </c>
      <c r="I22" s="1819" t="s">
        <v>662</v>
      </c>
      <c r="J22" s="54">
        <f ca="1">ROUND(M22*M23/10000,0)</f>
        <v>0</v>
      </c>
      <c r="K22" s="810" t="s">
        <v>663</v>
      </c>
      <c r="L22" s="780" t="s">
        <v>664</v>
      </c>
      <c r="M22" s="636">
        <f>'数据-取费表'!B52</f>
        <v>1.5</v>
      </c>
      <c r="N22" s="2060"/>
      <c r="O22" s="2060"/>
      <c r="P22" s="2060"/>
      <c r="Q22" s="2060"/>
      <c r="R22" s="2060"/>
      <c r="S22" s="2060"/>
      <c r="T22" s="2060"/>
      <c r="U22" s="2060"/>
      <c r="V22" s="2060"/>
      <c r="W22" s="2060"/>
      <c r="X22" s="2060"/>
      <c r="Y22" s="2060"/>
    </row>
    <row r="23" spans="1:25" s="2061" customFormat="1" ht="18" customHeight="1">
      <c r="A23" s="799" t="s">
        <v>1871</v>
      </c>
      <c r="B23" s="780" t="s">
        <v>665</v>
      </c>
      <c r="C23" s="53" t="s">
        <v>1</v>
      </c>
      <c r="D23" s="808" t="s">
        <v>666</v>
      </c>
      <c r="E23" s="780" t="s">
        <v>667</v>
      </c>
      <c r="F23" s="805">
        <f>'数据-取费表'!B38</f>
        <v>0.03</v>
      </c>
      <c r="G23" s="1589"/>
      <c r="H23" s="1830"/>
      <c r="I23" s="1821"/>
      <c r="J23" s="69"/>
      <c r="K23" s="812"/>
      <c r="L23" s="780" t="s">
        <v>668</v>
      </c>
      <c r="M23" s="781">
        <f ca="1">INDIRECT("'数据-取费表'!r"&amp;$G$1)</f>
        <v>0</v>
      </c>
      <c r="N23" s="2060"/>
      <c r="O23" s="2060"/>
      <c r="P23" s="2060"/>
      <c r="Q23" s="2060"/>
      <c r="R23" s="2060"/>
      <c r="S23" s="2060"/>
      <c r="T23" s="2060"/>
      <c r="U23" s="2060"/>
      <c r="V23" s="2060"/>
      <c r="W23" s="2060"/>
      <c r="X23" s="2060"/>
      <c r="Y23" s="2060"/>
    </row>
    <row r="24" spans="1:25" ht="18" customHeight="1">
      <c r="A24" s="799" t="s">
        <v>1872</v>
      </c>
      <c r="B24" s="780" t="s">
        <v>669</v>
      </c>
      <c r="C24" s="53"/>
      <c r="D24" s="2569" t="str">
        <f>IF(F25&lt;=1,"单利计息。","复利计息。")&amp;"建造成本、管理费用、销售费用产生的利息。"</f>
        <v>复利计息。建造成本、管理费用、销售费用产生的利息。</v>
      </c>
      <c r="E24" s="3184"/>
      <c r="F24" s="56"/>
      <c r="G24" s="1588"/>
      <c r="H24" s="1828" t="s">
        <v>1818</v>
      </c>
      <c r="I24" s="780" t="s">
        <v>670</v>
      </c>
      <c r="J24" s="53">
        <f ca="1">ROUND(J16*M24,0)</f>
        <v>0</v>
      </c>
      <c r="K24" s="3177" t="s">
        <v>671</v>
      </c>
      <c r="L24" s="780" t="s">
        <v>643</v>
      </c>
      <c r="M24" s="813">
        <f ca="1">INDIRECT("'数据-取费表'!Ak"&amp;$G$1)</f>
        <v>0</v>
      </c>
    </row>
    <row r="25" spans="1:25" s="2061" customFormat="1" ht="18" customHeight="1">
      <c r="A25" s="799" t="s">
        <v>1868</v>
      </c>
      <c r="B25" s="780" t="s">
        <v>2432</v>
      </c>
      <c r="C25" s="53">
        <f ca="1">ROUND(IF('数据-取费表'!B22&lt;=1,(C21+C22)*F26*F25/2,(C21+C22)*(POWER((1+F26),F25/2)-1)),0)</f>
        <v>0</v>
      </c>
      <c r="D25" s="2568" t="str">
        <f>IF(F25&lt;=1,"(建造成本+管理费用)×利率×(建设周期÷2)","(建造成本+管理费用)×((1+利率)^(建设周期÷2)-1)")</f>
        <v>(建造成本+管理费用)×((1+利率)^(建设周期÷2)-1)</v>
      </c>
      <c r="E25" s="780" t="s">
        <v>672</v>
      </c>
      <c r="F25" s="636">
        <f>'数据-取费表'!B20</f>
        <v>3</v>
      </c>
      <c r="G25" s="1589"/>
      <c r="H25" s="799" t="s">
        <v>1871</v>
      </c>
      <c r="I25" s="780" t="s">
        <v>673</v>
      </c>
      <c r="J25" s="53">
        <f ca="1">ROUND(J15*M25,0)</f>
        <v>0</v>
      </c>
      <c r="K25" s="3177" t="s">
        <v>674</v>
      </c>
      <c r="L25" s="780" t="s">
        <v>643</v>
      </c>
      <c r="M25" s="814">
        <f ca="1">INDIRECT("'数据-取费表'!Al"&amp;$G$1)</f>
        <v>0</v>
      </c>
      <c r="N25" s="2060"/>
      <c r="O25" s="2060"/>
      <c r="P25" s="2060"/>
      <c r="Q25" s="2060"/>
      <c r="R25" s="2060"/>
      <c r="S25" s="2060"/>
      <c r="T25" s="2060"/>
      <c r="U25" s="2060"/>
      <c r="V25" s="2060"/>
      <c r="W25" s="2060"/>
      <c r="X25" s="2060"/>
      <c r="Y25" s="2060"/>
    </row>
    <row r="26" spans="1:25" s="2061" customFormat="1" ht="18" customHeight="1">
      <c r="A26" s="799" t="s">
        <v>1842</v>
      </c>
      <c r="B26" s="780" t="s">
        <v>675</v>
      </c>
      <c r="C26" s="53">
        <f ca="1">ROUND(IF('数据-取费表'!B22&lt;=1,F23*F26*F25/2,F23*(POWER((1+F26),F25/2)-1)),4)</f>
        <v>2.2000000000000001E-3</v>
      </c>
      <c r="D26" s="2568" t="str">
        <f>IF(F25&lt;=1,"销售费用×利率×(建设周期÷2)","销售费用×((1+利率)^(建设周期÷2)-1)")</f>
        <v>销售费用×((1+利率)^(建设周期÷2)-1)</v>
      </c>
      <c r="E26" s="780" t="s">
        <v>676</v>
      </c>
      <c r="F26" s="815">
        <f ca="1">'数据-取费表'!B40</f>
        <v>4.7500000000000001E-2</v>
      </c>
      <c r="G26" s="1589"/>
      <c r="H26" s="799" t="s">
        <v>1872</v>
      </c>
      <c r="I26" s="780" t="s">
        <v>660</v>
      </c>
      <c r="J26" s="53">
        <f ca="1">ROUND(J7*M26,0)</f>
        <v>0</v>
      </c>
      <c r="K26" s="3177" t="s">
        <v>677</v>
      </c>
      <c r="L26" s="780" t="s">
        <v>643</v>
      </c>
      <c r="M26" s="790">
        <f ca="1">INDIRECT("'数据-取费表'!Am"&amp;$G$1)</f>
        <v>0</v>
      </c>
      <c r="N26" s="2060"/>
      <c r="O26" s="2060"/>
      <c r="P26" s="2060"/>
      <c r="Q26" s="2060"/>
      <c r="R26" s="2060"/>
      <c r="S26" s="2060"/>
      <c r="T26" s="2060"/>
      <c r="U26" s="2060"/>
      <c r="V26" s="2060"/>
      <c r="W26" s="2060"/>
      <c r="X26" s="2060"/>
      <c r="Y26" s="2060"/>
    </row>
    <row r="27" spans="1:25" ht="18" customHeight="1">
      <c r="A27" s="799" t="s">
        <v>1874</v>
      </c>
      <c r="B27" s="780" t="s">
        <v>678</v>
      </c>
      <c r="C27" s="53"/>
      <c r="D27" s="260" t="s">
        <v>679</v>
      </c>
      <c r="E27" s="3184"/>
      <c r="F27" s="56"/>
      <c r="G27" s="1588"/>
      <c r="H27" s="793" t="s">
        <v>1821</v>
      </c>
      <c r="I27" s="3008" t="s">
        <v>2817</v>
      </c>
      <c r="J27" s="795">
        <f ca="1">J7-J18</f>
        <v>0</v>
      </c>
      <c r="K27" s="3176" t="s">
        <v>694</v>
      </c>
      <c r="L27" s="3174"/>
      <c r="M27" s="816"/>
    </row>
    <row r="28" spans="1:25" ht="18" customHeight="1">
      <c r="A28" s="799" t="s">
        <v>1868</v>
      </c>
      <c r="B28" s="780" t="s">
        <v>2433</v>
      </c>
      <c r="C28" s="53">
        <f ca="1">ROUND((C21+C22)*F28,0)</f>
        <v>0</v>
      </c>
      <c r="D28" s="808" t="s">
        <v>695</v>
      </c>
      <c r="E28" s="791" t="s">
        <v>696</v>
      </c>
      <c r="F28" s="790">
        <f ca="1">INDIRECT("'数据-取费表'!q"&amp;$G$1)</f>
        <v>0</v>
      </c>
      <c r="G28" s="1588"/>
      <c r="H28" s="777" t="s">
        <v>1830</v>
      </c>
      <c r="I28" s="778" t="s">
        <v>697</v>
      </c>
      <c r="J28" s="779">
        <f ca="1">IF(J7&lt;&gt;0,ROUND(J27*(1-((1+M30)/(1+M28))^M29)/(M28-M30),0),0)</f>
        <v>0</v>
      </c>
      <c r="K28" s="810" t="s">
        <v>698</v>
      </c>
      <c r="L28" s="780" t="s">
        <v>699</v>
      </c>
      <c r="M28" s="790">
        <f ca="1">INDIRECT("'数据-取费表'!I"&amp;$G$1)</f>
        <v>0</v>
      </c>
    </row>
    <row r="29" spans="1:25" ht="18" customHeight="1">
      <c r="A29" s="799" t="s">
        <v>1842</v>
      </c>
      <c r="B29" s="780" t="s">
        <v>680</v>
      </c>
      <c r="C29" s="53">
        <f ca="1">ROUND(F23*F28,4)</f>
        <v>0</v>
      </c>
      <c r="D29" s="808" t="s">
        <v>700</v>
      </c>
      <c r="E29" s="802"/>
      <c r="F29" s="803"/>
      <c r="G29" s="1588"/>
      <c r="H29" s="782"/>
      <c r="I29" s="783"/>
      <c r="J29" s="784"/>
      <c r="K29" s="817" t="s">
        <v>701</v>
      </c>
      <c r="L29" s="780" t="s">
        <v>702</v>
      </c>
      <c r="M29" s="818">
        <f ca="1">INDIRECT("'数据-取费表'!ag"&amp;$G$1)</f>
        <v>0</v>
      </c>
    </row>
    <row r="30" spans="1:25" s="2061" customFormat="1" ht="18" customHeight="1">
      <c r="A30" s="799" t="s">
        <v>1875</v>
      </c>
      <c r="B30" s="780" t="s">
        <v>681</v>
      </c>
      <c r="C30" s="53">
        <f>ROUND(F30/(1+'数据-取费表'!C42),4)</f>
        <v>5.33E-2</v>
      </c>
      <c r="D30" s="808" t="s">
        <v>703</v>
      </c>
      <c r="E30" s="780" t="s">
        <v>643</v>
      </c>
      <c r="F30" s="805">
        <f>'数据-取费表'!B41</f>
        <v>5.6000000000000001E-2</v>
      </c>
      <c r="G30" s="1589"/>
      <c r="H30" s="786"/>
      <c r="I30" s="787"/>
      <c r="J30" s="788"/>
      <c r="K30" s="812"/>
      <c r="L30" s="780" t="s">
        <v>704</v>
      </c>
      <c r="M30" s="790">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1876</v>
      </c>
      <c r="B31" s="2538" t="s">
        <v>2818</v>
      </c>
      <c r="C31" s="2541">
        <f ca="1">ROUND((C21+C22+C25+C28)/(1-F23-C26-C29-C30),0)</f>
        <v>0</v>
      </c>
      <c r="D31" s="2542"/>
      <c r="E31" s="2543"/>
      <c r="F31" s="2544"/>
      <c r="G31" s="1589"/>
      <c r="H31" s="819" t="s">
        <v>1865</v>
      </c>
      <c r="I31" s="3009" t="s">
        <v>2819</v>
      </c>
      <c r="J31" s="821">
        <f ca="1">ROUND(J28/(1+F45)^F46,0)</f>
        <v>0</v>
      </c>
      <c r="K31" s="822" t="s">
        <v>682</v>
      </c>
      <c r="L31" s="823"/>
      <c r="M31" s="824">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683</v>
      </c>
      <c r="C32" s="788">
        <f ca="1">ROUND(C33+C38+C39+C40,0)</f>
        <v>0</v>
      </c>
      <c r="D32" s="1818" t="s">
        <v>646</v>
      </c>
      <c r="E32" s="3178"/>
      <c r="F32" s="2488"/>
      <c r="G32" s="2059"/>
      <c r="H32" s="2062"/>
      <c r="I32" s="2063"/>
      <c r="J32" s="2064"/>
      <c r="K32" s="2065"/>
      <c r="L32" s="2066"/>
      <c r="M32" s="2067"/>
    </row>
    <row r="33" spans="1:18" ht="18" customHeight="1">
      <c r="A33" s="799" t="s">
        <v>1817</v>
      </c>
      <c r="B33" s="780" t="s">
        <v>650</v>
      </c>
      <c r="C33" s="53">
        <f ca="1">ROUND(IF(项目基本情况!B11="自然人",C7*F33,C34+C35+C36),1)</f>
        <v>0</v>
      </c>
      <c r="D33" s="3176" t="s">
        <v>651</v>
      </c>
      <c r="E33" s="3177" t="s">
        <v>684</v>
      </c>
      <c r="F33" s="806">
        <f ca="1">IF(项目基本情况!B11="企业","",IF(INDIRECT("'数据-取费表'!c"&amp;$G$1)="住宅",5%,IF(F8*F9*F10/12/(1+'数据-取费表'!C42)&gt;20000,12%,7%)))</f>
        <v>7.0000000000000007E-2</v>
      </c>
      <c r="G33" s="2059"/>
      <c r="H33" s="2062"/>
      <c r="I33" s="2063"/>
      <c r="J33" s="2064"/>
      <c r="K33" s="2065"/>
      <c r="L33" s="2066"/>
      <c r="M33" s="2067"/>
    </row>
    <row r="34" spans="1:18" ht="18" customHeight="1">
      <c r="A34" s="799" t="s">
        <v>1868</v>
      </c>
      <c r="B34" s="780" t="s">
        <v>654</v>
      </c>
      <c r="C34" s="53">
        <f ca="1">ROUND(C7*F34/1.05,1)</f>
        <v>0</v>
      </c>
      <c r="D34" s="3177" t="s">
        <v>655</v>
      </c>
      <c r="E34" s="780" t="s">
        <v>643</v>
      </c>
      <c r="F34" s="805">
        <f>'数据-取费表'!B41</f>
        <v>5.6000000000000001E-2</v>
      </c>
      <c r="G34" s="2059"/>
      <c r="H34" s="2068"/>
      <c r="I34" s="2069"/>
      <c r="J34" s="2070"/>
      <c r="K34" s="2071"/>
      <c r="L34" s="2072"/>
      <c r="M34" s="2073"/>
    </row>
    <row r="35" spans="1:18" ht="18" customHeight="1">
      <c r="A35" s="799" t="s">
        <v>1842</v>
      </c>
      <c r="B35" s="780" t="s">
        <v>658</v>
      </c>
      <c r="C35" s="53">
        <f ca="1">IF(D35="按租金收入计税",ROUND(C7*F35,1),IF(D35="按房产原值计税",ROUND(C31*F35*0.7,1),INDIRECT("'数据-取费表'!Aj"&amp;$G$1)))</f>
        <v>0</v>
      </c>
      <c r="D35" s="807" t="s">
        <v>1675</v>
      </c>
      <c r="E35" s="780" t="s">
        <v>643</v>
      </c>
      <c r="F35" s="805">
        <f>IF(D35="按租金收入计税",'数据-取费表'!B51,'数据-取费表'!B50)</f>
        <v>1.2E-2</v>
      </c>
      <c r="G35" s="2059"/>
      <c r="H35" s="2074"/>
      <c r="I35" s="2074"/>
      <c r="J35" s="2074"/>
      <c r="K35" s="2075"/>
      <c r="L35" s="2074"/>
      <c r="M35" s="2074"/>
    </row>
    <row r="36" spans="1:18" ht="18" customHeight="1">
      <c r="A36" s="809" t="s">
        <v>1826</v>
      </c>
      <c r="B36" s="337" t="s">
        <v>662</v>
      </c>
      <c r="C36" s="54">
        <f ca="1">ROUND(F36*F37/10000,1)</f>
        <v>0</v>
      </c>
      <c r="D36" s="810" t="s">
        <v>663</v>
      </c>
      <c r="E36" s="780" t="s">
        <v>664</v>
      </c>
      <c r="F36" s="636">
        <f>'数据-取费表'!B52</f>
        <v>1.5</v>
      </c>
      <c r="G36" s="2059"/>
      <c r="H36" s="2062"/>
      <c r="I36" s="3581"/>
      <c r="J36" s="2076"/>
      <c r="K36" s="2077"/>
      <c r="L36" s="2076"/>
      <c r="M36" s="2076"/>
    </row>
    <row r="37" spans="1:18" ht="18" customHeight="1">
      <c r="A37" s="811"/>
      <c r="B37" s="789"/>
      <c r="C37" s="69"/>
      <c r="D37" s="812"/>
      <c r="E37" s="780" t="s">
        <v>668</v>
      </c>
      <c r="F37" s="781">
        <f ca="1">INDIRECT("'数据-取费表'!r"&amp;$G$1)</f>
        <v>0</v>
      </c>
      <c r="G37" s="2059"/>
      <c r="H37" s="2062"/>
      <c r="I37" s="3581"/>
      <c r="J37" s="2074"/>
      <c r="K37" s="2075"/>
      <c r="L37" s="2074"/>
      <c r="M37" s="2074"/>
    </row>
    <row r="38" spans="1:18" ht="18" customHeight="1">
      <c r="A38" s="799" t="s">
        <v>1870</v>
      </c>
      <c r="B38" s="780" t="s">
        <v>670</v>
      </c>
      <c r="C38" s="53">
        <f ca="1">ROUND(C31*F38,1)</f>
        <v>0</v>
      </c>
      <c r="D38" s="3177" t="s">
        <v>685</v>
      </c>
      <c r="E38" s="780" t="s">
        <v>643</v>
      </c>
      <c r="F38" s="813">
        <f ca="1">INDIRECT("'数据-取费表'!Ak"&amp;$G$1)</f>
        <v>0</v>
      </c>
      <c r="G38" s="2059"/>
      <c r="H38" s="2074"/>
      <c r="I38" s="3183"/>
      <c r="J38" s="1985"/>
      <c r="K38" s="2079"/>
      <c r="L38" s="2074"/>
      <c r="M38" s="2074"/>
    </row>
    <row r="39" spans="1:18" ht="18" customHeight="1">
      <c r="A39" s="799" t="s">
        <v>1871</v>
      </c>
      <c r="B39" s="780" t="s">
        <v>673</v>
      </c>
      <c r="C39" s="53">
        <f ca="1">ROUND(C15*F39,1)</f>
        <v>0</v>
      </c>
      <c r="D39" s="3177" t="s">
        <v>674</v>
      </c>
      <c r="E39" s="780" t="s">
        <v>643</v>
      </c>
      <c r="F39" s="814">
        <f ca="1">INDIRECT("'数据-取费表'!Al"&amp;$G$1)</f>
        <v>0</v>
      </c>
      <c r="G39" s="2059"/>
      <c r="H39" s="2074"/>
      <c r="I39" s="3183"/>
      <c r="J39" s="1985"/>
      <c r="K39" s="2079"/>
      <c r="L39" s="2074"/>
      <c r="M39" s="2074"/>
    </row>
    <row r="40" spans="1:18" ht="18" customHeight="1" thickBot="1">
      <c r="A40" s="2557" t="s">
        <v>1872</v>
      </c>
      <c r="B40" s="2543" t="s">
        <v>660</v>
      </c>
      <c r="C40" s="2541">
        <f ca="1">ROUND(C7*F40,1)</f>
        <v>0</v>
      </c>
      <c r="D40" s="2542" t="s">
        <v>677</v>
      </c>
      <c r="E40" s="2543" t="s">
        <v>643</v>
      </c>
      <c r="F40" s="2539">
        <f ca="1">INDIRECT("'数据-取费表'!Am"&amp;$G$1)</f>
        <v>0</v>
      </c>
      <c r="G40" s="2059"/>
      <c r="H40" s="2074"/>
      <c r="I40" s="3183"/>
      <c r="J40" s="1985"/>
      <c r="K40" s="2080"/>
      <c r="L40" s="2074"/>
      <c r="M40" s="2074"/>
    </row>
    <row r="41" spans="1:18" ht="18" customHeight="1" thickTop="1">
      <c r="A41" s="1826">
        <v>4</v>
      </c>
      <c r="B41" s="1824" t="s">
        <v>686</v>
      </c>
      <c r="C41" s="1349"/>
      <c r="D41" s="1350"/>
      <c r="E41" s="1350"/>
      <c r="F41" s="1351"/>
      <c r="G41" s="2059"/>
      <c r="H41" s="2059"/>
      <c r="I41" s="2059"/>
      <c r="J41" s="2059"/>
      <c r="K41" s="2080"/>
      <c r="L41" s="2059"/>
      <c r="M41" s="2059"/>
    </row>
    <row r="42" spans="1:18" ht="18" customHeight="1">
      <c r="A42" s="799" t="s">
        <v>1817</v>
      </c>
      <c r="B42" s="831" t="s">
        <v>687</v>
      </c>
      <c r="C42" s="825">
        <f ca="1">C7-C32</f>
        <v>0</v>
      </c>
      <c r="D42" s="3176" t="s">
        <v>688</v>
      </c>
      <c r="E42" s="3174"/>
      <c r="F42" s="816"/>
      <c r="G42" s="2059"/>
      <c r="H42" s="2059"/>
      <c r="I42" s="2059"/>
      <c r="J42" s="2059"/>
      <c r="K42" s="2080"/>
      <c r="L42" s="2059"/>
      <c r="M42" s="2059"/>
    </row>
    <row r="43" spans="1:18" ht="18" customHeight="1">
      <c r="A43" s="799" t="s">
        <v>1870</v>
      </c>
      <c r="B43" s="831" t="s">
        <v>705</v>
      </c>
      <c r="C43" s="832">
        <f ca="1">ROUND(C15*F43,0)</f>
        <v>0</v>
      </c>
      <c r="D43" s="1352" t="s">
        <v>706</v>
      </c>
      <c r="E43" s="3117" t="s">
        <v>2959</v>
      </c>
      <c r="F43" s="3118">
        <f ca="1">INDIRECT("'数据-取费表'!j"&amp;$G$1)</f>
        <v>0</v>
      </c>
      <c r="G43" s="2059"/>
      <c r="H43" s="2059"/>
      <c r="I43" s="2059"/>
      <c r="J43" s="2059"/>
      <c r="K43" s="2080"/>
      <c r="L43" s="2059"/>
      <c r="M43" s="2059"/>
    </row>
    <row r="44" spans="1:18" ht="18" customHeight="1">
      <c r="A44" s="799" t="s">
        <v>1871</v>
      </c>
      <c r="B44" s="831" t="s">
        <v>707</v>
      </c>
      <c r="C44" s="1353">
        <f ca="1">C42-C43</f>
        <v>0</v>
      </c>
      <c r="D44" s="459" t="s">
        <v>708</v>
      </c>
      <c r="E44" s="460"/>
      <c r="F44" s="461"/>
      <c r="G44" s="2059"/>
      <c r="H44" s="2059"/>
      <c r="I44" s="2059"/>
      <c r="J44" s="2059"/>
      <c r="K44" s="2080"/>
      <c r="L44" s="2059"/>
      <c r="M44" s="2059"/>
    </row>
    <row r="45" spans="1:18" ht="18" customHeight="1">
      <c r="A45" s="799" t="s">
        <v>1872</v>
      </c>
      <c r="B45" s="1352" t="s">
        <v>709</v>
      </c>
      <c r="C45" s="3032">
        <f ca="1">ROUND(-PV(F45,F46,C44,0),0)</f>
        <v>0</v>
      </c>
      <c r="D45" s="1354" t="s">
        <v>710</v>
      </c>
      <c r="E45" s="802" t="s">
        <v>711</v>
      </c>
      <c r="F45" s="826">
        <f ca="1">INDIRECT("'数据-取费表'!h"&amp;$G$1)</f>
        <v>0</v>
      </c>
      <c r="G45" s="2059"/>
      <c r="H45" s="2059"/>
      <c r="I45" s="2059"/>
      <c r="J45" s="2059"/>
      <c r="K45" s="2080"/>
      <c r="L45" s="2059"/>
      <c r="M45" s="2059"/>
    </row>
    <row r="46" spans="1:18" ht="18" customHeight="1" thickBot="1">
      <c r="A46" s="827"/>
      <c r="B46" s="1355"/>
      <c r="C46" s="1356"/>
      <c r="D46" s="1357"/>
      <c r="E46" s="3119" t="s">
        <v>2962</v>
      </c>
      <c r="F46" s="824">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2338</v>
      </c>
      <c r="J47" s="2376"/>
      <c r="K47" s="2377"/>
      <c r="L47" s="3155" t="str">
        <f ca="1">IF(M48="住宅",0,IF(L49&gt;J52,L61,J61))</f>
        <v>0</v>
      </c>
      <c r="O47" s="2391" t="s">
        <v>2405</v>
      </c>
      <c r="P47" s="1588"/>
      <c r="Q47" s="1600"/>
      <c r="R47" s="1588"/>
    </row>
    <row r="48" spans="1:18" s="2056" customFormat="1" ht="18" customHeight="1" thickBot="1">
      <c r="A48" s="2081"/>
      <c r="C48" s="2084"/>
      <c r="D48" s="2085"/>
      <c r="E48" s="2085"/>
      <c r="F48" s="2086"/>
      <c r="G48" s="2087"/>
      <c r="I48" s="3145" t="s">
        <v>2339</v>
      </c>
      <c r="J48" s="2378"/>
      <c r="K48" s="3152" t="s">
        <v>2344</v>
      </c>
      <c r="L48" s="3156">
        <f ca="1">INDIRECT("'数据-取费表'!d"&amp;$G$1)</f>
        <v>0</v>
      </c>
      <c r="M48" s="3116" t="str">
        <f>IF(ISNUMBER(FIND("住宅",C1)),"住宅","非住宅")</f>
        <v>非住宅</v>
      </c>
      <c r="O48" s="2392" t="s">
        <v>2370</v>
      </c>
      <c r="P48" s="2393" t="s">
        <v>2371</v>
      </c>
      <c r="Q48" s="2394" t="s">
        <v>2372</v>
      </c>
      <c r="R48" s="2393" t="s">
        <v>2373</v>
      </c>
    </row>
    <row r="49" spans="1:18" s="2056" customFormat="1" ht="18" customHeight="1" thickBot="1">
      <c r="A49" s="2081"/>
      <c r="D49" s="2088"/>
      <c r="E49" s="2089"/>
      <c r="F49" s="2086"/>
      <c r="G49" s="2087"/>
      <c r="H49" s="2090"/>
      <c r="I49" s="3121" t="s">
        <v>2340</v>
      </c>
      <c r="J49" s="2379"/>
      <c r="K49" s="3153" t="s">
        <v>2346</v>
      </c>
      <c r="L49" s="1905">
        <f ca="1">INDIRECT("'数据-取费表'!f"&amp;$G$1)</f>
        <v>0</v>
      </c>
      <c r="O49" s="2395" t="s">
        <v>2374</v>
      </c>
      <c r="P49" s="2396" t="s">
        <v>2400</v>
      </c>
      <c r="Q49" s="2397">
        <f ca="1">C41+J31</f>
        <v>0</v>
      </c>
      <c r="R49" s="2396" t="s">
        <v>2375</v>
      </c>
    </row>
    <row r="50" spans="1:18" s="2056" customFormat="1" ht="18" customHeight="1" thickBot="1">
      <c r="A50" s="2081"/>
      <c r="D50" s="2091"/>
      <c r="E50" s="2091"/>
      <c r="F50" s="2085"/>
      <c r="G50" s="2092"/>
      <c r="H50" s="2090"/>
      <c r="I50" s="3121" t="s">
        <v>2341</v>
      </c>
      <c r="J50" s="2380"/>
      <c r="K50" s="3154" t="s">
        <v>2347</v>
      </c>
      <c r="L50" s="2381"/>
      <c r="O50" s="2395" t="s">
        <v>2376</v>
      </c>
      <c r="P50" s="2396" t="s">
        <v>2401</v>
      </c>
      <c r="Q50" s="2397" t="str">
        <f ca="1">J61</f>
        <v>0</v>
      </c>
      <c r="R50" s="2396" t="s">
        <v>2377</v>
      </c>
    </row>
    <row r="51" spans="1:18" s="2056" customFormat="1" ht="18" customHeight="1" thickBot="1">
      <c r="A51" s="2093"/>
      <c r="D51" s="2091"/>
      <c r="E51" s="2091"/>
      <c r="F51" s="2082"/>
      <c r="H51" s="2090"/>
      <c r="I51" s="3121" t="s">
        <v>2342</v>
      </c>
      <c r="J51" s="3149">
        <f>SUMPRODUCT((I64:I66=J48)*(J63:L63=J49)*(J64:L66))</f>
        <v>0</v>
      </c>
      <c r="K51" s="3154" t="s">
        <v>2348</v>
      </c>
      <c r="L51" s="2381"/>
      <c r="O51" s="2398" t="s">
        <v>2378</v>
      </c>
      <c r="P51" s="2396" t="s">
        <v>2402</v>
      </c>
      <c r="Q51" s="2397">
        <f ca="1">C31</f>
        <v>0</v>
      </c>
      <c r="R51" s="2396" t="s">
        <v>2375</v>
      </c>
    </row>
    <row r="52" spans="1:18" s="2056" customFormat="1" ht="18" customHeight="1" thickBot="1">
      <c r="A52" s="2093"/>
      <c r="F52" s="2082"/>
      <c r="I52" s="3146" t="s">
        <v>2343</v>
      </c>
      <c r="J52" s="3150">
        <f>IF(J50="",J51,J50+J51-YEAR('数据-取费表'!B3))</f>
        <v>0</v>
      </c>
      <c r="K52" s="3121" t="s">
        <v>2349</v>
      </c>
      <c r="L52" s="3157">
        <f ca="1">ROUND(-PV(INDIRECT("'数据-取费表'!h"&amp;$G$1),L49,(C40-C14*J36),0),0)</f>
        <v>0</v>
      </c>
      <c r="O52" s="2398" t="s">
        <v>2379</v>
      </c>
      <c r="P52" s="2396" t="s">
        <v>2380</v>
      </c>
      <c r="Q52" s="2399" t="e">
        <f ca="1">J59</f>
        <v>#VALUE!</v>
      </c>
      <c r="R52" s="2400"/>
    </row>
    <row r="53" spans="1:18" s="2056" customFormat="1" ht="18" customHeight="1" thickBot="1">
      <c r="A53" s="2093"/>
      <c r="F53" s="2082"/>
      <c r="I53" s="3147" t="s">
        <v>2416</v>
      </c>
      <c r="J53" s="2382"/>
      <c r="K53" s="3147" t="s">
        <v>2415</v>
      </c>
      <c r="L53" s="2382"/>
      <c r="O53" s="2398" t="s">
        <v>2381</v>
      </c>
      <c r="P53" s="2396" t="s">
        <v>2382</v>
      </c>
      <c r="Q53" s="2399">
        <f>J53</f>
        <v>0</v>
      </c>
      <c r="R53" s="2400"/>
    </row>
    <row r="54" spans="1:18" s="2056" customFormat="1" ht="29.25" thickBot="1">
      <c r="A54" s="2093"/>
      <c r="I54" s="3148" t="s">
        <v>2976</v>
      </c>
      <c r="J54" s="3151">
        <f ca="1">IF(M48="住宅",MAX(J52,L49-'数据-取费表'!B20),MIN(J52,L49-'数据-取费表'!B20))</f>
        <v>-3</v>
      </c>
      <c r="K54" s="3582"/>
      <c r="L54" s="3583"/>
      <c r="O54" s="2398" t="s">
        <v>2383</v>
      </c>
      <c r="P54" s="2396" t="s">
        <v>2384</v>
      </c>
      <c r="Q54" s="2397">
        <f ca="1">J54</f>
        <v>-3</v>
      </c>
      <c r="R54" s="2396" t="s">
        <v>2385</v>
      </c>
    </row>
    <row r="55" spans="1:18" s="2056" customFormat="1" ht="18" customHeight="1" thickBot="1">
      <c r="A55" s="2093"/>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5" t="s">
        <v>2386</v>
      </c>
      <c r="P55" s="2396" t="s">
        <v>2403</v>
      </c>
      <c r="Q55" s="2397">
        <f ca="1">Q49+Q50</f>
        <v>0</v>
      </c>
      <c r="R55" s="2400" t="s">
        <v>2387</v>
      </c>
    </row>
    <row r="56" spans="1:18" s="2056" customFormat="1" ht="16.5" thickBot="1">
      <c r="A56" s="2093"/>
      <c r="B56" s="2094"/>
      <c r="C56" s="2094"/>
      <c r="I56" s="3160" t="s">
        <v>2350</v>
      </c>
      <c r="J56" s="3096" t="e">
        <f ca="1">ROUND(IF(J48="钢混",J58/J51,1-(1-2%)*(J51-J58)/J51),3)</f>
        <v>#VALUE!</v>
      </c>
      <c r="K56" s="3161" t="s">
        <v>2351</v>
      </c>
      <c r="L56" s="2383"/>
      <c r="O56" s="2401" t="s">
        <v>2406</v>
      </c>
      <c r="P56" s="1588"/>
      <c r="Q56" s="1600"/>
      <c r="R56" s="1588"/>
    </row>
    <row r="57" spans="1:18" s="2056" customFormat="1" ht="43.5" thickBot="1">
      <c r="A57" s="2093"/>
      <c r="B57" s="2094"/>
      <c r="C57" s="2094"/>
      <c r="I57" s="3162" t="s">
        <v>2352</v>
      </c>
      <c r="J57" s="3172" t="s">
        <v>1673</v>
      </c>
      <c r="K57" s="3121" t="s">
        <v>2357</v>
      </c>
      <c r="L57" s="1905">
        <f ca="1">IF(L49&lt;J52,"——",L49-J52)</f>
        <v>0</v>
      </c>
      <c r="O57" s="2392" t="s">
        <v>2370</v>
      </c>
      <c r="P57" s="2393" t="s">
        <v>2371</v>
      </c>
      <c r="Q57" s="2394" t="s">
        <v>2372</v>
      </c>
      <c r="R57" s="2393" t="s">
        <v>2373</v>
      </c>
    </row>
    <row r="58" spans="1:18" s="2056" customFormat="1" ht="29.25" thickBot="1">
      <c r="A58" s="2093"/>
      <c r="B58" s="2094"/>
      <c r="C58" s="2094"/>
      <c r="I58" s="3163" t="s">
        <v>2353</v>
      </c>
      <c r="J58" s="3164" t="str">
        <f ca="1">IF(OR(M48="住宅",J52&lt;L49,J57="是"),"——",J52-L49)</f>
        <v>——</v>
      </c>
      <c r="K58" s="3121" t="s">
        <v>2358</v>
      </c>
      <c r="L58" s="1905">
        <f ca="1">IF(L49&lt;J52,"——",IF(L56="比较法",L50,IF(L56="基准地价",L51,L52)))</f>
        <v>0</v>
      </c>
      <c r="O58" s="2395" t="s">
        <v>2374</v>
      </c>
      <c r="P58" s="2396" t="s">
        <v>2400</v>
      </c>
      <c r="Q58" s="2397">
        <f ca="1">C41+J31</f>
        <v>0</v>
      </c>
      <c r="R58" s="2396" t="s">
        <v>2375</v>
      </c>
    </row>
    <row r="59" spans="1:18" s="2056" customFormat="1" ht="29.25" thickBot="1">
      <c r="A59" s="2093"/>
      <c r="B59" s="2094"/>
      <c r="C59" s="2094"/>
      <c r="I59" s="3163" t="s">
        <v>2354</v>
      </c>
      <c r="J59" s="3097" t="e">
        <f ca="1">IF(J56&lt;0.4,0.4,J56)</f>
        <v>#VALUE!</v>
      </c>
      <c r="K59" s="3121" t="s">
        <v>2359</v>
      </c>
      <c r="L59" s="1905">
        <f ca="1">IF(ISERROR(POWER(1+L53,L48-L49)*(POWER(1+L53,L49)-1)/(POWER(1+L53,L48)-1)),0,POWER(1+L53,L48-L49)*(POWER(1+L53,L49)-1)/(POWER(1+L53,L48)-1))</f>
        <v>0</v>
      </c>
      <c r="O59" s="2395" t="s">
        <v>2376</v>
      </c>
      <c r="P59" s="2396" t="s">
        <v>2407</v>
      </c>
      <c r="Q59" s="2397" t="e">
        <f ca="1">L61</f>
        <v>#DIV/0!</v>
      </c>
      <c r="R59" s="2400" t="s">
        <v>2409</v>
      </c>
    </row>
    <row r="60" spans="1:18" s="2056" customFormat="1" ht="29.25" thickBot="1">
      <c r="A60" s="2093"/>
      <c r="B60" s="2094"/>
      <c r="C60" s="2094"/>
      <c r="I60" s="3163" t="s">
        <v>2355</v>
      </c>
      <c r="J60" s="3164" t="str">
        <f ca="1">IF(OR(M48="住宅",J52&lt;L49,J57="是"),"——",ROUND(C30*J59,0))</f>
        <v>——</v>
      </c>
      <c r="K60" s="3121" t="s">
        <v>2360</v>
      </c>
      <c r="L60" s="1905">
        <f ca="1">IF(ISERROR(POWER(1+L53,L48-J52)*(POWER(1+L53,J52)-1)/(POWER(1+L53,L48)-1)),0,POWER(1+L53,L48-J52)*(POWER(1+L53,J52)-1)/(POWER(1+L53,L48)-1))</f>
        <v>0</v>
      </c>
      <c r="O60" s="2398" t="s">
        <v>2378</v>
      </c>
      <c r="P60" s="2396" t="s">
        <v>2408</v>
      </c>
      <c r="Q60" s="2397">
        <f>IF(L56="比较法",L50,IF(L56="基准地价",L51,0))</f>
        <v>0</v>
      </c>
      <c r="R60" s="2396" t="s">
        <v>2375</v>
      </c>
    </row>
    <row r="61" spans="1:18" s="2056" customFormat="1" ht="15.75" thickBot="1">
      <c r="A61" s="2093"/>
      <c r="B61" s="2094"/>
      <c r="C61" s="2094"/>
      <c r="I61" s="3165" t="s">
        <v>2356</v>
      </c>
      <c r="J61" s="3166" t="str">
        <f ca="1">IF(OR(M48="住宅",J52&lt;L49,J57="是"),"0",ROUND(J60/(1+J53)^J54,0))</f>
        <v>0</v>
      </c>
      <c r="K61" s="3167" t="s">
        <v>2361</v>
      </c>
      <c r="L61" s="3166" t="e">
        <f ca="1">IF(OR(M48="住宅",L49&lt;J52),0,ROUND(L58*(L59/L60-1),0))</f>
        <v>#DIV/0!</v>
      </c>
      <c r="O61" s="2398" t="s">
        <v>2379</v>
      </c>
      <c r="P61" s="2396" t="s">
        <v>2388</v>
      </c>
      <c r="Q61" s="2399">
        <f>L53</f>
        <v>0</v>
      </c>
      <c r="R61" s="2400"/>
    </row>
    <row r="62" spans="1:18" s="2056" customFormat="1" ht="20.25" thickBot="1">
      <c r="A62" s="2093"/>
      <c r="B62" s="2094"/>
      <c r="C62" s="2094"/>
      <c r="K62" s="2083"/>
      <c r="O62" s="2398" t="s">
        <v>2381</v>
      </c>
      <c r="P62" s="2396" t="s">
        <v>2389</v>
      </c>
      <c r="Q62" s="2397">
        <f ca="1">L59</f>
        <v>0</v>
      </c>
      <c r="R62" s="2400" t="s">
        <v>2390</v>
      </c>
    </row>
    <row r="63" spans="1:18" s="2056" customFormat="1" ht="20.25" thickBot="1">
      <c r="A63" s="2093"/>
      <c r="B63" s="2094"/>
      <c r="C63" s="2094"/>
      <c r="I63" s="3168" t="s">
        <v>2362</v>
      </c>
      <c r="J63" s="3169" t="s">
        <v>2363</v>
      </c>
      <c r="K63" s="3169" t="s">
        <v>2364</v>
      </c>
      <c r="L63" s="3169" t="s">
        <v>2345</v>
      </c>
      <c r="M63" s="3170" t="s">
        <v>2940</v>
      </c>
      <c r="O63" s="2398" t="s">
        <v>2383</v>
      </c>
      <c r="P63" s="2396" t="s">
        <v>2391</v>
      </c>
      <c r="Q63" s="2397">
        <f ca="1">L60</f>
        <v>0</v>
      </c>
      <c r="R63" s="2400" t="s">
        <v>2392</v>
      </c>
    </row>
    <row r="64" spans="1:18" s="2056" customFormat="1" ht="15.75" thickBot="1">
      <c r="A64" s="2093"/>
      <c r="B64" s="2094"/>
      <c r="C64" s="2094"/>
      <c r="I64" s="3168" t="s">
        <v>2365</v>
      </c>
      <c r="J64" s="3169">
        <v>70</v>
      </c>
      <c r="K64" s="3169">
        <v>50</v>
      </c>
      <c r="L64" s="3169">
        <v>80</v>
      </c>
      <c r="M64" s="3171">
        <v>0.02</v>
      </c>
      <c r="O64" s="2395" t="s">
        <v>2386</v>
      </c>
      <c r="P64" s="2396" t="s">
        <v>2403</v>
      </c>
      <c r="Q64" s="2397" t="e">
        <f ca="1">Q58+Q59</f>
        <v>#DIV/0!</v>
      </c>
      <c r="R64" s="2400" t="s">
        <v>2387</v>
      </c>
    </row>
    <row r="65" spans="1:18" s="2056" customFormat="1" ht="16.5" thickBot="1">
      <c r="A65" s="2093"/>
      <c r="B65" s="2094"/>
      <c r="C65" s="2094"/>
      <c r="I65" s="3168" t="s">
        <v>2366</v>
      </c>
      <c r="J65" s="3169">
        <v>50</v>
      </c>
      <c r="K65" s="3169">
        <v>35</v>
      </c>
      <c r="L65" s="3169">
        <v>60</v>
      </c>
      <c r="M65" s="842">
        <v>0</v>
      </c>
      <c r="O65" s="2401" t="s">
        <v>2410</v>
      </c>
      <c r="P65" s="1588"/>
      <c r="Q65" s="1600"/>
      <c r="R65" s="1588"/>
    </row>
    <row r="66" spans="1:18" s="2056" customFormat="1" ht="15.75" thickBot="1">
      <c r="A66" s="2093"/>
      <c r="B66" s="2094"/>
      <c r="C66" s="2094"/>
      <c r="I66" s="3168" t="s">
        <v>2367</v>
      </c>
      <c r="J66" s="3169">
        <v>40</v>
      </c>
      <c r="K66" s="3169">
        <v>30</v>
      </c>
      <c r="L66" s="3169">
        <v>50</v>
      </c>
      <c r="M66" s="3171">
        <v>0.02</v>
      </c>
      <c r="O66" s="2392" t="s">
        <v>2370</v>
      </c>
      <c r="P66" s="2393" t="s">
        <v>2371</v>
      </c>
      <c r="Q66" s="2394" t="s">
        <v>2372</v>
      </c>
      <c r="R66" s="2393" t="s">
        <v>2373</v>
      </c>
    </row>
    <row r="67" spans="1:18" s="2056" customFormat="1" ht="15.75" thickBot="1">
      <c r="A67" s="2093"/>
      <c r="B67" s="2094"/>
      <c r="C67" s="2094"/>
      <c r="K67" s="2083"/>
      <c r="O67" s="2395" t="s">
        <v>2374</v>
      </c>
      <c r="P67" s="2396" t="s">
        <v>2400</v>
      </c>
      <c r="Q67" s="2397">
        <f ca="1">C41+J31</f>
        <v>0</v>
      </c>
      <c r="R67" s="2396" t="s">
        <v>2375</v>
      </c>
    </row>
    <row r="68" spans="1:18" s="2056" customFormat="1" ht="20.25" thickBot="1">
      <c r="A68" s="2093"/>
      <c r="B68" s="2094"/>
      <c r="C68" s="2094"/>
      <c r="K68" s="2083"/>
      <c r="O68" s="2395" t="s">
        <v>2376</v>
      </c>
      <c r="P68" s="2396" t="s">
        <v>2407</v>
      </c>
      <c r="Q68" s="2397" t="e">
        <f ca="1">L61</f>
        <v>#DIV/0!</v>
      </c>
      <c r="R68" s="2400" t="s">
        <v>2409</v>
      </c>
    </row>
    <row r="69" spans="1:18" s="2056" customFormat="1" ht="21.75" thickBot="1">
      <c r="A69" s="2093"/>
      <c r="B69" s="2094"/>
      <c r="C69" s="2094"/>
      <c r="K69" s="2083"/>
      <c r="O69" s="2398" t="s">
        <v>2378</v>
      </c>
      <c r="P69" s="2396" t="s">
        <v>2408</v>
      </c>
      <c r="Q69" s="2402">
        <f ca="1">L52</f>
        <v>0</v>
      </c>
      <c r="R69" s="2403" t="s">
        <v>2411</v>
      </c>
    </row>
    <row r="70" spans="1:18" s="2056" customFormat="1" ht="20.25" thickBot="1">
      <c r="A70" s="2093"/>
      <c r="B70" s="2094"/>
      <c r="C70" s="2094"/>
      <c r="K70" s="2083"/>
      <c r="O70" s="2398" t="s">
        <v>2379</v>
      </c>
      <c r="P70" s="2404" t="s">
        <v>2393</v>
      </c>
      <c r="Q70" s="2397">
        <f ca="1">ROUND(Q71-Q72*Q73,0)</f>
        <v>0</v>
      </c>
      <c r="R70" s="2400"/>
    </row>
    <row r="71" spans="1:18" s="2056" customFormat="1" ht="15.75" thickBot="1">
      <c r="A71" s="2093"/>
      <c r="B71" s="2094"/>
      <c r="C71" s="2094"/>
      <c r="K71" s="2083"/>
      <c r="O71" s="2398" t="s">
        <v>2394</v>
      </c>
      <c r="P71" s="2404" t="s">
        <v>2395</v>
      </c>
      <c r="Q71" s="2397">
        <f ca="1">C42</f>
        <v>0</v>
      </c>
      <c r="R71" s="2396" t="s">
        <v>2375</v>
      </c>
    </row>
    <row r="72" spans="1:18" s="2056" customFormat="1" ht="15.75" thickBot="1">
      <c r="A72" s="2093"/>
      <c r="B72" s="2094"/>
      <c r="C72" s="2094"/>
      <c r="K72" s="2083"/>
      <c r="O72" s="2398" t="s">
        <v>2396</v>
      </c>
      <c r="P72" s="2404" t="s">
        <v>2397</v>
      </c>
      <c r="Q72" s="2397">
        <f ca="1">C15</f>
        <v>0</v>
      </c>
      <c r="R72" s="2396" t="s">
        <v>2375</v>
      </c>
    </row>
    <row r="73" spans="1:18" s="2056" customFormat="1" ht="15.75" thickBot="1">
      <c r="A73" s="2093"/>
      <c r="B73" s="2094"/>
      <c r="C73" s="2094"/>
      <c r="K73" s="2083"/>
      <c r="O73" s="2398" t="s">
        <v>2398</v>
      </c>
      <c r="P73" s="2404" t="s">
        <v>2399</v>
      </c>
      <c r="Q73" s="2399">
        <f ca="1">F43</f>
        <v>0</v>
      </c>
      <c r="R73" s="2400"/>
    </row>
    <row r="74" spans="1:18" s="2056" customFormat="1" ht="15.75" thickBot="1">
      <c r="A74" s="2093"/>
      <c r="B74" s="2094"/>
      <c r="C74" s="2094"/>
      <c r="K74" s="2083"/>
      <c r="O74" s="2398" t="s">
        <v>2381</v>
      </c>
      <c r="P74" s="2396" t="s">
        <v>2388</v>
      </c>
      <c r="Q74" s="2399">
        <f>L53</f>
        <v>0</v>
      </c>
      <c r="R74" s="2400"/>
    </row>
    <row r="75" spans="1:18" s="2056" customFormat="1" ht="20.25" thickBot="1">
      <c r="A75" s="2093"/>
      <c r="B75" s="2094"/>
      <c r="C75" s="2094"/>
      <c r="K75" s="2083"/>
      <c r="O75" s="2398" t="s">
        <v>2383</v>
      </c>
      <c r="P75" s="2396" t="s">
        <v>2389</v>
      </c>
      <c r="Q75" s="2397">
        <f ca="1">L59</f>
        <v>0</v>
      </c>
      <c r="R75" s="2400" t="s">
        <v>2390</v>
      </c>
    </row>
    <row r="76" spans="1:18" s="2056" customFormat="1" ht="20.25" thickBot="1">
      <c r="A76" s="2093"/>
      <c r="B76" s="2094"/>
      <c r="C76" s="2094"/>
      <c r="K76" s="2083"/>
      <c r="O76" s="2398" t="s">
        <v>2412</v>
      </c>
      <c r="P76" s="2396" t="s">
        <v>2391</v>
      </c>
      <c r="Q76" s="2397">
        <f ca="1">L60</f>
        <v>0</v>
      </c>
      <c r="R76" s="2400" t="s">
        <v>2392</v>
      </c>
    </row>
    <row r="77" spans="1:18" s="2056" customFormat="1" ht="15.75" thickBot="1">
      <c r="A77" s="2093"/>
      <c r="B77" s="2094"/>
      <c r="C77" s="2094"/>
      <c r="K77" s="2083"/>
      <c r="O77" s="2395" t="s">
        <v>2386</v>
      </c>
      <c r="P77" s="2396" t="s">
        <v>2403</v>
      </c>
      <c r="Q77" s="2397" t="e">
        <f ca="1">Q67+Q68</f>
        <v>#DIV/0!</v>
      </c>
      <c r="R77" s="2400" t="s">
        <v>2387</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78" priority="6">
      <formula>$F$12="自定义"</formula>
    </cfRule>
  </conditionalFormatting>
  <conditionalFormatting sqref="J13">
    <cfRule type="expression" dxfId="77" priority="5">
      <formula>$M$10="自定义"</formula>
    </cfRule>
  </conditionalFormatting>
  <conditionalFormatting sqref="K56">
    <cfRule type="expression" dxfId="76" priority="3">
      <formula>$L$48&gt;$J$51</formula>
    </cfRule>
  </conditionalFormatting>
  <conditionalFormatting sqref="I56">
    <cfRule type="expression" dxfId="75" priority="4">
      <formula>$J$51&gt;$L$48</formula>
    </cfRule>
  </conditionalFormatting>
  <conditionalFormatting sqref="I61">
    <cfRule type="expression" dxfId="74" priority="2">
      <formula>$J$51&gt;$L$48</formula>
    </cfRule>
  </conditionalFormatting>
  <conditionalFormatting sqref="K61">
    <cfRule type="expression" dxfId="7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9" sqref="D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8" t="s">
        <v>622</v>
      </c>
      <c r="B1" s="734"/>
      <c r="C1" s="769" t="s">
        <v>3002</v>
      </c>
      <c r="D1" s="2047"/>
      <c r="E1" s="2384" t="s">
        <v>2369</v>
      </c>
      <c r="F1" s="2385" t="e">
        <f ca="1">J54</f>
        <v>#N/A</v>
      </c>
      <c r="G1" s="770" t="e">
        <f>MATCH(C1,'数据-取费表'!A6:A16,0)+5</f>
        <v>#N/A</v>
      </c>
      <c r="H1" s="1346"/>
      <c r="I1" s="2048"/>
      <c r="J1" s="2048"/>
      <c r="K1" s="2049"/>
      <c r="L1" s="2048"/>
      <c r="M1" s="2048"/>
      <c r="N1" s="2050"/>
      <c r="O1" s="2050"/>
      <c r="P1" s="2050"/>
      <c r="Q1" s="2050"/>
      <c r="R1" s="2050"/>
      <c r="S1" s="2050"/>
      <c r="T1" s="2050"/>
      <c r="U1" s="2050"/>
      <c r="V1" s="2050"/>
      <c r="W1" s="2050"/>
      <c r="X1" s="2050"/>
      <c r="Y1" s="2050"/>
    </row>
    <row r="2" spans="1:25" ht="18" customHeight="1">
      <c r="A2" s="1640" t="s">
        <v>623</v>
      </c>
      <c r="B2" s="771">
        <f ca="1">IF(ISERROR(C45+J31),0,C45+J31)</f>
        <v>0</v>
      </c>
      <c r="C2" s="1347"/>
      <c r="D2" s="2052"/>
      <c r="E2" s="2053"/>
      <c r="F2" s="2053"/>
      <c r="G2" s="1586"/>
      <c r="H2" s="1359"/>
      <c r="I2" s="2054"/>
      <c r="J2" s="2054"/>
      <c r="K2" s="2055"/>
      <c r="L2" s="2054"/>
      <c r="M2" s="2054"/>
    </row>
    <row r="3" spans="1:25" ht="18" customHeight="1">
      <c r="A3" s="1641" t="s">
        <v>1679</v>
      </c>
      <c r="B3" s="1387">
        <f ca="1">ROUND(B2*10000/'数据-汇总表'!E3,0)</f>
        <v>0</v>
      </c>
      <c r="C3" s="1347"/>
      <c r="D3" s="2052"/>
      <c r="E3" s="2053"/>
      <c r="F3" s="2053"/>
      <c r="G3" s="1586"/>
      <c r="H3" s="772" t="s">
        <v>689</v>
      </c>
      <c r="I3" s="2054"/>
      <c r="J3" s="2054"/>
      <c r="K3" s="2055"/>
      <c r="L3" s="2054"/>
      <c r="M3" s="2054"/>
    </row>
    <row r="4" spans="1:25" ht="18" customHeight="1">
      <c r="A4" s="1642" t="s">
        <v>690</v>
      </c>
      <c r="B4" s="1348">
        <f ca="1">ROUND(B2*10000/'数据-汇总表'!D3,0)</f>
        <v>0</v>
      </c>
      <c r="C4" s="424"/>
      <c r="D4" s="2052"/>
      <c r="E4" s="2053"/>
      <c r="F4" s="2053"/>
      <c r="G4" s="1586"/>
      <c r="H4" s="772"/>
      <c r="I4" s="2054"/>
      <c r="J4" s="2054"/>
      <c r="K4" s="2055"/>
      <c r="L4" s="2054"/>
      <c r="M4" s="2054"/>
    </row>
    <row r="5" spans="1:25" ht="18" customHeight="1" thickBot="1">
      <c r="A5" s="1643"/>
      <c r="B5" s="426">
        <f ca="1">ROUND(B2/('数据-汇总表'!D3/666.67),0)</f>
        <v>0</v>
      </c>
      <c r="C5" s="427" t="s">
        <v>691</v>
      </c>
      <c r="D5" s="2052"/>
      <c r="E5" s="2053"/>
      <c r="F5" s="2053"/>
      <c r="G5" s="1586"/>
      <c r="H5" s="772"/>
      <c r="I5" s="2054"/>
      <c r="J5" s="2054"/>
      <c r="K5" s="2055"/>
      <c r="L5" s="2054"/>
      <c r="M5" s="2054"/>
    </row>
    <row r="6" spans="1:25" ht="18" customHeight="1">
      <c r="A6" s="1825" t="s">
        <v>692</v>
      </c>
      <c r="B6" s="1817" t="s">
        <v>693</v>
      </c>
      <c r="C6" s="1817" t="s">
        <v>626</v>
      </c>
      <c r="D6" s="1817" t="s">
        <v>627</v>
      </c>
      <c r="E6" s="775" t="s">
        <v>628</v>
      </c>
      <c r="F6" s="776"/>
      <c r="G6" s="1588"/>
      <c r="H6" s="1825" t="s">
        <v>624</v>
      </c>
      <c r="I6" s="1817" t="s">
        <v>625</v>
      </c>
      <c r="J6" s="1817" t="s">
        <v>626</v>
      </c>
      <c r="K6" s="1817" t="s">
        <v>627</v>
      </c>
      <c r="L6" s="775" t="s">
        <v>628</v>
      </c>
      <c r="M6" s="776"/>
    </row>
    <row r="7" spans="1:25" ht="18" customHeight="1">
      <c r="A7" s="777">
        <v>1</v>
      </c>
      <c r="B7" s="778" t="s">
        <v>2453</v>
      </c>
      <c r="C7" s="53" t="e">
        <f ca="1">C8+C12+C14</f>
        <v>#N/A</v>
      </c>
      <c r="D7" s="2493" t="s">
        <v>2456</v>
      </c>
      <c r="E7" s="2487"/>
      <c r="F7" s="2488"/>
      <c r="G7" s="1588"/>
      <c r="H7" s="777">
        <v>1</v>
      </c>
      <c r="I7" s="778" t="s">
        <v>2453</v>
      </c>
      <c r="J7" s="53" t="e">
        <f ca="1">J8+J12+J14</f>
        <v>#N/A</v>
      </c>
      <c r="K7" s="2493" t="s">
        <v>2456</v>
      </c>
      <c r="L7" s="2487"/>
      <c r="M7" s="2488"/>
    </row>
    <row r="8" spans="1:25" ht="18" customHeight="1">
      <c r="A8" s="1827" t="s">
        <v>1817</v>
      </c>
      <c r="B8" s="3575" t="s">
        <v>2458</v>
      </c>
      <c r="C8" s="1822" t="e">
        <f ca="1">ROUND(F8*F10*F9*(1-F11)/10000,0)</f>
        <v>#N/A</v>
      </c>
      <c r="D8" s="1819" t="s">
        <v>2529</v>
      </c>
      <c r="E8" s="61" t="s">
        <v>631</v>
      </c>
      <c r="F8" s="781" t="e">
        <f ca="1">INDIRECT("'数据-取费表'!u"&amp;$G$1)</f>
        <v>#N/A</v>
      </c>
      <c r="G8" s="1588"/>
      <c r="H8" s="2501" t="s">
        <v>1817</v>
      </c>
      <c r="I8" s="3575" t="s">
        <v>2458</v>
      </c>
      <c r="J8" s="779" t="e">
        <f ca="1">ROUND(M8*M10*M9*(1-M11)/10000,0)</f>
        <v>#N/A</v>
      </c>
      <c r="K8" s="337" t="s">
        <v>2529</v>
      </c>
      <c r="L8" s="780" t="s">
        <v>1731</v>
      </c>
      <c r="M8" s="781" t="e">
        <f ca="1">INDIRECT("'数据-取费表'!z"&amp;$G$1)</f>
        <v>#N/A</v>
      </c>
    </row>
    <row r="9" spans="1:25" ht="18" customHeight="1">
      <c r="A9" s="2497"/>
      <c r="B9" s="3576"/>
      <c r="C9" s="1823"/>
      <c r="D9" s="1820"/>
      <c r="E9" s="61" t="s">
        <v>632</v>
      </c>
      <c r="F9" s="781" t="e">
        <f ca="1">IF(INDIRECT("'数据-取费表'!ah"&amp;$G$1)="",INDIRECT("'数据-取费表'!k"&amp;$G$1),INDIRECT("'数据-取费表'!ah"&amp;$G$1))</f>
        <v>#N/A</v>
      </c>
      <c r="G9" s="1588"/>
      <c r="H9" s="2486"/>
      <c r="I9" s="3576"/>
      <c r="J9" s="784"/>
      <c r="K9" s="785"/>
      <c r="L9" s="780" t="s">
        <v>1732</v>
      </c>
      <c r="M9" s="781" t="e">
        <f ca="1">F9</f>
        <v>#N/A</v>
      </c>
    </row>
    <row r="10" spans="1:25" ht="18" customHeight="1">
      <c r="A10" s="2490"/>
      <c r="B10" s="3577"/>
      <c r="C10" s="1823"/>
      <c r="D10" s="1820"/>
      <c r="E10" s="61" t="s">
        <v>633</v>
      </c>
      <c r="F10" s="781" t="e">
        <f ca="1">INDIRECT("'数据-取费表'!ai"&amp;$G$1)</f>
        <v>#N/A</v>
      </c>
      <c r="G10" s="1588"/>
      <c r="H10" s="2486"/>
      <c r="I10" s="3577"/>
      <c r="J10" s="784"/>
      <c r="K10" s="785"/>
      <c r="L10" s="780" t="s">
        <v>1733</v>
      </c>
      <c r="M10" s="781" t="e">
        <f ca="1">INDIRECT("'数据-取费表'!ai"&amp;$G$1)</f>
        <v>#N/A</v>
      </c>
    </row>
    <row r="11" spans="1:25" ht="18" customHeight="1">
      <c r="A11" s="782"/>
      <c r="B11" s="3578"/>
      <c r="C11" s="1823"/>
      <c r="D11" s="1820"/>
      <c r="E11" s="61" t="s">
        <v>634</v>
      </c>
      <c r="F11" s="790" t="e">
        <f ca="1">INDIRECT("'数据-取费表'!w"&amp;$G$1)</f>
        <v>#N/A</v>
      </c>
      <c r="G11" s="1588"/>
      <c r="H11" s="2502"/>
      <c r="I11" s="3577"/>
      <c r="J11" s="784"/>
      <c r="K11" s="785"/>
      <c r="L11" s="791" t="s">
        <v>1734</v>
      </c>
      <c r="M11" s="792" t="e">
        <f ca="1">INDIRECT("'数据-取费表'!ab"&amp;$G$1)</f>
        <v>#N/A</v>
      </c>
    </row>
    <row r="12" spans="1:25" ht="18" customHeight="1">
      <c r="A12" s="1827" t="s">
        <v>1818</v>
      </c>
      <c r="B12" s="2491" t="s">
        <v>2454</v>
      </c>
      <c r="C12" s="795">
        <f ca="1">ROUND(IF(F12="押一",C8/12*F13,IF(F12="押二",C8/12*2*F13,IF(F12="押三",C8/12*3*F13,C13*F13))),0)</f>
        <v>0</v>
      </c>
      <c r="D12" s="2498" t="s">
        <v>2971</v>
      </c>
      <c r="E12" s="2495" t="s">
        <v>2459</v>
      </c>
      <c r="F12" s="2618"/>
      <c r="G12" s="1588"/>
      <c r="H12" s="2558" t="s">
        <v>1818</v>
      </c>
      <c r="I12" s="2563" t="s">
        <v>2454</v>
      </c>
      <c r="J12" s="779">
        <f ca="1">ROUND(IF(M12="押一",J8/12*M13,IF(M12="押二",J8/12*2*M13,IF(M12="押三",J8/12*3*M13,J13*M13))),0)</f>
        <v>0</v>
      </c>
      <c r="K12" s="2498" t="s">
        <v>2971</v>
      </c>
      <c r="L12" s="2495" t="s">
        <v>2459</v>
      </c>
      <c r="M12" s="2618"/>
    </row>
    <row r="13" spans="1:25" ht="18" customHeight="1">
      <c r="A13" s="786"/>
      <c r="B13" s="2492" t="s">
        <v>2568</v>
      </c>
      <c r="C13" s="2496"/>
      <c r="D13" s="785"/>
      <c r="E13" s="2495" t="s">
        <v>2451</v>
      </c>
      <c r="F13" s="792">
        <f ca="1">'数据-取费表'!B39</f>
        <v>1.4999999999999999E-2</v>
      </c>
      <c r="G13" s="1588"/>
      <c r="H13" s="2559"/>
      <c r="I13" s="2492" t="s">
        <v>2568</v>
      </c>
      <c r="J13" s="2496"/>
      <c r="K13" s="2560"/>
      <c r="L13" s="2495" t="s">
        <v>2451</v>
      </c>
      <c r="M13" s="2489">
        <f ca="1">'数据-取费表'!B39</f>
        <v>1.4999999999999999E-2</v>
      </c>
    </row>
    <row r="14" spans="1:25" ht="18" customHeight="1" thickBot="1">
      <c r="A14" s="2534" t="s">
        <v>2462</v>
      </c>
      <c r="B14" s="2535" t="s">
        <v>2455</v>
      </c>
      <c r="C14" s="2536"/>
      <c r="D14" s="2537"/>
      <c r="E14" s="2538"/>
      <c r="F14" s="2539"/>
      <c r="G14" s="1588"/>
      <c r="H14" s="2548" t="s">
        <v>2462</v>
      </c>
      <c r="I14" s="2561" t="s">
        <v>2455</v>
      </c>
      <c r="J14" s="2562"/>
      <c r="K14" s="2537"/>
      <c r="L14" s="2538"/>
      <c r="M14" s="2551"/>
    </row>
    <row r="15" spans="1:25" ht="18" customHeight="1" thickTop="1">
      <c r="A15" s="1826" t="s">
        <v>1867</v>
      </c>
      <c r="B15" s="1824" t="s">
        <v>635</v>
      </c>
      <c r="C15" s="788" t="e">
        <f ca="1">ROUND(C31*F15,0)</f>
        <v>#N/A</v>
      </c>
      <c r="D15" s="1831" t="s">
        <v>636</v>
      </c>
      <c r="E15" s="791" t="s">
        <v>637</v>
      </c>
      <c r="F15" s="796" t="e">
        <f ca="1">INDIRECT("'数据-取费表'!y"&amp;$G$1)</f>
        <v>#N/A</v>
      </c>
      <c r="G15" s="1588"/>
      <c r="H15" s="1826" t="s">
        <v>1819</v>
      </c>
      <c r="I15" s="1824" t="s">
        <v>638</v>
      </c>
      <c r="J15" s="1816" t="e">
        <f ca="1">ROUND(J16*J17,0)</f>
        <v>#N/A</v>
      </c>
      <c r="K15" s="1818" t="s">
        <v>636</v>
      </c>
      <c r="L15" s="797"/>
      <c r="M15" s="798"/>
    </row>
    <row r="16" spans="1:25" ht="18" customHeight="1">
      <c r="A16" s="799" t="s">
        <v>1868</v>
      </c>
      <c r="B16" s="780" t="s">
        <v>639</v>
      </c>
      <c r="C16" s="800" t="e">
        <f ca="1">INDIRECT("'数据-取费表'!m"&amp;$G$1)+INDIRECT("'数据-取费表'!t"&amp;$G$1)</f>
        <v>#N/A</v>
      </c>
      <c r="D16" s="1976" t="s">
        <v>640</v>
      </c>
      <c r="E16" s="1977"/>
      <c r="F16" s="801"/>
      <c r="G16" s="1588"/>
      <c r="H16" s="799" t="s">
        <v>2064</v>
      </c>
      <c r="I16" s="2228" t="s">
        <v>2820</v>
      </c>
      <c r="J16" s="53" t="e">
        <f ca="1">C31</f>
        <v>#N/A</v>
      </c>
      <c r="K16" s="26"/>
      <c r="L16" s="797"/>
      <c r="M16" s="798"/>
    </row>
    <row r="17" spans="1:25" s="2061" customFormat="1" ht="18" customHeight="1">
      <c r="A17" s="799" t="s">
        <v>1842</v>
      </c>
      <c r="B17" s="780" t="s">
        <v>641</v>
      </c>
      <c r="C17" s="53" t="e">
        <f ca="1">ROUND(C16*F17,0)</f>
        <v>#N/A</v>
      </c>
      <c r="D17" s="802" t="s">
        <v>642</v>
      </c>
      <c r="E17" s="802" t="s">
        <v>643</v>
      </c>
      <c r="F17" s="803">
        <f>'数据-取费表'!B33</f>
        <v>0.03</v>
      </c>
      <c r="G17" s="1589"/>
      <c r="H17" s="799" t="s">
        <v>2065</v>
      </c>
      <c r="I17" s="780" t="s">
        <v>637</v>
      </c>
      <c r="J17" s="804" t="e">
        <f ca="1">INDIRECT("'数据-取费表'!ad"&amp;$G$1)</f>
        <v>#N/A</v>
      </c>
      <c r="K17" s="26"/>
      <c r="L17" s="797"/>
      <c r="M17" s="798"/>
      <c r="N17" s="2060"/>
      <c r="O17" s="2060"/>
      <c r="P17" s="2060"/>
      <c r="Q17" s="2060"/>
      <c r="R17" s="2060"/>
      <c r="S17" s="2060"/>
      <c r="T17" s="2060"/>
      <c r="U17" s="2060"/>
      <c r="V17" s="2060"/>
      <c r="W17" s="2060"/>
      <c r="X17" s="2060"/>
      <c r="Y17" s="2060"/>
    </row>
    <row r="18" spans="1:25" ht="18" customHeight="1">
      <c r="A18" s="799" t="s">
        <v>1843</v>
      </c>
      <c r="B18" s="780" t="s">
        <v>644</v>
      </c>
      <c r="C18" s="53" t="e">
        <f ca="1">ROUND(INDIRECT("'数据-取费表'!m"&amp;$G$1)*F18,0)</f>
        <v>#N/A</v>
      </c>
      <c r="D18" s="780" t="s">
        <v>642</v>
      </c>
      <c r="E18" s="780" t="s">
        <v>643</v>
      </c>
      <c r="F18" s="805" t="e">
        <f ca="1">IF(INDIRECT("'数据-取费表'!c"&amp;$G$1)="住宅",'数据-取费表'!B34,0)</f>
        <v>#N/A</v>
      </c>
      <c r="G18" s="1588"/>
      <c r="H18" s="793" t="s">
        <v>1820</v>
      </c>
      <c r="I18" s="794" t="s">
        <v>645</v>
      </c>
      <c r="J18" s="795" t="e">
        <f ca="1">ROUND(J19+J24+J25+J26,0)</f>
        <v>#N/A</v>
      </c>
      <c r="K18" s="26" t="s">
        <v>646</v>
      </c>
      <c r="L18" s="1979"/>
      <c r="M18" s="56"/>
    </row>
    <row r="19" spans="1:25" s="2061" customFormat="1" ht="18" customHeight="1">
      <c r="A19" s="799" t="s">
        <v>1844</v>
      </c>
      <c r="B19" s="780" t="s">
        <v>647</v>
      </c>
      <c r="C19" s="53" t="e">
        <f ca="1">ROUND(F19*(INDIRECT("'数据-取费表'!k"&amp;$G$1)+INDIRECT("'数据-取费表'!S"&amp;$G$1))/10000,0)</f>
        <v>#N/A</v>
      </c>
      <c r="D19" s="780" t="s">
        <v>648</v>
      </c>
      <c r="E19" s="780" t="s">
        <v>649</v>
      </c>
      <c r="F19" s="56">
        <f>'数据-取费表'!B35</f>
        <v>200</v>
      </c>
      <c r="G19" s="1589"/>
      <c r="H19" s="799" t="s">
        <v>2064</v>
      </c>
      <c r="I19" s="780" t="s">
        <v>650</v>
      </c>
      <c r="J19" s="53" t="e">
        <f ca="1">ROUND(IF(项目基本情况!B11="自然人",J7*M19,J20+J21+J22),0)</f>
        <v>#N/A</v>
      </c>
      <c r="K19" s="1976" t="s">
        <v>651</v>
      </c>
      <c r="L19" s="1974" t="s">
        <v>652</v>
      </c>
      <c r="M19" s="806" t="e">
        <f ca="1">IF(项目基本情况!B11="企业","",IF(INDIRECT("'数据-取费表'!c"&amp;$G$1)="住宅",5%,IF(M8*M9*M10/12/(1+'数据-取费表'!C42)&gt;20000,12%,7%)))</f>
        <v>#N/A</v>
      </c>
      <c r="N19" s="2060"/>
      <c r="O19" s="2060"/>
      <c r="P19" s="2060"/>
      <c r="Q19" s="2060"/>
      <c r="R19" s="2060"/>
      <c r="S19" s="2060"/>
      <c r="T19" s="2060"/>
      <c r="U19" s="2060"/>
      <c r="V19" s="2060"/>
      <c r="W19" s="2060"/>
      <c r="X19" s="2060"/>
      <c r="Y19" s="2060"/>
    </row>
    <row r="20" spans="1:25" s="2061" customFormat="1" ht="18" customHeight="1">
      <c r="A20" s="799" t="s">
        <v>1845</v>
      </c>
      <c r="B20" s="780" t="s">
        <v>653</v>
      </c>
      <c r="C20" s="53" t="e">
        <f ca="1">ROUND(C16*F20,0)</f>
        <v>#N/A</v>
      </c>
      <c r="D20" s="780" t="s">
        <v>642</v>
      </c>
      <c r="E20" s="780" t="s">
        <v>643</v>
      </c>
      <c r="F20" s="805">
        <f>'数据-取费表'!B36</f>
        <v>1.4999999999999999E-2</v>
      </c>
      <c r="G20" s="1589"/>
      <c r="H20" s="799" t="s">
        <v>1824</v>
      </c>
      <c r="I20" s="780" t="s">
        <v>654</v>
      </c>
      <c r="J20" s="53" t="e">
        <f ca="1">ROUND(J7*M20/1.05,1)</f>
        <v>#N/A</v>
      </c>
      <c r="K20" s="1974" t="s">
        <v>655</v>
      </c>
      <c r="L20" s="780" t="s">
        <v>643</v>
      </c>
      <c r="M20" s="805">
        <f>'数据-取费表'!B41</f>
        <v>5.6000000000000001E-2</v>
      </c>
      <c r="N20" s="2060"/>
      <c r="O20" s="2060"/>
      <c r="P20" s="2060"/>
      <c r="Q20" s="2060"/>
      <c r="R20" s="2060"/>
      <c r="S20" s="2060"/>
      <c r="T20" s="2060"/>
      <c r="U20" s="2060"/>
      <c r="V20" s="2060"/>
      <c r="W20" s="2060"/>
      <c r="X20" s="2060"/>
      <c r="Y20" s="2060"/>
    </row>
    <row r="21" spans="1:25" ht="18" customHeight="1">
      <c r="A21" s="799" t="s">
        <v>1869</v>
      </c>
      <c r="B21" s="780" t="s">
        <v>656</v>
      </c>
      <c r="C21" s="53" t="e">
        <f ca="1">SUM(C16:C20)</f>
        <v>#N/A</v>
      </c>
      <c r="D21" s="260" t="s">
        <v>657</v>
      </c>
      <c r="E21" s="1979"/>
      <c r="F21" s="56"/>
      <c r="G21" s="1588"/>
      <c r="H21" s="1827" t="s">
        <v>1842</v>
      </c>
      <c r="I21" s="780" t="s">
        <v>658</v>
      </c>
      <c r="J21" s="53" t="e">
        <f ca="1">IF(K21="按租金收入计税",ROUND(J7*M21,1),ROUND(C31*F35*0.7,1))</f>
        <v>#N/A</v>
      </c>
      <c r="K21" s="807" t="s">
        <v>659</v>
      </c>
      <c r="L21" s="780" t="s">
        <v>643</v>
      </c>
      <c r="M21" s="805">
        <f>IF(K21="按租金收入计税",'数据-取费表'!B51,'数据-取费表'!B50)</f>
        <v>1.2E-2</v>
      </c>
    </row>
    <row r="22" spans="1:25" s="2061" customFormat="1" ht="18" customHeight="1">
      <c r="A22" s="799" t="s">
        <v>1870</v>
      </c>
      <c r="B22" s="780" t="s">
        <v>660</v>
      </c>
      <c r="C22" s="53" t="e">
        <f ca="1">ROUND(C21*F22,0)</f>
        <v>#N/A</v>
      </c>
      <c r="D22" s="808" t="s">
        <v>661</v>
      </c>
      <c r="E22" s="780" t="s">
        <v>643</v>
      </c>
      <c r="F22" s="805">
        <f>'数据-取费表'!B37</f>
        <v>0.03</v>
      </c>
      <c r="G22" s="1589"/>
      <c r="H22" s="1829" t="s">
        <v>1843</v>
      </c>
      <c r="I22" s="1819" t="s">
        <v>662</v>
      </c>
      <c r="J22" s="54" t="e">
        <f ca="1">ROUND(M22*M23/10000,0)</f>
        <v>#N/A</v>
      </c>
      <c r="K22" s="810" t="s">
        <v>663</v>
      </c>
      <c r="L22" s="780" t="s">
        <v>664</v>
      </c>
      <c r="M22" s="636">
        <f>'数据-取费表'!B52</f>
        <v>1.5</v>
      </c>
      <c r="N22" s="2060"/>
      <c r="O22" s="2060"/>
      <c r="P22" s="2060"/>
      <c r="Q22" s="2060"/>
      <c r="R22" s="2060"/>
      <c r="S22" s="2060"/>
      <c r="T22" s="2060"/>
      <c r="U22" s="2060"/>
      <c r="V22" s="2060"/>
      <c r="W22" s="2060"/>
      <c r="X22" s="2060"/>
      <c r="Y22" s="2060"/>
    </row>
    <row r="23" spans="1:25" s="2061" customFormat="1" ht="18" customHeight="1">
      <c r="A23" s="799" t="s">
        <v>1871</v>
      </c>
      <c r="B23" s="780" t="s">
        <v>665</v>
      </c>
      <c r="C23" s="53" t="s">
        <v>1</v>
      </c>
      <c r="D23" s="808" t="s">
        <v>666</v>
      </c>
      <c r="E23" s="780" t="s">
        <v>667</v>
      </c>
      <c r="F23" s="805">
        <f>'数据-取费表'!B38</f>
        <v>0.03</v>
      </c>
      <c r="G23" s="1589"/>
      <c r="H23" s="1830"/>
      <c r="I23" s="1821"/>
      <c r="J23" s="69"/>
      <c r="K23" s="812"/>
      <c r="L23" s="780" t="s">
        <v>668</v>
      </c>
      <c r="M23" s="781" t="e">
        <f ca="1">INDIRECT("'数据-取费表'!r"&amp;$G$1)</f>
        <v>#N/A</v>
      </c>
      <c r="N23" s="2060"/>
      <c r="O23" s="2060"/>
      <c r="P23" s="2060"/>
      <c r="Q23" s="2060"/>
      <c r="R23" s="2060"/>
      <c r="S23" s="2060"/>
      <c r="T23" s="2060"/>
      <c r="U23" s="2060"/>
      <c r="V23" s="2060"/>
      <c r="W23" s="2060"/>
      <c r="X23" s="2060"/>
      <c r="Y23" s="2060"/>
    </row>
    <row r="24" spans="1:25" ht="18" customHeight="1">
      <c r="A24" s="799" t="s">
        <v>1872</v>
      </c>
      <c r="B24" s="780" t="s">
        <v>669</v>
      </c>
      <c r="C24" s="53"/>
      <c r="D24" s="2569" t="str">
        <f>IF(F25&lt;=1,"单利计息。","复利计息。")&amp;"建造成本、管理费用、销售费用产生的利息。"</f>
        <v>复利计息。建造成本、管理费用、销售费用产生的利息。</v>
      </c>
      <c r="E24" s="1979"/>
      <c r="F24" s="56"/>
      <c r="G24" s="1588"/>
      <c r="H24" s="1828" t="s">
        <v>2065</v>
      </c>
      <c r="I24" s="780" t="s">
        <v>670</v>
      </c>
      <c r="J24" s="53" t="e">
        <f ca="1">ROUND(J16*M24,0)</f>
        <v>#N/A</v>
      </c>
      <c r="K24" s="1974" t="s">
        <v>671</v>
      </c>
      <c r="L24" s="780" t="s">
        <v>643</v>
      </c>
      <c r="M24" s="813" t="e">
        <f ca="1">INDIRECT("'数据-取费表'!Ak"&amp;$G$1)</f>
        <v>#N/A</v>
      </c>
    </row>
    <row r="25" spans="1:25" s="2061" customFormat="1" ht="18" customHeight="1">
      <c r="A25" s="799" t="s">
        <v>1868</v>
      </c>
      <c r="B25" s="780" t="s">
        <v>2432</v>
      </c>
      <c r="C25" s="53" t="e">
        <f ca="1">ROUND(IF('数据-取费表'!B22&lt;=1,(C21+C22)*F26*F25/2,(C21+C22)*(POWER((1+F26),F25/2)-1)),0)</f>
        <v>#N/A</v>
      </c>
      <c r="D25" s="2568" t="str">
        <f>IF(F25&lt;=1,"(建造成本+管理费用)×利率×(建设周期÷2)","(建造成本+管理费用)×((1+利率)^(建设周期÷2)-1)")</f>
        <v>(建造成本+管理费用)×((1+利率)^(建设周期÷2)-1)</v>
      </c>
      <c r="E25" s="780" t="s">
        <v>672</v>
      </c>
      <c r="F25" s="636">
        <f>'数据-取费表'!B20</f>
        <v>3</v>
      </c>
      <c r="G25" s="1589"/>
      <c r="H25" s="799" t="s">
        <v>1871</v>
      </c>
      <c r="I25" s="780" t="s">
        <v>673</v>
      </c>
      <c r="J25" s="53" t="e">
        <f ca="1">ROUND(J15*M25,0)</f>
        <v>#N/A</v>
      </c>
      <c r="K25" s="1974" t="s">
        <v>674</v>
      </c>
      <c r="L25" s="780" t="s">
        <v>643</v>
      </c>
      <c r="M25" s="814" t="e">
        <f ca="1">INDIRECT("'数据-取费表'!Al"&amp;$G$1)</f>
        <v>#N/A</v>
      </c>
      <c r="N25" s="2060"/>
      <c r="O25" s="2060"/>
      <c r="P25" s="2060"/>
      <c r="Q25" s="2060"/>
      <c r="R25" s="2060"/>
      <c r="S25" s="2060"/>
      <c r="T25" s="2060"/>
      <c r="U25" s="2060"/>
      <c r="V25" s="2060"/>
      <c r="W25" s="2060"/>
      <c r="X25" s="2060"/>
      <c r="Y25" s="2060"/>
    </row>
    <row r="26" spans="1:25" s="2061" customFormat="1" ht="18" customHeight="1">
      <c r="A26" s="799" t="s">
        <v>1842</v>
      </c>
      <c r="B26" s="780" t="s">
        <v>675</v>
      </c>
      <c r="C26" s="53">
        <f ca="1">ROUND(IF('数据-取费表'!B22&lt;=1,F23*F26*F25/2,F23*(POWER((1+F26),F25/2)-1)),4)</f>
        <v>2.2000000000000001E-3</v>
      </c>
      <c r="D26" s="2568" t="str">
        <f>IF(F25&lt;=1,"销售费用×利率×(建设周期÷2)","销售费用×((1+利率)^(建设周期÷2)-1)")</f>
        <v>销售费用×((1+利率)^(建设周期÷2)-1)</v>
      </c>
      <c r="E26" s="780" t="s">
        <v>676</v>
      </c>
      <c r="F26" s="815">
        <f ca="1">'数据-取费表'!B40</f>
        <v>4.7500000000000001E-2</v>
      </c>
      <c r="G26" s="1589"/>
      <c r="H26" s="799" t="s">
        <v>1872</v>
      </c>
      <c r="I26" s="780" t="s">
        <v>660</v>
      </c>
      <c r="J26" s="53" t="e">
        <f ca="1">ROUND(J7*M26,0)</f>
        <v>#N/A</v>
      </c>
      <c r="K26" s="1974" t="s">
        <v>677</v>
      </c>
      <c r="L26" s="780" t="s">
        <v>643</v>
      </c>
      <c r="M26" s="790" t="e">
        <f ca="1">INDIRECT("'数据-取费表'!Am"&amp;$G$1)</f>
        <v>#N/A</v>
      </c>
      <c r="N26" s="2060"/>
      <c r="O26" s="2060"/>
      <c r="P26" s="2060"/>
      <c r="Q26" s="2060"/>
      <c r="R26" s="2060"/>
      <c r="S26" s="2060"/>
      <c r="T26" s="2060"/>
      <c r="U26" s="2060"/>
      <c r="V26" s="2060"/>
      <c r="W26" s="2060"/>
      <c r="X26" s="2060"/>
      <c r="Y26" s="2060"/>
    </row>
    <row r="27" spans="1:25" ht="18" customHeight="1">
      <c r="A27" s="799" t="s">
        <v>1874</v>
      </c>
      <c r="B27" s="780" t="s">
        <v>678</v>
      </c>
      <c r="C27" s="53"/>
      <c r="D27" s="260" t="s">
        <v>679</v>
      </c>
      <c r="E27" s="1979"/>
      <c r="F27" s="56"/>
      <c r="G27" s="1588"/>
      <c r="H27" s="793" t="s">
        <v>1821</v>
      </c>
      <c r="I27" s="3008" t="s">
        <v>2817</v>
      </c>
      <c r="J27" s="795" t="e">
        <f ca="1">J7-J18</f>
        <v>#N/A</v>
      </c>
      <c r="K27" s="1976" t="s">
        <v>694</v>
      </c>
      <c r="L27" s="1978"/>
      <c r="M27" s="816"/>
    </row>
    <row r="28" spans="1:25" ht="18" customHeight="1">
      <c r="A28" s="799" t="s">
        <v>1868</v>
      </c>
      <c r="B28" s="780" t="s">
        <v>2433</v>
      </c>
      <c r="C28" s="53" t="e">
        <f ca="1">ROUND((C21+C22)*F28,0)</f>
        <v>#N/A</v>
      </c>
      <c r="D28" s="808" t="s">
        <v>695</v>
      </c>
      <c r="E28" s="791" t="s">
        <v>696</v>
      </c>
      <c r="F28" s="790" t="e">
        <f ca="1">INDIRECT("'数据-取费表'!q"&amp;$G$1)</f>
        <v>#N/A</v>
      </c>
      <c r="G28" s="1588"/>
      <c r="H28" s="777" t="s">
        <v>1830</v>
      </c>
      <c r="I28" s="778" t="s">
        <v>697</v>
      </c>
      <c r="J28" s="779" t="e">
        <f ca="1">IF(J7&lt;&gt;0,ROUND(J27*(1-((1+M30)/(1+M28))^M29)/(M28-M30),0),0)</f>
        <v>#N/A</v>
      </c>
      <c r="K28" s="810" t="s">
        <v>698</v>
      </c>
      <c r="L28" s="780" t="s">
        <v>699</v>
      </c>
      <c r="M28" s="790" t="e">
        <f ca="1">INDIRECT("'数据-取费表'!I"&amp;$G$1)</f>
        <v>#N/A</v>
      </c>
    </row>
    <row r="29" spans="1:25" ht="18" customHeight="1">
      <c r="A29" s="799" t="s">
        <v>1842</v>
      </c>
      <c r="B29" s="780" t="s">
        <v>680</v>
      </c>
      <c r="C29" s="53" t="e">
        <f ca="1">ROUND(F23*F28,4)</f>
        <v>#N/A</v>
      </c>
      <c r="D29" s="808" t="s">
        <v>700</v>
      </c>
      <c r="E29" s="802"/>
      <c r="F29" s="803"/>
      <c r="G29" s="1588"/>
      <c r="H29" s="782"/>
      <c r="I29" s="783"/>
      <c r="J29" s="784"/>
      <c r="K29" s="817" t="s">
        <v>701</v>
      </c>
      <c r="L29" s="780" t="s">
        <v>702</v>
      </c>
      <c r="M29" s="818" t="e">
        <f ca="1">INDIRECT("'数据-取费表'!ag"&amp;$G$1)</f>
        <v>#N/A</v>
      </c>
    </row>
    <row r="30" spans="1:25" s="2061" customFormat="1" ht="18" customHeight="1">
      <c r="A30" s="799" t="s">
        <v>1875</v>
      </c>
      <c r="B30" s="780" t="s">
        <v>681</v>
      </c>
      <c r="C30" s="53">
        <f>ROUND(F30/(1+'数据-取费表'!C42),4)</f>
        <v>5.33E-2</v>
      </c>
      <c r="D30" s="808" t="s">
        <v>703</v>
      </c>
      <c r="E30" s="780" t="s">
        <v>643</v>
      </c>
      <c r="F30" s="805">
        <f>'数据-取费表'!B41</f>
        <v>5.6000000000000001E-2</v>
      </c>
      <c r="G30" s="1589"/>
      <c r="H30" s="786"/>
      <c r="I30" s="787"/>
      <c r="J30" s="788"/>
      <c r="K30" s="812"/>
      <c r="L30" s="780" t="s">
        <v>704</v>
      </c>
      <c r="M30" s="790" t="e">
        <f ca="1">INDIRECT("'数据-取费表'!aa"&amp;$G$1)</f>
        <v>#N/A</v>
      </c>
      <c r="N30" s="2060"/>
      <c r="O30" s="2060"/>
      <c r="P30" s="2060"/>
      <c r="Q30" s="2060"/>
      <c r="R30" s="2060"/>
      <c r="S30" s="2060"/>
      <c r="T30" s="2060"/>
      <c r="U30" s="2060"/>
      <c r="V30" s="2060"/>
      <c r="W30" s="2060"/>
      <c r="X30" s="2060"/>
      <c r="Y30" s="2060"/>
    </row>
    <row r="31" spans="1:25" s="2061" customFormat="1" ht="18" customHeight="1" thickBot="1">
      <c r="A31" s="2557" t="s">
        <v>1876</v>
      </c>
      <c r="B31" s="2538" t="s">
        <v>2818</v>
      </c>
      <c r="C31" s="2541" t="e">
        <f ca="1">ROUND((C21+C22+C25+C28)/(1-F23-C26-C29-C30),0)</f>
        <v>#N/A</v>
      </c>
      <c r="D31" s="2542"/>
      <c r="E31" s="2543"/>
      <c r="F31" s="2544"/>
      <c r="G31" s="1589"/>
      <c r="H31" s="819" t="s">
        <v>1865</v>
      </c>
      <c r="I31" s="3009" t="s">
        <v>2819</v>
      </c>
      <c r="J31" s="821" t="e">
        <f ca="1">ROUND(J28/(1+F45)^F46,0)</f>
        <v>#N/A</v>
      </c>
      <c r="K31" s="822" t="s">
        <v>682</v>
      </c>
      <c r="L31" s="823"/>
      <c r="M31" s="824" t="e">
        <f ca="1">INDIRECT("'数据-取费表'!k"&amp;$G$1)</f>
        <v>#N/A</v>
      </c>
      <c r="N31" s="2060"/>
      <c r="O31" s="2060"/>
      <c r="P31" s="2060"/>
      <c r="Q31" s="2060"/>
      <c r="R31" s="2060"/>
      <c r="S31" s="2060"/>
      <c r="T31" s="2060"/>
      <c r="U31" s="2060"/>
      <c r="V31" s="2060"/>
      <c r="W31" s="2060"/>
      <c r="X31" s="2060"/>
      <c r="Y31" s="2060"/>
    </row>
    <row r="32" spans="1:25" ht="18" customHeight="1" thickTop="1">
      <c r="A32" s="1826" t="s">
        <v>7</v>
      </c>
      <c r="B32" s="1824" t="s">
        <v>683</v>
      </c>
      <c r="C32" s="788" t="e">
        <f ca="1">ROUND(C33+C38+C39+C40,0)</f>
        <v>#N/A</v>
      </c>
      <c r="D32" s="1818" t="s">
        <v>646</v>
      </c>
      <c r="E32" s="2484"/>
      <c r="F32" s="2488"/>
      <c r="G32" s="2059"/>
      <c r="H32" s="2062"/>
      <c r="I32" s="2063"/>
      <c r="J32" s="2064"/>
      <c r="K32" s="2065"/>
      <c r="L32" s="2066"/>
      <c r="M32" s="2067"/>
    </row>
    <row r="33" spans="1:18" ht="18" customHeight="1">
      <c r="A33" s="799" t="s">
        <v>1869</v>
      </c>
      <c r="B33" s="780" t="s">
        <v>650</v>
      </c>
      <c r="C33" s="53" t="e">
        <f ca="1">ROUND(IF(项目基本情况!B11="自然人",C7*F33,C34+C35+C36),1)</f>
        <v>#N/A</v>
      </c>
      <c r="D33" s="1976" t="s">
        <v>651</v>
      </c>
      <c r="E33" s="1974" t="s">
        <v>684</v>
      </c>
      <c r="F33" s="806" t="e">
        <f ca="1">IF(项目基本情况!B11="企业","",IF(INDIRECT("'数据-取费表'!c"&amp;$G$1)="住宅",5%,IF(F8*F9*F10/12/(1+'数据-取费表'!C42)&gt;20000,12%,7%)))</f>
        <v>#N/A</v>
      </c>
      <c r="G33" s="2059"/>
      <c r="H33" s="2062"/>
      <c r="I33" s="2063"/>
      <c r="J33" s="2064"/>
      <c r="K33" s="2065"/>
      <c r="L33" s="2066"/>
      <c r="M33" s="2067"/>
    </row>
    <row r="34" spans="1:18" ht="18" customHeight="1">
      <c r="A34" s="799" t="s">
        <v>1868</v>
      </c>
      <c r="B34" s="780" t="s">
        <v>654</v>
      </c>
      <c r="C34" s="53" t="e">
        <f ca="1">ROUND(C7*F34/1.05,1)</f>
        <v>#N/A</v>
      </c>
      <c r="D34" s="1974" t="s">
        <v>655</v>
      </c>
      <c r="E34" s="780" t="s">
        <v>643</v>
      </c>
      <c r="F34" s="805">
        <f>'数据-取费表'!B41</f>
        <v>5.6000000000000001E-2</v>
      </c>
      <c r="G34" s="2059"/>
      <c r="H34" s="2068"/>
      <c r="I34" s="2069"/>
      <c r="J34" s="2070"/>
      <c r="K34" s="2071"/>
      <c r="L34" s="2072"/>
      <c r="M34" s="2073"/>
    </row>
    <row r="35" spans="1:18" ht="18" customHeight="1">
      <c r="A35" s="799" t="s">
        <v>1842</v>
      </c>
      <c r="B35" s="780" t="s">
        <v>658</v>
      </c>
      <c r="C35" s="53" t="e">
        <f ca="1">IF(D35="按租金收入计税",ROUND(C7*F35,1),IF(D35="按房产原值计税",ROUND(C31*F35*0.7,1),INDIRECT("'数据-取费表'!Aj"&amp;$G$1)))</f>
        <v>#N/A</v>
      </c>
      <c r="D35" s="807" t="s">
        <v>1675</v>
      </c>
      <c r="E35" s="780" t="s">
        <v>643</v>
      </c>
      <c r="F35" s="805">
        <f>IF(D35="按租金收入计税",'数据-取费表'!B51,'数据-取费表'!B50)</f>
        <v>1.2E-2</v>
      </c>
      <c r="G35" s="2059"/>
      <c r="H35" s="2074"/>
      <c r="I35" s="2074"/>
      <c r="J35" s="2074"/>
      <c r="K35" s="2075"/>
      <c r="L35" s="2074"/>
      <c r="M35" s="2074"/>
    </row>
    <row r="36" spans="1:18" ht="18" customHeight="1">
      <c r="A36" s="809" t="s">
        <v>1873</v>
      </c>
      <c r="B36" s="337" t="s">
        <v>662</v>
      </c>
      <c r="C36" s="54" t="e">
        <f ca="1">ROUND(F36*F37/10000,1)</f>
        <v>#N/A</v>
      </c>
      <c r="D36" s="810" t="s">
        <v>663</v>
      </c>
      <c r="E36" s="780" t="s">
        <v>664</v>
      </c>
      <c r="F36" s="636">
        <f>'数据-取费表'!B52</f>
        <v>1.5</v>
      </c>
      <c r="G36" s="2059"/>
      <c r="H36" s="2062"/>
      <c r="I36" s="3581"/>
      <c r="J36" s="2076"/>
      <c r="K36" s="2077"/>
      <c r="L36" s="2076"/>
      <c r="M36" s="2076"/>
    </row>
    <row r="37" spans="1:18" ht="18" customHeight="1">
      <c r="A37" s="811"/>
      <c r="B37" s="789"/>
      <c r="C37" s="69"/>
      <c r="D37" s="812"/>
      <c r="E37" s="780" t="s">
        <v>668</v>
      </c>
      <c r="F37" s="781" t="e">
        <f ca="1">INDIRECT("'数据-取费表'!r"&amp;$G$1)</f>
        <v>#N/A</v>
      </c>
      <c r="G37" s="2059"/>
      <c r="H37" s="2062"/>
      <c r="I37" s="3581"/>
      <c r="J37" s="2074"/>
      <c r="K37" s="2075"/>
      <c r="L37" s="2074"/>
      <c r="M37" s="2074"/>
    </row>
    <row r="38" spans="1:18" ht="18" customHeight="1">
      <c r="A38" s="799" t="s">
        <v>1870</v>
      </c>
      <c r="B38" s="780" t="s">
        <v>670</v>
      </c>
      <c r="C38" s="53" t="e">
        <f ca="1">ROUND(C31*F38,1)</f>
        <v>#N/A</v>
      </c>
      <c r="D38" s="1974" t="s">
        <v>685</v>
      </c>
      <c r="E38" s="780" t="s">
        <v>643</v>
      </c>
      <c r="F38" s="813" t="e">
        <f ca="1">INDIRECT("'数据-取费表'!Ak"&amp;$G$1)</f>
        <v>#N/A</v>
      </c>
      <c r="G38" s="2059"/>
      <c r="H38" s="2074"/>
      <c r="I38" s="2078"/>
      <c r="J38" s="1985"/>
      <c r="K38" s="2079"/>
      <c r="L38" s="2074"/>
      <c r="M38" s="2074"/>
    </row>
    <row r="39" spans="1:18" ht="18" customHeight="1">
      <c r="A39" s="799" t="s">
        <v>1871</v>
      </c>
      <c r="B39" s="780" t="s">
        <v>673</v>
      </c>
      <c r="C39" s="53" t="e">
        <f ca="1">ROUND(C15*F39,1)</f>
        <v>#N/A</v>
      </c>
      <c r="D39" s="1974" t="s">
        <v>674</v>
      </c>
      <c r="E39" s="780" t="s">
        <v>643</v>
      </c>
      <c r="F39" s="814" t="e">
        <f ca="1">INDIRECT("'数据-取费表'!Al"&amp;$G$1)</f>
        <v>#N/A</v>
      </c>
      <c r="G39" s="2059"/>
      <c r="H39" s="2074"/>
      <c r="I39" s="2078"/>
      <c r="J39" s="1985"/>
      <c r="K39" s="2079"/>
      <c r="L39" s="2074"/>
      <c r="M39" s="2074"/>
    </row>
    <row r="40" spans="1:18" ht="18" customHeight="1" thickBot="1">
      <c r="A40" s="2557" t="s">
        <v>1872</v>
      </c>
      <c r="B40" s="2543" t="s">
        <v>660</v>
      </c>
      <c r="C40" s="2541" t="e">
        <f ca="1">ROUND(C7*F40,1)</f>
        <v>#N/A</v>
      </c>
      <c r="D40" s="2542" t="s">
        <v>677</v>
      </c>
      <c r="E40" s="2543" t="s">
        <v>643</v>
      </c>
      <c r="F40" s="2539" t="e">
        <f ca="1">INDIRECT("'数据-取费表'!Am"&amp;$G$1)</f>
        <v>#N/A</v>
      </c>
      <c r="G40" s="2059"/>
      <c r="H40" s="2074"/>
      <c r="I40" s="2078"/>
      <c r="J40" s="1985"/>
      <c r="K40" s="2080"/>
      <c r="L40" s="2074"/>
      <c r="M40" s="2074"/>
    </row>
    <row r="41" spans="1:18" ht="18" customHeight="1" thickTop="1">
      <c r="A41" s="1826">
        <v>4</v>
      </c>
      <c r="B41" s="1824" t="s">
        <v>686</v>
      </c>
      <c r="C41" s="1349"/>
      <c r="D41" s="1350"/>
      <c r="E41" s="1350"/>
      <c r="F41" s="1351"/>
      <c r="G41" s="2059"/>
      <c r="H41" s="2059"/>
      <c r="I41" s="2059"/>
      <c r="J41" s="2059"/>
      <c r="K41" s="2080"/>
      <c r="L41" s="2059"/>
      <c r="M41" s="2059"/>
    </row>
    <row r="42" spans="1:18" ht="18" customHeight="1">
      <c r="A42" s="799" t="s">
        <v>1869</v>
      </c>
      <c r="B42" s="831" t="s">
        <v>687</v>
      </c>
      <c r="C42" s="825" t="e">
        <f ca="1">C7-C32</f>
        <v>#N/A</v>
      </c>
      <c r="D42" s="1976" t="s">
        <v>688</v>
      </c>
      <c r="E42" s="1978"/>
      <c r="F42" s="816"/>
      <c r="G42" s="2059"/>
      <c r="H42" s="2059"/>
      <c r="I42" s="2059"/>
      <c r="J42" s="2059"/>
      <c r="K42" s="2080"/>
      <c r="L42" s="2059"/>
      <c r="M42" s="2059"/>
    </row>
    <row r="43" spans="1:18" ht="18" customHeight="1">
      <c r="A43" s="799" t="s">
        <v>1870</v>
      </c>
      <c r="B43" s="831" t="s">
        <v>705</v>
      </c>
      <c r="C43" s="832" t="e">
        <f ca="1">ROUND(C15*F43,0)</f>
        <v>#N/A</v>
      </c>
      <c r="D43" s="1352" t="s">
        <v>706</v>
      </c>
      <c r="E43" s="3117" t="s">
        <v>2959</v>
      </c>
      <c r="F43" s="3118" t="e">
        <f ca="1">INDIRECT("'数据-取费表'!j"&amp;$G$1)</f>
        <v>#N/A</v>
      </c>
      <c r="G43" s="2059"/>
      <c r="H43" s="2059"/>
      <c r="I43" s="2059"/>
      <c r="J43" s="2059"/>
      <c r="K43" s="2080"/>
      <c r="L43" s="2059"/>
      <c r="M43" s="2059"/>
    </row>
    <row r="44" spans="1:18" ht="18" customHeight="1">
      <c r="A44" s="799" t="s">
        <v>1871</v>
      </c>
      <c r="B44" s="831" t="s">
        <v>707</v>
      </c>
      <c r="C44" s="1353" t="e">
        <f ca="1">C42-C43</f>
        <v>#N/A</v>
      </c>
      <c r="D44" s="459" t="s">
        <v>708</v>
      </c>
      <c r="E44" s="460"/>
      <c r="F44" s="461"/>
      <c r="G44" s="2059"/>
      <c r="H44" s="2059"/>
      <c r="I44" s="2059"/>
      <c r="J44" s="2059"/>
      <c r="K44" s="2080"/>
      <c r="L44" s="2059"/>
      <c r="M44" s="2059"/>
    </row>
    <row r="45" spans="1:18" ht="18" customHeight="1">
      <c r="A45" s="799" t="s">
        <v>1872</v>
      </c>
      <c r="B45" s="1352" t="s">
        <v>709</v>
      </c>
      <c r="C45" s="3032" t="e">
        <f ca="1">ROUND(-PV(F45,F46,C44,0),0)</f>
        <v>#N/A</v>
      </c>
      <c r="D45" s="1354" t="s">
        <v>710</v>
      </c>
      <c r="E45" s="802" t="s">
        <v>711</v>
      </c>
      <c r="F45" s="826" t="e">
        <f ca="1">INDIRECT("'数据-取费表'!h"&amp;$G$1)</f>
        <v>#N/A</v>
      </c>
      <c r="G45" s="2059"/>
      <c r="H45" s="2059"/>
      <c r="I45" s="2059"/>
      <c r="J45" s="2059"/>
      <c r="K45" s="2080"/>
      <c r="L45" s="2059"/>
      <c r="M45" s="2059"/>
    </row>
    <row r="46" spans="1:18" ht="18" customHeight="1" thickBot="1">
      <c r="A46" s="827"/>
      <c r="B46" s="1355"/>
      <c r="C46" s="1356"/>
      <c r="D46" s="1357"/>
      <c r="E46" s="3119" t="s">
        <v>2962</v>
      </c>
      <c r="F46" s="824" t="e">
        <f ca="1">IF(INDIRECT("'数据-取费表'!af"&amp;$G$1)=0,INDIRECT("'数据-取费表'!ae"&amp;$G$1),INDIRECT("'数据-取费表'!af"&amp;$G$1))</f>
        <v>#N/A</v>
      </c>
      <c r="G46" s="2059"/>
      <c r="H46" s="2059"/>
      <c r="I46" s="2059"/>
      <c r="J46" s="2059"/>
      <c r="K46" s="2080"/>
      <c r="L46" s="2059"/>
      <c r="M46" s="2059"/>
    </row>
    <row r="47" spans="1:18" s="2056" customFormat="1" ht="18" customHeight="1" thickBot="1">
      <c r="A47" s="2081"/>
      <c r="D47" s="2082"/>
      <c r="E47" s="2082"/>
      <c r="F47" s="2082"/>
      <c r="I47" s="2375" t="s">
        <v>2338</v>
      </c>
      <c r="J47" s="2376"/>
      <c r="K47" s="2377"/>
      <c r="L47" s="3155" t="e">
        <f ca="1">IF(M48="住宅",0,IF(L49&gt;J52,L61,J61))</f>
        <v>#N/A</v>
      </c>
      <c r="O47" s="2391" t="s">
        <v>2405</v>
      </c>
      <c r="P47" s="1588"/>
      <c r="Q47" s="1600"/>
      <c r="R47" s="1588"/>
    </row>
    <row r="48" spans="1:18" s="2056" customFormat="1" ht="18" customHeight="1" thickBot="1">
      <c r="A48" s="2081"/>
      <c r="C48" s="2084"/>
      <c r="D48" s="2085"/>
      <c r="E48" s="2085"/>
      <c r="F48" s="2086"/>
      <c r="G48" s="2087"/>
      <c r="I48" s="3145" t="s">
        <v>2339</v>
      </c>
      <c r="J48" s="2378"/>
      <c r="K48" s="3152" t="s">
        <v>2344</v>
      </c>
      <c r="L48" s="3156" t="e">
        <f ca="1">INDIRECT("'数据-取费表'!d"&amp;$G$1)</f>
        <v>#N/A</v>
      </c>
      <c r="M48" s="3116" t="str">
        <f>IF(ISNUMBER(FIND("住宅",C1)),"住宅","非住宅")</f>
        <v>非住宅</v>
      </c>
      <c r="O48" s="2392" t="s">
        <v>2370</v>
      </c>
      <c r="P48" s="2393" t="s">
        <v>2371</v>
      </c>
      <c r="Q48" s="2394" t="s">
        <v>2372</v>
      </c>
      <c r="R48" s="2393" t="s">
        <v>2373</v>
      </c>
    </row>
    <row r="49" spans="1:18" s="2056" customFormat="1" ht="18" customHeight="1" thickBot="1">
      <c r="A49" s="2081"/>
      <c r="D49" s="2088"/>
      <c r="E49" s="2089"/>
      <c r="F49" s="2086"/>
      <c r="G49" s="2087"/>
      <c r="H49" s="2090"/>
      <c r="I49" s="3121" t="s">
        <v>2340</v>
      </c>
      <c r="J49" s="2379"/>
      <c r="K49" s="3153" t="s">
        <v>2346</v>
      </c>
      <c r="L49" s="1905" t="e">
        <f ca="1">INDIRECT("'数据-取费表'!f"&amp;$G$1)</f>
        <v>#N/A</v>
      </c>
      <c r="O49" s="2395" t="s">
        <v>2374</v>
      </c>
      <c r="P49" s="2396" t="s">
        <v>2400</v>
      </c>
      <c r="Q49" s="2397" t="e">
        <f ca="1">C41+J31</f>
        <v>#N/A</v>
      </c>
      <c r="R49" s="2396" t="s">
        <v>2375</v>
      </c>
    </row>
    <row r="50" spans="1:18" s="2056" customFormat="1" ht="18" customHeight="1" thickBot="1">
      <c r="A50" s="2081"/>
      <c r="D50" s="2091"/>
      <c r="E50" s="2091"/>
      <c r="F50" s="2085"/>
      <c r="G50" s="2092"/>
      <c r="H50" s="2090"/>
      <c r="I50" s="3121" t="s">
        <v>2341</v>
      </c>
      <c r="J50" s="2380"/>
      <c r="K50" s="3154" t="s">
        <v>2347</v>
      </c>
      <c r="L50" s="2381"/>
      <c r="O50" s="2395" t="s">
        <v>2376</v>
      </c>
      <c r="P50" s="2396" t="s">
        <v>2401</v>
      </c>
      <c r="Q50" s="2397" t="e">
        <f ca="1">J61</f>
        <v>#N/A</v>
      </c>
      <c r="R50" s="2396" t="s">
        <v>2377</v>
      </c>
    </row>
    <row r="51" spans="1:18" s="2056" customFormat="1" ht="18" customHeight="1" thickBot="1">
      <c r="A51" s="2093"/>
      <c r="D51" s="2091"/>
      <c r="E51" s="2091"/>
      <c r="F51" s="2082"/>
      <c r="H51" s="2090"/>
      <c r="I51" s="3121" t="s">
        <v>2342</v>
      </c>
      <c r="J51" s="3149">
        <f>SUMPRODUCT((I64:I66=J48)*(J63:L63=J49)*(J64:L66))</f>
        <v>0</v>
      </c>
      <c r="K51" s="3154" t="s">
        <v>2348</v>
      </c>
      <c r="L51" s="2381"/>
      <c r="O51" s="2398" t="s">
        <v>2378</v>
      </c>
      <c r="P51" s="2396" t="s">
        <v>2402</v>
      </c>
      <c r="Q51" s="2397" t="e">
        <f ca="1">C31</f>
        <v>#N/A</v>
      </c>
      <c r="R51" s="2396" t="s">
        <v>2375</v>
      </c>
    </row>
    <row r="52" spans="1:18" s="2056" customFormat="1" ht="18" customHeight="1" thickBot="1">
      <c r="A52" s="2093"/>
      <c r="F52" s="2082"/>
      <c r="I52" s="3146" t="s">
        <v>2343</v>
      </c>
      <c r="J52" s="3150">
        <f>IF(J50="",J51,J50+J51-YEAR('数据-取费表'!B3))</f>
        <v>0</v>
      </c>
      <c r="K52" s="3121" t="s">
        <v>2349</v>
      </c>
      <c r="L52" s="3157" t="e">
        <f ca="1">ROUND(-PV(INDIRECT("'数据-取费表'!h"&amp;$G$1),L49,(C40-C14*J36),0),0)</f>
        <v>#N/A</v>
      </c>
      <c r="O52" s="2398" t="s">
        <v>2379</v>
      </c>
      <c r="P52" s="2396" t="s">
        <v>2380</v>
      </c>
      <c r="Q52" s="2399" t="e">
        <f ca="1">J59</f>
        <v>#N/A</v>
      </c>
      <c r="R52" s="2400"/>
    </row>
    <row r="53" spans="1:18" s="2056" customFormat="1" ht="18" customHeight="1" thickBot="1">
      <c r="A53" s="2093"/>
      <c r="F53" s="2082"/>
      <c r="I53" s="3147" t="s">
        <v>2416</v>
      </c>
      <c r="J53" s="2382"/>
      <c r="K53" s="3147" t="s">
        <v>2415</v>
      </c>
      <c r="L53" s="2382"/>
      <c r="O53" s="2398" t="s">
        <v>2381</v>
      </c>
      <c r="P53" s="2396" t="s">
        <v>2382</v>
      </c>
      <c r="Q53" s="2399">
        <f>J53</f>
        <v>0</v>
      </c>
      <c r="R53" s="2400"/>
    </row>
    <row r="54" spans="1:18" s="2056" customFormat="1" ht="29.25" thickBot="1">
      <c r="A54" s="2093"/>
      <c r="I54" s="3148" t="s">
        <v>2976</v>
      </c>
      <c r="J54" s="3151" t="e">
        <f ca="1">IF(M48="住宅",MAX(J52,L49-'数据-取费表'!B20),MIN(J52,L49-'数据-取费表'!B20))</f>
        <v>#N/A</v>
      </c>
      <c r="K54" s="3582"/>
      <c r="L54" s="3583"/>
      <c r="O54" s="2398" t="s">
        <v>2383</v>
      </c>
      <c r="P54" s="2396" t="s">
        <v>2384</v>
      </c>
      <c r="Q54" s="2397" t="e">
        <f ca="1">J54</f>
        <v>#N/A</v>
      </c>
      <c r="R54" s="2396" t="s">
        <v>2385</v>
      </c>
    </row>
    <row r="55" spans="1:18" s="2056" customFormat="1" ht="18" customHeight="1" thickBot="1">
      <c r="A55" s="2093"/>
      <c r="I55" s="315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8"/>
      <c r="K55" s="3159"/>
      <c r="O55" s="2395" t="s">
        <v>2386</v>
      </c>
      <c r="P55" s="2396" t="s">
        <v>2403</v>
      </c>
      <c r="Q55" s="2397" t="e">
        <f ca="1">Q49+Q50</f>
        <v>#N/A</v>
      </c>
      <c r="R55" s="2400" t="s">
        <v>2387</v>
      </c>
    </row>
    <row r="56" spans="1:18" s="2056" customFormat="1" ht="16.5" thickBot="1">
      <c r="A56" s="2093"/>
      <c r="B56" s="2094"/>
      <c r="C56" s="2094"/>
      <c r="I56" s="3160" t="s">
        <v>2350</v>
      </c>
      <c r="J56" s="3096" t="e">
        <f ca="1">ROUND(IF(J48="钢混",J58/J51,1-(1-2%)*(J51-J58)/J51),3)</f>
        <v>#N/A</v>
      </c>
      <c r="K56" s="3161" t="s">
        <v>2351</v>
      </c>
      <c r="L56" s="2383"/>
      <c r="O56" s="2401" t="s">
        <v>2406</v>
      </c>
      <c r="P56" s="1588"/>
      <c r="Q56" s="1600"/>
      <c r="R56" s="1588"/>
    </row>
    <row r="57" spans="1:18" s="2056" customFormat="1" ht="43.5" thickBot="1">
      <c r="A57" s="2093"/>
      <c r="B57" s="2094"/>
      <c r="C57" s="2094"/>
      <c r="I57" s="3162" t="s">
        <v>2352</v>
      </c>
      <c r="J57" s="3172" t="s">
        <v>1673</v>
      </c>
      <c r="K57" s="3121" t="s">
        <v>2357</v>
      </c>
      <c r="L57" s="1905" t="e">
        <f ca="1">IF(L49&lt;J52,"——",L49-J52)</f>
        <v>#N/A</v>
      </c>
      <c r="O57" s="2392" t="s">
        <v>2370</v>
      </c>
      <c r="P57" s="2393" t="s">
        <v>2371</v>
      </c>
      <c r="Q57" s="2394" t="s">
        <v>2372</v>
      </c>
      <c r="R57" s="2393" t="s">
        <v>2373</v>
      </c>
    </row>
    <row r="58" spans="1:18" s="2056" customFormat="1" ht="29.25" thickBot="1">
      <c r="A58" s="2093"/>
      <c r="B58" s="2094"/>
      <c r="C58" s="2094"/>
      <c r="I58" s="3163" t="s">
        <v>2353</v>
      </c>
      <c r="J58" s="3164" t="e">
        <f ca="1">IF(OR(M48="住宅",J52&lt;L49,J57="是"),"——",J52-L49)</f>
        <v>#N/A</v>
      </c>
      <c r="K58" s="3121" t="s">
        <v>2358</v>
      </c>
      <c r="L58" s="1905" t="e">
        <f ca="1">IF(L49&lt;J52,"——",IF(L56="比较法",L50,IF(L56="基准地价",L51,L52)))</f>
        <v>#N/A</v>
      </c>
      <c r="O58" s="2395" t="s">
        <v>2374</v>
      </c>
      <c r="P58" s="2396" t="s">
        <v>2400</v>
      </c>
      <c r="Q58" s="2397" t="e">
        <f ca="1">C41+J31</f>
        <v>#N/A</v>
      </c>
      <c r="R58" s="2396" t="s">
        <v>2375</v>
      </c>
    </row>
    <row r="59" spans="1:18" s="2056" customFormat="1" ht="29.25" thickBot="1">
      <c r="A59" s="2093"/>
      <c r="B59" s="2094"/>
      <c r="C59" s="2094"/>
      <c r="I59" s="3163" t="s">
        <v>2354</v>
      </c>
      <c r="J59" s="3097" t="e">
        <f ca="1">IF(J56&lt;0.4,0.4,J56)</f>
        <v>#N/A</v>
      </c>
      <c r="K59" s="3121" t="s">
        <v>2359</v>
      </c>
      <c r="L59" s="1905">
        <f ca="1">IF(ISERROR(POWER(1+L53,L48-L49)*(POWER(1+L53,L49)-1)/(POWER(1+L53,L48)-1)),0,POWER(1+L53,L48-L49)*(POWER(1+L53,L49)-1)/(POWER(1+L53,L48)-1))</f>
        <v>0</v>
      </c>
      <c r="O59" s="2395" t="s">
        <v>2376</v>
      </c>
      <c r="P59" s="2396" t="s">
        <v>2407</v>
      </c>
      <c r="Q59" s="2397" t="e">
        <f ca="1">L61</f>
        <v>#N/A</v>
      </c>
      <c r="R59" s="2400" t="s">
        <v>2409</v>
      </c>
    </row>
    <row r="60" spans="1:18" s="2056" customFormat="1" ht="29.25" thickBot="1">
      <c r="A60" s="2093"/>
      <c r="B60" s="2094"/>
      <c r="C60" s="2094"/>
      <c r="I60" s="3163" t="s">
        <v>2355</v>
      </c>
      <c r="J60" s="3164" t="e">
        <f ca="1">IF(OR(M48="住宅",J52&lt;L49,J57="是"),"——",ROUND(C30*J59,0))</f>
        <v>#N/A</v>
      </c>
      <c r="K60" s="3121" t="s">
        <v>2360</v>
      </c>
      <c r="L60" s="1905">
        <f ca="1">IF(ISERROR(POWER(1+L53,L48-J52)*(POWER(1+L53,J52)-1)/(POWER(1+L53,L48)-1)),0,POWER(1+L53,L48-J52)*(POWER(1+L53,J52)-1)/(POWER(1+L53,L48)-1))</f>
        <v>0</v>
      </c>
      <c r="O60" s="2398" t="s">
        <v>2378</v>
      </c>
      <c r="P60" s="2396" t="s">
        <v>2408</v>
      </c>
      <c r="Q60" s="2397">
        <f>IF(L56="比较法",L50,IF(L56="基准地价",L51,0))</f>
        <v>0</v>
      </c>
      <c r="R60" s="2396" t="s">
        <v>2375</v>
      </c>
    </row>
    <row r="61" spans="1:18" s="2056" customFormat="1" ht="15.75" thickBot="1">
      <c r="A61" s="2093"/>
      <c r="B61" s="2094"/>
      <c r="C61" s="2094"/>
      <c r="I61" s="3165" t="s">
        <v>2356</v>
      </c>
      <c r="J61" s="3166" t="e">
        <f ca="1">IF(OR(M48="住宅",J52&lt;L49,J57="是"),"0",ROUND(J60/(1+J53)^J54,0))</f>
        <v>#N/A</v>
      </c>
      <c r="K61" s="3167" t="s">
        <v>2361</v>
      </c>
      <c r="L61" s="3166" t="e">
        <f ca="1">IF(OR(M48="住宅",L49&lt;J52),0,ROUND(L58*(L59/L60-1),0))</f>
        <v>#N/A</v>
      </c>
      <c r="O61" s="2398" t="s">
        <v>2379</v>
      </c>
      <c r="P61" s="2396" t="s">
        <v>2388</v>
      </c>
      <c r="Q61" s="2399">
        <f>L53</f>
        <v>0</v>
      </c>
      <c r="R61" s="2400"/>
    </row>
    <row r="62" spans="1:18" s="2056" customFormat="1" ht="20.25" thickBot="1">
      <c r="A62" s="2093"/>
      <c r="B62" s="2094"/>
      <c r="C62" s="2094"/>
      <c r="K62" s="2083"/>
      <c r="O62" s="2398" t="s">
        <v>2381</v>
      </c>
      <c r="P62" s="2396" t="s">
        <v>2389</v>
      </c>
      <c r="Q62" s="2397">
        <f ca="1">L59</f>
        <v>0</v>
      </c>
      <c r="R62" s="2400" t="s">
        <v>2390</v>
      </c>
    </row>
    <row r="63" spans="1:18" s="2056" customFormat="1" ht="20.25" thickBot="1">
      <c r="A63" s="2093"/>
      <c r="B63" s="2094"/>
      <c r="C63" s="2094"/>
      <c r="I63" s="3168" t="s">
        <v>2362</v>
      </c>
      <c r="J63" s="3169" t="s">
        <v>2363</v>
      </c>
      <c r="K63" s="3169" t="s">
        <v>2364</v>
      </c>
      <c r="L63" s="3169" t="s">
        <v>2345</v>
      </c>
      <c r="M63" s="3170" t="s">
        <v>2940</v>
      </c>
      <c r="O63" s="2398" t="s">
        <v>2383</v>
      </c>
      <c r="P63" s="2396" t="s">
        <v>2391</v>
      </c>
      <c r="Q63" s="2397">
        <f ca="1">L60</f>
        <v>0</v>
      </c>
      <c r="R63" s="2400" t="s">
        <v>2392</v>
      </c>
    </row>
    <row r="64" spans="1:18" s="2056" customFormat="1" ht="15.75" thickBot="1">
      <c r="A64" s="2093"/>
      <c r="B64" s="2094"/>
      <c r="C64" s="2094"/>
      <c r="I64" s="3168" t="s">
        <v>2365</v>
      </c>
      <c r="J64" s="3169">
        <v>70</v>
      </c>
      <c r="K64" s="3169">
        <v>50</v>
      </c>
      <c r="L64" s="3169">
        <v>80</v>
      </c>
      <c r="M64" s="3171">
        <v>0.02</v>
      </c>
      <c r="O64" s="2395" t="s">
        <v>2386</v>
      </c>
      <c r="P64" s="2396" t="s">
        <v>2403</v>
      </c>
      <c r="Q64" s="2397" t="e">
        <f ca="1">Q58+Q59</f>
        <v>#N/A</v>
      </c>
      <c r="R64" s="2400" t="s">
        <v>2387</v>
      </c>
    </row>
    <row r="65" spans="1:18" s="2056" customFormat="1" ht="16.5" thickBot="1">
      <c r="A65" s="2093"/>
      <c r="B65" s="2094"/>
      <c r="C65" s="2094"/>
      <c r="I65" s="3168" t="s">
        <v>2366</v>
      </c>
      <c r="J65" s="3169">
        <v>50</v>
      </c>
      <c r="K65" s="3169">
        <v>35</v>
      </c>
      <c r="L65" s="3169">
        <v>60</v>
      </c>
      <c r="M65" s="842">
        <v>0</v>
      </c>
      <c r="O65" s="2401" t="s">
        <v>2410</v>
      </c>
      <c r="P65" s="1588"/>
      <c r="Q65" s="1600"/>
      <c r="R65" s="1588"/>
    </row>
    <row r="66" spans="1:18" s="2056" customFormat="1" ht="15.75" thickBot="1">
      <c r="A66" s="2093"/>
      <c r="B66" s="2094"/>
      <c r="C66" s="2094"/>
      <c r="I66" s="3168" t="s">
        <v>2367</v>
      </c>
      <c r="J66" s="3169">
        <v>40</v>
      </c>
      <c r="K66" s="3169">
        <v>30</v>
      </c>
      <c r="L66" s="3169">
        <v>50</v>
      </c>
      <c r="M66" s="3171">
        <v>0.02</v>
      </c>
      <c r="O66" s="2392" t="s">
        <v>2370</v>
      </c>
      <c r="P66" s="2393" t="s">
        <v>2371</v>
      </c>
      <c r="Q66" s="2394" t="s">
        <v>2372</v>
      </c>
      <c r="R66" s="2393" t="s">
        <v>2373</v>
      </c>
    </row>
    <row r="67" spans="1:18" s="2056" customFormat="1" ht="15.75" thickBot="1">
      <c r="A67" s="2093"/>
      <c r="B67" s="2094"/>
      <c r="C67" s="2094"/>
      <c r="K67" s="2083"/>
      <c r="O67" s="2395" t="s">
        <v>2374</v>
      </c>
      <c r="P67" s="2396" t="s">
        <v>2400</v>
      </c>
      <c r="Q67" s="2397" t="e">
        <f ca="1">C41+J31</f>
        <v>#N/A</v>
      </c>
      <c r="R67" s="2396" t="s">
        <v>2375</v>
      </c>
    </row>
    <row r="68" spans="1:18" s="2056" customFormat="1" ht="20.25" thickBot="1">
      <c r="A68" s="2093"/>
      <c r="B68" s="2094"/>
      <c r="C68" s="2094"/>
      <c r="K68" s="2083"/>
      <c r="O68" s="2395" t="s">
        <v>2376</v>
      </c>
      <c r="P68" s="2396" t="s">
        <v>2407</v>
      </c>
      <c r="Q68" s="2397" t="e">
        <f ca="1">L61</f>
        <v>#N/A</v>
      </c>
      <c r="R68" s="2400" t="s">
        <v>2409</v>
      </c>
    </row>
    <row r="69" spans="1:18" s="2056" customFormat="1" ht="21.75" thickBot="1">
      <c r="A69" s="2093"/>
      <c r="B69" s="2094"/>
      <c r="C69" s="2094"/>
      <c r="K69" s="2083"/>
      <c r="O69" s="2398" t="s">
        <v>2378</v>
      </c>
      <c r="P69" s="2396" t="s">
        <v>2408</v>
      </c>
      <c r="Q69" s="2402" t="e">
        <f ca="1">L52</f>
        <v>#N/A</v>
      </c>
      <c r="R69" s="2403" t="s">
        <v>2411</v>
      </c>
    </row>
    <row r="70" spans="1:18" s="2056" customFormat="1" ht="20.25" thickBot="1">
      <c r="A70" s="2093"/>
      <c r="B70" s="2094"/>
      <c r="C70" s="2094"/>
      <c r="K70" s="2083"/>
      <c r="O70" s="2398" t="s">
        <v>2379</v>
      </c>
      <c r="P70" s="2404" t="s">
        <v>2393</v>
      </c>
      <c r="Q70" s="2397" t="e">
        <f ca="1">ROUND(Q71-Q72*Q73,0)</f>
        <v>#N/A</v>
      </c>
      <c r="R70" s="2400"/>
    </row>
    <row r="71" spans="1:18" s="2056" customFormat="1" ht="15.75" thickBot="1">
      <c r="A71" s="2093"/>
      <c r="B71" s="2094"/>
      <c r="C71" s="2094"/>
      <c r="K71" s="2083"/>
      <c r="O71" s="2398" t="s">
        <v>2394</v>
      </c>
      <c r="P71" s="2404" t="s">
        <v>2395</v>
      </c>
      <c r="Q71" s="2397" t="e">
        <f ca="1">C42</f>
        <v>#N/A</v>
      </c>
      <c r="R71" s="2396" t="s">
        <v>2375</v>
      </c>
    </row>
    <row r="72" spans="1:18" s="2056" customFormat="1" ht="15.75" thickBot="1">
      <c r="A72" s="2093"/>
      <c r="B72" s="2094"/>
      <c r="C72" s="2094"/>
      <c r="K72" s="2083"/>
      <c r="O72" s="2398" t="s">
        <v>2396</v>
      </c>
      <c r="P72" s="2404" t="s">
        <v>2397</v>
      </c>
      <c r="Q72" s="2397" t="e">
        <f ca="1">C15</f>
        <v>#N/A</v>
      </c>
      <c r="R72" s="2396" t="s">
        <v>2375</v>
      </c>
    </row>
    <row r="73" spans="1:18" s="2056" customFormat="1" ht="15.75" thickBot="1">
      <c r="A73" s="2093"/>
      <c r="B73" s="2094"/>
      <c r="C73" s="2094"/>
      <c r="K73" s="2083"/>
      <c r="O73" s="2398" t="s">
        <v>2398</v>
      </c>
      <c r="P73" s="2404" t="s">
        <v>2399</v>
      </c>
      <c r="Q73" s="2399" t="e">
        <f ca="1">F43</f>
        <v>#N/A</v>
      </c>
      <c r="R73" s="2400"/>
    </row>
    <row r="74" spans="1:18" s="2056" customFormat="1" ht="15.75" thickBot="1">
      <c r="A74" s="2093"/>
      <c r="B74" s="2094"/>
      <c r="C74" s="2094"/>
      <c r="K74" s="2083"/>
      <c r="O74" s="2398" t="s">
        <v>2381</v>
      </c>
      <c r="P74" s="2396" t="s">
        <v>2388</v>
      </c>
      <c r="Q74" s="2399">
        <f>L53</f>
        <v>0</v>
      </c>
      <c r="R74" s="2400"/>
    </row>
    <row r="75" spans="1:18" s="2056" customFormat="1" ht="20.25" thickBot="1">
      <c r="A75" s="2093"/>
      <c r="B75" s="2094"/>
      <c r="C75" s="2094"/>
      <c r="K75" s="2083"/>
      <c r="O75" s="2398" t="s">
        <v>2383</v>
      </c>
      <c r="P75" s="2396" t="s">
        <v>2389</v>
      </c>
      <c r="Q75" s="2397">
        <f ca="1">L59</f>
        <v>0</v>
      </c>
      <c r="R75" s="2400" t="s">
        <v>2390</v>
      </c>
    </row>
    <row r="76" spans="1:18" s="2056" customFormat="1" ht="20.25" thickBot="1">
      <c r="A76" s="2093"/>
      <c r="B76" s="2094"/>
      <c r="C76" s="2094"/>
      <c r="K76" s="2083"/>
      <c r="O76" s="2398" t="s">
        <v>2412</v>
      </c>
      <c r="P76" s="2396" t="s">
        <v>2391</v>
      </c>
      <c r="Q76" s="2397">
        <f ca="1">L60</f>
        <v>0</v>
      </c>
      <c r="R76" s="2400" t="s">
        <v>2392</v>
      </c>
    </row>
    <row r="77" spans="1:18" s="2056" customFormat="1" ht="15.75" thickBot="1">
      <c r="A77" s="2093"/>
      <c r="B77" s="2094"/>
      <c r="C77" s="2094"/>
      <c r="K77" s="2083"/>
      <c r="O77" s="2395" t="s">
        <v>2386</v>
      </c>
      <c r="P77" s="2396" t="s">
        <v>2403</v>
      </c>
      <c r="Q77" s="2397" t="e">
        <f ca="1">Q67+Q68</f>
        <v>#N/A</v>
      </c>
      <c r="R77" s="2400" t="s">
        <v>2387</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90" zoomScaleNormal="90" workbookViewId="0">
      <selection activeCell="D1" sqref="D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8" t="s">
        <v>1718</v>
      </c>
      <c r="B1" s="734"/>
      <c r="C1" s="769" t="s">
        <v>1672</v>
      </c>
      <c r="D1" s="3120" t="s">
        <v>3242</v>
      </c>
      <c r="E1" s="2384" t="s">
        <v>2369</v>
      </c>
      <c r="F1" s="2385">
        <f ca="1">J53</f>
        <v>47</v>
      </c>
      <c r="G1" s="770">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19" t="s">
        <v>1719</v>
      </c>
      <c r="B2" s="771">
        <f ca="1">C40+J29+L46</f>
        <v>21867</v>
      </c>
      <c r="C2" s="2054"/>
      <c r="D2" s="2052"/>
      <c r="E2" s="2053"/>
      <c r="F2" s="2053"/>
      <c r="G2" s="1586"/>
      <c r="H2" s="2054"/>
      <c r="I2" s="2054"/>
      <c r="J2" s="2054"/>
      <c r="K2" s="2055"/>
      <c r="L2" s="2054"/>
      <c r="M2" s="2054"/>
    </row>
    <row r="3" spans="1:33" ht="18" customHeight="1" thickBot="1">
      <c r="A3" s="829" t="s">
        <v>1720</v>
      </c>
      <c r="B3" s="830">
        <f ca="1">IF(ISERROR(B2*10000/F43),0,ROUND(B2*10000/F43,0))</f>
        <v>15758</v>
      </c>
      <c r="C3" s="2054"/>
      <c r="D3" s="2052"/>
      <c r="E3" s="2053"/>
      <c r="F3" s="2053"/>
      <c r="G3" s="1586"/>
      <c r="H3" s="772" t="s">
        <v>689</v>
      </c>
      <c r="I3" s="1359"/>
      <c r="J3" s="1359"/>
      <c r="K3" s="1587"/>
      <c r="L3" s="1359"/>
      <c r="M3" s="1359"/>
    </row>
    <row r="4" spans="1:33" ht="18" customHeight="1">
      <c r="A4" s="773" t="s">
        <v>1721</v>
      </c>
      <c r="B4" s="774" t="s">
        <v>1722</v>
      </c>
      <c r="C4" s="774" t="s">
        <v>1723</v>
      </c>
      <c r="D4" s="774" t="s">
        <v>627</v>
      </c>
      <c r="E4" s="775" t="s">
        <v>1724</v>
      </c>
      <c r="F4" s="776"/>
      <c r="G4" s="1588"/>
      <c r="H4" s="773" t="s">
        <v>1725</v>
      </c>
      <c r="I4" s="774" t="s">
        <v>1726</v>
      </c>
      <c r="J4" s="774" t="s">
        <v>1727</v>
      </c>
      <c r="K4" s="774" t="s">
        <v>1728</v>
      </c>
      <c r="L4" s="775" t="s">
        <v>1729</v>
      </c>
      <c r="M4" s="776"/>
    </row>
    <row r="5" spans="1:33" ht="18" customHeight="1">
      <c r="A5" s="777">
        <v>1</v>
      </c>
      <c r="B5" s="778" t="s">
        <v>2453</v>
      </c>
      <c r="C5" s="55">
        <f ca="1">C6+C10+C12</f>
        <v>1400</v>
      </c>
      <c r="D5" s="2493" t="s">
        <v>2456</v>
      </c>
      <c r="E5" s="2487"/>
      <c r="F5" s="2488"/>
      <c r="G5" s="1588"/>
      <c r="H5" s="777">
        <v>1</v>
      </c>
      <c r="I5" s="778" t="s">
        <v>2453</v>
      </c>
      <c r="J5" s="55">
        <f ca="1">J6+J10+J12</f>
        <v>0</v>
      </c>
      <c r="K5" s="2493" t="s">
        <v>2456</v>
      </c>
      <c r="L5" s="2487"/>
      <c r="M5" s="2488"/>
    </row>
    <row r="6" spans="1:33" ht="18" customHeight="1">
      <c r="A6" s="1827" t="s">
        <v>1817</v>
      </c>
      <c r="B6" s="3575" t="s">
        <v>2458</v>
      </c>
      <c r="C6" s="779">
        <f ca="1">ROUND(F6*F8*F7*(1-F9)/10000,0)</f>
        <v>1398</v>
      </c>
      <c r="D6" s="2494" t="s">
        <v>2457</v>
      </c>
      <c r="E6" s="780" t="s">
        <v>1731</v>
      </c>
      <c r="F6" s="781">
        <f ca="1">INDIRECT("'数据-取费表'!u"&amp;$G$1)</f>
        <v>3</v>
      </c>
      <c r="G6" s="1588"/>
      <c r="H6" s="2501" t="s">
        <v>2463</v>
      </c>
      <c r="I6" s="3575" t="s">
        <v>2458</v>
      </c>
      <c r="J6" s="779">
        <f ca="1">ROUND(M6*M8*M7*(1-M9)/10000,0)</f>
        <v>0</v>
      </c>
      <c r="K6" s="337" t="s">
        <v>1730</v>
      </c>
      <c r="L6" s="780" t="s">
        <v>1731</v>
      </c>
      <c r="M6" s="781">
        <f ca="1">INDIRECT("'数据-取费表'!z"&amp;$G$1)</f>
        <v>0</v>
      </c>
    </row>
    <row r="7" spans="1:33" ht="18" customHeight="1">
      <c r="A7" s="2497"/>
      <c r="B7" s="3576"/>
      <c r="C7" s="784"/>
      <c r="D7" s="785"/>
      <c r="E7" s="780" t="s">
        <v>1732</v>
      </c>
      <c r="F7" s="781">
        <f ca="1">IF(INDIRECT("'数据-取费表'!ah"&amp;$G$1)="",INDIRECT("'数据-取费表'!k"&amp;$G$1),INDIRECT("'数据-取费表'!ah"&amp;$G$1))</f>
        <v>13877</v>
      </c>
      <c r="G7" s="1588"/>
      <c r="H7" s="2486"/>
      <c r="I7" s="3576"/>
      <c r="J7" s="784"/>
      <c r="K7" s="785"/>
      <c r="L7" s="780" t="s">
        <v>1732</v>
      </c>
      <c r="M7" s="781">
        <f ca="1">F7</f>
        <v>13877</v>
      </c>
    </row>
    <row r="8" spans="1:33" ht="18" customHeight="1">
      <c r="A8" s="2490"/>
      <c r="B8" s="3577"/>
      <c r="C8" s="784"/>
      <c r="D8" s="785"/>
      <c r="E8" s="780" t="s">
        <v>1733</v>
      </c>
      <c r="F8" s="781">
        <f ca="1">INDIRECT("'数据-取费表'!ai"&amp;$G$1)</f>
        <v>365</v>
      </c>
      <c r="G8" s="1588"/>
      <c r="H8" s="2486"/>
      <c r="I8" s="3577"/>
      <c r="J8" s="784"/>
      <c r="K8" s="785"/>
      <c r="L8" s="780" t="s">
        <v>1733</v>
      </c>
      <c r="M8" s="781">
        <f ca="1">INDIRECT("'数据-取费表'!ai"&amp;$G$1)</f>
        <v>365</v>
      </c>
    </row>
    <row r="9" spans="1:33" ht="18" customHeight="1">
      <c r="A9" s="782"/>
      <c r="B9" s="3578"/>
      <c r="C9" s="784"/>
      <c r="D9" s="785"/>
      <c r="E9" s="780" t="s">
        <v>1734</v>
      </c>
      <c r="F9" s="790">
        <f ca="1">INDIRECT("'数据-取费表'!w"&amp;$G$1)</f>
        <v>0.08</v>
      </c>
      <c r="G9" s="1588"/>
      <c r="H9" s="2502"/>
      <c r="I9" s="3577"/>
      <c r="J9" s="784"/>
      <c r="K9" s="785"/>
      <c r="L9" s="791" t="s">
        <v>1734</v>
      </c>
      <c r="M9" s="792">
        <f ca="1">INDIRECT("'数据-取费表'!ab"&amp;$G$1)</f>
        <v>0</v>
      </c>
    </row>
    <row r="10" spans="1:33" ht="18" customHeight="1">
      <c r="A10" s="1827" t="s">
        <v>2461</v>
      </c>
      <c r="B10" s="2491" t="s">
        <v>2454</v>
      </c>
      <c r="C10" s="795">
        <f ca="1">ROUND(IF(F10="押一",C6/12*F11,IF(F10="押二",C6/12*2*F11,IF(F10="押三",C6/12*3*F11,C11*F11))),0)</f>
        <v>2</v>
      </c>
      <c r="D10" s="2498" t="s">
        <v>2971</v>
      </c>
      <c r="E10" s="2495" t="s">
        <v>2459</v>
      </c>
      <c r="F10" s="2618" t="s">
        <v>3004</v>
      </c>
      <c r="G10" s="1588"/>
      <c r="H10" s="2558" t="s">
        <v>2464</v>
      </c>
      <c r="I10" s="2563" t="s">
        <v>2454</v>
      </c>
      <c r="J10" s="779">
        <f ca="1">ROUND(IF(M10="押一",J6/12*M11,IF(M10="押二",J6/12*2*M11,IF(M10="押三",J6/12*3*M11,J11*M11))),0)</f>
        <v>0</v>
      </c>
      <c r="K10" s="2498" t="s">
        <v>2971</v>
      </c>
      <c r="L10" s="2495" t="s">
        <v>2459</v>
      </c>
      <c r="M10" s="2618"/>
    </row>
    <row r="11" spans="1:33" ht="18" customHeight="1">
      <c r="A11" s="786"/>
      <c r="B11" s="2492" t="s">
        <v>2568</v>
      </c>
      <c r="C11" s="2496"/>
      <c r="D11" s="785"/>
      <c r="E11" s="2495" t="s">
        <v>2460</v>
      </c>
      <c r="F11" s="792">
        <f ca="1">'数据-取费表'!B39</f>
        <v>1.4999999999999999E-2</v>
      </c>
      <c r="G11" s="1588"/>
      <c r="H11" s="2559"/>
      <c r="I11" s="2492" t="s">
        <v>2568</v>
      </c>
      <c r="J11" s="2496"/>
      <c r="K11" s="2560"/>
      <c r="L11" s="2495" t="s">
        <v>2460</v>
      </c>
      <c r="M11" s="2489">
        <f ca="1">'数据-取费表'!B39</f>
        <v>1.4999999999999999E-2</v>
      </c>
    </row>
    <row r="12" spans="1:33" ht="18" customHeight="1" thickBot="1">
      <c r="A12" s="2534" t="s">
        <v>2462</v>
      </c>
      <c r="B12" s="2535" t="s">
        <v>2455</v>
      </c>
      <c r="C12" s="2536"/>
      <c r="D12" s="2537"/>
      <c r="E12" s="2538"/>
      <c r="F12" s="2539"/>
      <c r="G12" s="1588"/>
      <c r="H12" s="2548" t="s">
        <v>2465</v>
      </c>
      <c r="I12" s="2561" t="s">
        <v>2455</v>
      </c>
      <c r="J12" s="2562"/>
      <c r="K12" s="2537"/>
      <c r="L12" s="2538"/>
      <c r="M12" s="2551"/>
    </row>
    <row r="13" spans="1:33" ht="18" customHeight="1" thickTop="1">
      <c r="A13" s="1826">
        <v>2</v>
      </c>
      <c r="B13" s="1824" t="s">
        <v>1735</v>
      </c>
      <c r="C13" s="788">
        <f ca="1">ROUND(C29*F13,0)</f>
        <v>7723</v>
      </c>
      <c r="D13" s="1831" t="s">
        <v>2292</v>
      </c>
      <c r="E13" s="1831" t="s">
        <v>1737</v>
      </c>
      <c r="F13" s="2533">
        <f ca="1">INDIRECT("'数据-取费表'!y"&amp;$G$1)</f>
        <v>1</v>
      </c>
      <c r="G13" s="1588"/>
      <c r="H13" s="1826">
        <v>2</v>
      </c>
      <c r="I13" s="1824" t="s">
        <v>1735</v>
      </c>
      <c r="J13" s="1816">
        <f ca="1">ROUND(J14*J15,0)</f>
        <v>0</v>
      </c>
      <c r="K13" s="1818" t="s">
        <v>1736</v>
      </c>
      <c r="L13" s="2549"/>
      <c r="M13" s="2550"/>
    </row>
    <row r="14" spans="1:33" ht="18" customHeight="1">
      <c r="A14" s="1644" t="s">
        <v>1877</v>
      </c>
      <c r="B14" s="780" t="s">
        <v>639</v>
      </c>
      <c r="C14" s="800">
        <f ca="1">INDIRECT("'数据-取费表'!m"&amp;$G$1)+INDIRECT("'数据-取费表'!t"&amp;$G$1)</f>
        <v>4857</v>
      </c>
      <c r="D14" s="1976" t="s">
        <v>1738</v>
      </c>
      <c r="E14" s="1977"/>
      <c r="F14" s="801"/>
      <c r="G14" s="1588"/>
      <c r="H14" s="1645" t="s">
        <v>1823</v>
      </c>
      <c r="I14" s="2228" t="s">
        <v>2821</v>
      </c>
      <c r="J14" s="53">
        <f ca="1">C29</f>
        <v>7723</v>
      </c>
      <c r="K14" s="26"/>
      <c r="L14" s="797"/>
      <c r="M14" s="798"/>
    </row>
    <row r="15" spans="1:33" s="2061" customFormat="1" ht="18" customHeight="1" thickBot="1">
      <c r="A15" s="1644" t="s">
        <v>1878</v>
      </c>
      <c r="B15" s="780" t="s">
        <v>641</v>
      </c>
      <c r="C15" s="53">
        <f ca="1">ROUND(C14*F15,0)</f>
        <v>146</v>
      </c>
      <c r="D15" s="802" t="s">
        <v>1739</v>
      </c>
      <c r="E15" s="802" t="s">
        <v>1740</v>
      </c>
      <c r="F15" s="803">
        <f>'数据-取费表'!B33</f>
        <v>0.03</v>
      </c>
      <c r="G15" s="1589"/>
      <c r="H15" s="2548" t="s">
        <v>1882</v>
      </c>
      <c r="I15" s="2543" t="s">
        <v>1737</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1879</v>
      </c>
      <c r="B16" s="780" t="s">
        <v>644</v>
      </c>
      <c r="C16" s="53">
        <f ca="1">ROUND(INDIRECT("'数据-取费表'!m"&amp;$G$1)*F16,0)</f>
        <v>0</v>
      </c>
      <c r="D16" s="780" t="s">
        <v>1739</v>
      </c>
      <c r="E16" s="780" t="s">
        <v>1740</v>
      </c>
      <c r="F16" s="805">
        <f ca="1">IF(INDIRECT("'数据-取费表'!c"&amp;$G$1)="住宅",'数据-取费表'!B34,0)</f>
        <v>0</v>
      </c>
      <c r="G16" s="1588"/>
      <c r="H16" s="1826" t="s">
        <v>1741</v>
      </c>
      <c r="I16" s="1824" t="s">
        <v>1742</v>
      </c>
      <c r="J16" s="788">
        <f ca="1">ROUND(J17+J22+J23+J24,0)</f>
        <v>143</v>
      </c>
      <c r="K16" s="1818" t="s">
        <v>1743</v>
      </c>
      <c r="L16" s="2483"/>
      <c r="M16" s="2488"/>
    </row>
    <row r="17" spans="1:33" s="2061" customFormat="1" ht="18" customHeight="1">
      <c r="A17" s="1644" t="s">
        <v>1880</v>
      </c>
      <c r="B17" s="780" t="s">
        <v>647</v>
      </c>
      <c r="C17" s="53">
        <f ca="1">ROUND(F17*(F43+INDIRECT("'数据-取费表'!S"&amp;$G$1))/10000,0)</f>
        <v>278</v>
      </c>
      <c r="D17" s="780" t="s">
        <v>1744</v>
      </c>
      <c r="E17" s="780" t="s">
        <v>1745</v>
      </c>
      <c r="F17" s="56">
        <f>'数据-取费表'!B35</f>
        <v>200</v>
      </c>
      <c r="G17" s="1589"/>
      <c r="H17" s="1645" t="s">
        <v>1823</v>
      </c>
      <c r="I17" s="780" t="s">
        <v>650</v>
      </c>
      <c r="J17" s="53">
        <f ca="1">ROUND(IF(项目基本情况!B11="自然人",J5*M17,J18+J19+J20),0)</f>
        <v>66</v>
      </c>
      <c r="K17" s="2482" t="s">
        <v>1746</v>
      </c>
      <c r="L17" s="2481" t="s">
        <v>1747</v>
      </c>
      <c r="M17" s="806">
        <f ca="1">IF(项目基本情况!B11="企业","",IF(INDIRECT("'数据-取费表'!c"&amp;$G$1)="住宅",5%,IF(M6*M7*M8/12/(1+'数据-取费表'!C42)&gt;20000,12%,7%)))</f>
        <v>7.0000000000000007E-2</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1881</v>
      </c>
      <c r="B18" s="780" t="s">
        <v>653</v>
      </c>
      <c r="C18" s="53">
        <f ca="1">ROUND(C14*F18,0)</f>
        <v>73</v>
      </c>
      <c r="D18" s="780" t="s">
        <v>1739</v>
      </c>
      <c r="E18" s="780" t="s">
        <v>1740</v>
      </c>
      <c r="F18" s="805">
        <f>'数据-取费表'!B36</f>
        <v>1.4999999999999999E-2</v>
      </c>
      <c r="G18" s="1589"/>
      <c r="H18" s="1644" t="s">
        <v>1877</v>
      </c>
      <c r="I18" s="780" t="s">
        <v>1748</v>
      </c>
      <c r="J18" s="53">
        <f ca="1">ROUND(J5*M18/1.05,1)</f>
        <v>0</v>
      </c>
      <c r="K18" s="2481" t="s">
        <v>1749</v>
      </c>
      <c r="L18" s="780" t="s">
        <v>1740</v>
      </c>
      <c r="M18" s="805">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1823</v>
      </c>
      <c r="B19" s="780" t="s">
        <v>656</v>
      </c>
      <c r="C19" s="53">
        <f ca="1">SUM(C14:C18)</f>
        <v>5354</v>
      </c>
      <c r="D19" s="260" t="s">
        <v>1750</v>
      </c>
      <c r="E19" s="1979"/>
      <c r="F19" s="56"/>
      <c r="G19" s="1588"/>
      <c r="H19" s="1644" t="s">
        <v>1878</v>
      </c>
      <c r="I19" s="780" t="s">
        <v>1751</v>
      </c>
      <c r="J19" s="53">
        <f ca="1">IF(K19="按租金收入计税",ROUND(J5*M19,1),ROUND(C29*F33*0.7,1))</f>
        <v>64.900000000000006</v>
      </c>
      <c r="K19" s="807" t="s">
        <v>659</v>
      </c>
      <c r="L19" s="780" t="s">
        <v>1740</v>
      </c>
      <c r="M19" s="805">
        <f>IF(K19="按租金收入计税",'数据-取费表'!B51,'数据-取费表'!B50)</f>
        <v>1.2E-2</v>
      </c>
    </row>
    <row r="20" spans="1:33" s="2061" customFormat="1" ht="18" customHeight="1">
      <c r="A20" s="1645" t="s">
        <v>1882</v>
      </c>
      <c r="B20" s="780" t="s">
        <v>660</v>
      </c>
      <c r="C20" s="53">
        <f ca="1">ROUND(C19*F20,0)</f>
        <v>161</v>
      </c>
      <c r="D20" s="808" t="s">
        <v>1752</v>
      </c>
      <c r="E20" s="780" t="s">
        <v>1740</v>
      </c>
      <c r="F20" s="805">
        <f>'数据-取费表'!B37</f>
        <v>0.03</v>
      </c>
      <c r="G20" s="1589"/>
      <c r="H20" s="1647" t="s">
        <v>1873</v>
      </c>
      <c r="I20" s="337" t="s">
        <v>1753</v>
      </c>
      <c r="J20" s="54">
        <f ca="1">ROUND(M20*M21/10000,0)</f>
        <v>1</v>
      </c>
      <c r="K20" s="810" t="s">
        <v>1754</v>
      </c>
      <c r="L20" s="780" t="s">
        <v>1755</v>
      </c>
      <c r="M20" s="636">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1883</v>
      </c>
      <c r="B21" s="780" t="s">
        <v>1756</v>
      </c>
      <c r="C21" s="53" t="s">
        <v>1757</v>
      </c>
      <c r="D21" s="808" t="s">
        <v>2293</v>
      </c>
      <c r="E21" s="780" t="s">
        <v>1758</v>
      </c>
      <c r="F21" s="805">
        <f>'数据-取费表'!B38</f>
        <v>0.03</v>
      </c>
      <c r="G21" s="1589"/>
      <c r="H21" s="2503"/>
      <c r="I21" s="789"/>
      <c r="J21" s="69"/>
      <c r="K21" s="812"/>
      <c r="L21" s="780" t="s">
        <v>1759</v>
      </c>
      <c r="M21" s="781">
        <f ca="1">INDIRECT("'数据-取费表'!r"&amp;$G$1)</f>
        <v>3577.99</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1884</v>
      </c>
      <c r="B22" s="780" t="s">
        <v>1760</v>
      </c>
      <c r="C22" s="53"/>
      <c r="D22" s="2569" t="str">
        <f>IF(F23&lt;=1,"单利计息。","复利计息。")&amp;"建造成本、管理费用、销售费用产生的利息。"</f>
        <v>复利计息。建造成本、管理费用、销售费用产生的利息。</v>
      </c>
      <c r="E22" s="1979"/>
      <c r="F22" s="56"/>
      <c r="G22" s="1588"/>
      <c r="H22" s="1645" t="s">
        <v>1882</v>
      </c>
      <c r="I22" s="780" t="s">
        <v>1761</v>
      </c>
      <c r="J22" s="53">
        <f ca="1">ROUND(J14*M22,0)</f>
        <v>77</v>
      </c>
      <c r="K22" s="2481" t="s">
        <v>1762</v>
      </c>
      <c r="L22" s="780" t="s">
        <v>1740</v>
      </c>
      <c r="M22" s="813">
        <f ca="1">INDIRECT("'数据-取费表'!Ak"&amp;$G$1)</f>
        <v>0.01</v>
      </c>
    </row>
    <row r="23" spans="1:33" s="2061" customFormat="1" ht="18" customHeight="1">
      <c r="A23" s="1644" t="s">
        <v>1824</v>
      </c>
      <c r="B23" s="780" t="s">
        <v>2530</v>
      </c>
      <c r="C23" s="53">
        <f ca="1">ROUND(IF('数据-取费表'!B22&lt;=1,(C19+C20)*F24*F23/2,(C19+C20)*(POWER((1+F24),F23/2)-1)),0)</f>
        <v>398</v>
      </c>
      <c r="D23" s="2568" t="str">
        <f>IF(F23&lt;=1,"(建造成本+管理费用)×利率×(建设周期÷2)","(建造成本+管理费用)×((1+利率)^(建设周期÷2)-1)")</f>
        <v>(建造成本+管理费用)×((1+利率)^(建设周期÷2)-1)</v>
      </c>
      <c r="E23" s="780" t="s">
        <v>1763</v>
      </c>
      <c r="F23" s="636">
        <f>'数据-取费表'!B20</f>
        <v>3</v>
      </c>
      <c r="G23" s="1589"/>
      <c r="H23" s="1645" t="s">
        <v>1883</v>
      </c>
      <c r="I23" s="780" t="s">
        <v>673</v>
      </c>
      <c r="J23" s="53">
        <f ca="1">ROUND(J13*M23,0)</f>
        <v>0</v>
      </c>
      <c r="K23" s="2481" t="s">
        <v>1764</v>
      </c>
      <c r="L23" s="780" t="s">
        <v>1740</v>
      </c>
      <c r="M23" s="814">
        <f ca="1">INDIRECT("'数据-取费表'!Al"&amp;$G$1)</f>
        <v>1E-3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1825</v>
      </c>
      <c r="B24" s="780" t="s">
        <v>1765</v>
      </c>
      <c r="C24" s="53">
        <f ca="1">ROUND(IF('数据-取费表'!B22&lt;=1,F21*F24*F23/2,F21*(POWER((1+F24),F23/2)-1)),4)</f>
        <v>2.2000000000000001E-3</v>
      </c>
      <c r="D24" s="2568" t="str">
        <f>IF(F23&lt;=1,"销售费用×利率×(建设周期÷2)","销售费用×((1+利率)^(建设周期÷2)-1)")</f>
        <v>销售费用×((1+利率)^(建设周期÷2)-1)</v>
      </c>
      <c r="E24" s="780" t="s">
        <v>1766</v>
      </c>
      <c r="F24" s="815">
        <f ca="1">'数据-取费表'!B40</f>
        <v>4.7500000000000001E-2</v>
      </c>
      <c r="G24" s="1589"/>
      <c r="H24" s="2548" t="s">
        <v>1884</v>
      </c>
      <c r="I24" s="2543" t="s">
        <v>660</v>
      </c>
      <c r="J24" s="2541">
        <f ca="1">ROUND(J5*M24,0)</f>
        <v>0</v>
      </c>
      <c r="K24" s="2542" t="s">
        <v>1767</v>
      </c>
      <c r="L24" s="2543" t="s">
        <v>1740</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1833</v>
      </c>
      <c r="B25" s="780" t="s">
        <v>678</v>
      </c>
      <c r="C25" s="53"/>
      <c r="D25" s="260" t="s">
        <v>1768</v>
      </c>
      <c r="E25" s="1979"/>
      <c r="F25" s="56"/>
      <c r="G25" s="1588"/>
      <c r="H25" s="1826" t="s">
        <v>1769</v>
      </c>
      <c r="I25" s="3007" t="s">
        <v>2817</v>
      </c>
      <c r="J25" s="788">
        <f ca="1">J5-J16</f>
        <v>-143</v>
      </c>
      <c r="K25" s="2545" t="s">
        <v>1770</v>
      </c>
      <c r="L25" s="2546"/>
      <c r="M25" s="2547"/>
    </row>
    <row r="26" spans="1:33" ht="18" customHeight="1">
      <c r="A26" s="1644" t="s">
        <v>1824</v>
      </c>
      <c r="B26" s="780" t="s">
        <v>2433</v>
      </c>
      <c r="C26" s="53">
        <f ca="1">ROUND((C19+C20)*F26,0)</f>
        <v>1103</v>
      </c>
      <c r="D26" s="808" t="s">
        <v>1771</v>
      </c>
      <c r="E26" s="791" t="s">
        <v>1772</v>
      </c>
      <c r="F26" s="790">
        <f ca="1">INDIRECT("'数据-取费表'!q"&amp;$G$1)</f>
        <v>0.2</v>
      </c>
      <c r="G26" s="1588"/>
      <c r="H26" s="2499" t="s">
        <v>1773</v>
      </c>
      <c r="I26" s="2229" t="s">
        <v>2822</v>
      </c>
      <c r="J26" s="779">
        <f ca="1">IF(J5&lt;&gt;0,ROUND(J25*(1-((1+M28)/(1+M26))^M27)/(M26-M28),0),0)</f>
        <v>0</v>
      </c>
      <c r="K26" s="810" t="s">
        <v>1774</v>
      </c>
      <c r="L26" s="780" t="s">
        <v>2414</v>
      </c>
      <c r="M26" s="790">
        <f ca="1">INDIRECT("'数据-取费表'!I"&amp;$G$1)</f>
        <v>4.8000000000000001E-2</v>
      </c>
    </row>
    <row r="27" spans="1:33" ht="18" customHeight="1">
      <c r="A27" s="1644" t="s">
        <v>1825</v>
      </c>
      <c r="B27" s="780" t="s">
        <v>680</v>
      </c>
      <c r="C27" s="53">
        <f ca="1">ROUND(F21*F26,4)</f>
        <v>6.0000000000000001E-3</v>
      </c>
      <c r="D27" s="808" t="s">
        <v>1775</v>
      </c>
      <c r="E27" s="802"/>
      <c r="F27" s="803"/>
      <c r="G27" s="1588"/>
      <c r="H27" s="2500"/>
      <c r="I27" s="783"/>
      <c r="J27" s="784"/>
      <c r="K27" s="817" t="s">
        <v>1776</v>
      </c>
      <c r="L27" s="780" t="s">
        <v>1777</v>
      </c>
      <c r="M27" s="818">
        <f ca="1">INDIRECT("'数据-取费表'!ag"&amp;$G$1)</f>
        <v>-3</v>
      </c>
    </row>
    <row r="28" spans="1:33" s="2061" customFormat="1" ht="18" customHeight="1">
      <c r="A28" s="1646" t="s">
        <v>1834</v>
      </c>
      <c r="B28" s="780" t="s">
        <v>681</v>
      </c>
      <c r="C28" s="53">
        <f>ROUND(F28/(1+'数据-取费表'!C42),4)</f>
        <v>5.33E-2</v>
      </c>
      <c r="D28" s="808" t="s">
        <v>2294</v>
      </c>
      <c r="E28" s="780" t="s">
        <v>1778</v>
      </c>
      <c r="F28" s="805">
        <f>'数据-取费表'!B41</f>
        <v>5.6000000000000001E-2</v>
      </c>
      <c r="G28" s="1589"/>
      <c r="H28" s="1826"/>
      <c r="I28" s="787"/>
      <c r="J28" s="788"/>
      <c r="K28" s="812"/>
      <c r="L28" s="780" t="s">
        <v>1779</v>
      </c>
      <c r="M28" s="790">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1885</v>
      </c>
      <c r="B29" s="2538" t="s">
        <v>2295</v>
      </c>
      <c r="C29" s="2541">
        <f ca="1">ROUND((C19+C20+C23+C26)/(1-F21-C24-C27-C28),0)</f>
        <v>7723</v>
      </c>
      <c r="D29" s="2542"/>
      <c r="E29" s="2543"/>
      <c r="F29" s="2544"/>
      <c r="G29" s="1589"/>
      <c r="H29" s="819" t="s">
        <v>1780</v>
      </c>
      <c r="I29" s="820" t="s">
        <v>1781</v>
      </c>
      <c r="J29" s="821">
        <f ca="1">ROUND(J26/(1+F40)^F41,0)</f>
        <v>0</v>
      </c>
      <c r="K29" s="822" t="s">
        <v>1782</v>
      </c>
      <c r="L29" s="823"/>
      <c r="M29" s="824">
        <f ca="1">INDIRECT("'数据-取费表'!k"&amp;$G$1)</f>
        <v>13877</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1886</v>
      </c>
      <c r="B30" s="1824" t="s">
        <v>1783</v>
      </c>
      <c r="C30" s="788">
        <f ca="1">ROUND(C31+C36+C37+C38,0)</f>
        <v>239</v>
      </c>
      <c r="D30" s="1818" t="s">
        <v>1784</v>
      </c>
      <c r="E30" s="2483"/>
      <c r="F30" s="2488"/>
      <c r="G30" s="2059"/>
      <c r="H30" s="2062"/>
      <c r="I30" s="2063"/>
      <c r="J30" s="2064"/>
      <c r="K30" s="2065"/>
      <c r="L30" s="2066"/>
      <c r="M30" s="2067"/>
    </row>
    <row r="31" spans="1:33" ht="18" customHeight="1">
      <c r="A31" s="1645" t="s">
        <v>1823</v>
      </c>
      <c r="B31" s="780" t="s">
        <v>650</v>
      </c>
      <c r="C31" s="53">
        <f ca="1">ROUND(IF(项目基本情况!B11="自然人",C5*F31,C32+C33+C34),1)</f>
        <v>140.1</v>
      </c>
      <c r="D31" s="1976" t="s">
        <v>1785</v>
      </c>
      <c r="E31" s="1974" t="s">
        <v>1786</v>
      </c>
      <c r="F31" s="806">
        <f ca="1">IF(项目基本情况!B11="企业","",IF(INDIRECT("'数据-取费表'!c"&amp;$G$1)="住宅",5%,IF(F6*F7*F8/12/(1+'数据-取费表'!C42)&gt;20000,12%,7%)))</f>
        <v>0.12</v>
      </c>
      <c r="G31" s="2059"/>
      <c r="H31" s="2062"/>
      <c r="I31" s="2063"/>
      <c r="J31" s="2064"/>
      <c r="K31" s="2065"/>
      <c r="L31" s="2066"/>
      <c r="M31" s="2067"/>
    </row>
    <row r="32" spans="1:33" ht="18" customHeight="1">
      <c r="A32" s="1644" t="s">
        <v>1824</v>
      </c>
      <c r="B32" s="780" t="s">
        <v>1787</v>
      </c>
      <c r="C32" s="53">
        <f ca="1">ROUND(C5*F32/1.05,1)</f>
        <v>74.7</v>
      </c>
      <c r="D32" s="1974" t="s">
        <v>1788</v>
      </c>
      <c r="E32" s="780" t="s">
        <v>1789</v>
      </c>
      <c r="F32" s="805">
        <f>'数据-取费表'!B41</f>
        <v>5.6000000000000001E-2</v>
      </c>
      <c r="G32" s="2059"/>
      <c r="H32" s="2068"/>
      <c r="I32" s="2069"/>
      <c r="J32" s="2070"/>
      <c r="K32" s="2071"/>
      <c r="L32" s="2072"/>
      <c r="M32" s="2073"/>
    </row>
    <row r="33" spans="1:18" ht="18" customHeight="1">
      <c r="A33" s="1644" t="s">
        <v>1825</v>
      </c>
      <c r="B33" s="780" t="s">
        <v>1790</v>
      </c>
      <c r="C33" s="53">
        <f ca="1">IF(D33="按租金收入计税",ROUND(C5*F33,1),IF(D33="按房产原值计税",ROUND(C29*F33*0.7,1),INDIRECT("'数据-取费表'!Aj"&amp;$G$1)))</f>
        <v>64.900000000000006</v>
      </c>
      <c r="D33" s="807" t="s">
        <v>1675</v>
      </c>
      <c r="E33" s="780" t="s">
        <v>1789</v>
      </c>
      <c r="F33" s="805">
        <f>IF(D33="按租金收入计税",'数据-取费表'!B51,'数据-取费表'!B50)</f>
        <v>1.2E-2</v>
      </c>
      <c r="G33" s="2059"/>
      <c r="H33" s="2074"/>
      <c r="I33" s="2074"/>
      <c r="J33" s="2074"/>
      <c r="K33" s="2075"/>
      <c r="L33" s="2074"/>
      <c r="M33" s="2074"/>
    </row>
    <row r="34" spans="1:18" ht="18" customHeight="1">
      <c r="A34" s="1647" t="s">
        <v>1826</v>
      </c>
      <c r="B34" s="337" t="s">
        <v>1791</v>
      </c>
      <c r="C34" s="54">
        <f ca="1">ROUND(F34*F35/10000,1)</f>
        <v>0.5</v>
      </c>
      <c r="D34" s="810" t="s">
        <v>1792</v>
      </c>
      <c r="E34" s="780" t="s">
        <v>1793</v>
      </c>
      <c r="F34" s="636">
        <f>'数据-取费表'!B52</f>
        <v>1.5</v>
      </c>
      <c r="G34" s="2059"/>
      <c r="H34" s="2062"/>
      <c r="I34" s="831" t="s">
        <v>1806</v>
      </c>
      <c r="J34" s="832"/>
      <c r="K34" s="2077"/>
      <c r="L34" s="2076"/>
      <c r="M34" s="2076"/>
    </row>
    <row r="35" spans="1:18" ht="18" customHeight="1">
      <c r="A35" s="811"/>
      <c r="B35" s="789"/>
      <c r="C35" s="69"/>
      <c r="D35" s="812"/>
      <c r="E35" s="780" t="s">
        <v>1794</v>
      </c>
      <c r="F35" s="781">
        <f ca="1">INDIRECT("'数据-取费表'!r"&amp;$G$1)</f>
        <v>3577.99</v>
      </c>
      <c r="G35" s="2059"/>
      <c r="H35" s="2062"/>
      <c r="I35" s="833" t="s">
        <v>1807</v>
      </c>
      <c r="J35" s="834">
        <f ca="1">ROUND(C13*J36,0)</f>
        <v>656</v>
      </c>
      <c r="K35" s="2075"/>
      <c r="L35" s="2074"/>
      <c r="M35" s="2074"/>
    </row>
    <row r="36" spans="1:18" ht="18" customHeight="1">
      <c r="A36" s="1645" t="s">
        <v>1882</v>
      </c>
      <c r="B36" s="780" t="s">
        <v>1795</v>
      </c>
      <c r="C36" s="53">
        <f ca="1">ROUND(C29*F36,1)</f>
        <v>77.2</v>
      </c>
      <c r="D36" s="1974" t="s">
        <v>1796</v>
      </c>
      <c r="E36" s="780" t="s">
        <v>1789</v>
      </c>
      <c r="F36" s="813">
        <f ca="1">INDIRECT("'数据-取费表'!Ak"&amp;$G$1)</f>
        <v>0.01</v>
      </c>
      <c r="G36" s="2059"/>
      <c r="H36" s="2074"/>
      <c r="I36" s="835" t="s">
        <v>1808</v>
      </c>
      <c r="J36" s="836">
        <f ca="1">INDIRECT("'数据-取费表'!j"&amp;$G$1)</f>
        <v>8.5000000000000006E-2</v>
      </c>
      <c r="K36" s="2079"/>
      <c r="L36" s="2074"/>
      <c r="M36" s="2074"/>
    </row>
    <row r="37" spans="1:18" ht="18" customHeight="1">
      <c r="A37" s="1645" t="s">
        <v>1883</v>
      </c>
      <c r="B37" s="780" t="s">
        <v>673</v>
      </c>
      <c r="C37" s="53">
        <f ca="1">ROUND(C13*F37,1)</f>
        <v>7.7</v>
      </c>
      <c r="D37" s="1974" t="s">
        <v>1797</v>
      </c>
      <c r="E37" s="780" t="s">
        <v>1789</v>
      </c>
      <c r="F37" s="814">
        <f ca="1">INDIRECT("'数据-取费表'!Al"&amp;$G$1)</f>
        <v>1E-3</v>
      </c>
      <c r="G37" s="2059"/>
      <c r="H37" s="2074"/>
      <c r="I37" s="837" t="s">
        <v>1809</v>
      </c>
      <c r="J37" s="838"/>
      <c r="K37" s="2079"/>
      <c r="L37" s="2074"/>
      <c r="M37" s="2074"/>
    </row>
    <row r="38" spans="1:18" ht="18" customHeight="1" thickBot="1">
      <c r="A38" s="2548" t="s">
        <v>1884</v>
      </c>
      <c r="B38" s="2543" t="s">
        <v>660</v>
      </c>
      <c r="C38" s="2541">
        <f ca="1">ROUND(C5*F38,1)</f>
        <v>14</v>
      </c>
      <c r="D38" s="2542" t="s">
        <v>1798</v>
      </c>
      <c r="E38" s="2543" t="s">
        <v>1789</v>
      </c>
      <c r="F38" s="2539">
        <f ca="1">INDIRECT("'数据-取费表'!Am"&amp;$G$1)</f>
        <v>0.01</v>
      </c>
      <c r="G38" s="2059"/>
      <c r="H38" s="2074"/>
      <c r="I38" s="839" t="s">
        <v>1810</v>
      </c>
      <c r="J38" s="840"/>
      <c r="K38" s="2080"/>
      <c r="L38" s="2074"/>
      <c r="M38" s="2074"/>
    </row>
    <row r="39" spans="1:18" ht="24.6" customHeight="1" thickTop="1">
      <c r="A39" s="1826" t="s">
        <v>1887</v>
      </c>
      <c r="B39" s="3007" t="s">
        <v>2817</v>
      </c>
      <c r="C39" s="788">
        <f ca="1">C5-C30</f>
        <v>1161</v>
      </c>
      <c r="D39" s="2545" t="s">
        <v>1799</v>
      </c>
      <c r="E39" s="2546"/>
      <c r="F39" s="2547"/>
      <c r="G39" s="2059"/>
      <c r="H39" s="2074"/>
      <c r="I39" s="833" t="s">
        <v>1811</v>
      </c>
      <c r="J39" s="841">
        <f ca="1">ROUND(J35/C39,3)</f>
        <v>0.56499999999999995</v>
      </c>
      <c r="K39" s="2080"/>
      <c r="L39" s="2074"/>
      <c r="M39" s="2074"/>
    </row>
    <row r="40" spans="1:18" ht="18" customHeight="1">
      <c r="A40" s="777" t="s">
        <v>1888</v>
      </c>
      <c r="B40" s="2229" t="s">
        <v>2296</v>
      </c>
      <c r="C40" s="779">
        <f ca="1">ROUND(C39*(1-((1+F42)/(1+F40))^F41)/(F40-F42),0)</f>
        <v>21867</v>
      </c>
      <c r="D40" s="810" t="s">
        <v>1800</v>
      </c>
      <c r="E40" s="780" t="s">
        <v>2414</v>
      </c>
      <c r="F40" s="790">
        <f ca="1">INDIRECT("'数据-取费表'!I"&amp;$G$1)</f>
        <v>4.8000000000000001E-2</v>
      </c>
      <c r="G40" s="2059"/>
      <c r="H40" s="2059"/>
      <c r="I40" s="833" t="s">
        <v>1812</v>
      </c>
      <c r="J40" s="841">
        <f ca="1">1-J39</f>
        <v>0.43500000000000005</v>
      </c>
      <c r="K40" s="2080"/>
      <c r="L40" s="2059"/>
      <c r="M40" s="2059"/>
    </row>
    <row r="41" spans="1:18" ht="18" customHeight="1">
      <c r="A41" s="782"/>
      <c r="B41" s="783"/>
      <c r="C41" s="784"/>
      <c r="D41" s="817" t="s">
        <v>1801</v>
      </c>
      <c r="E41" s="780" t="s">
        <v>2961</v>
      </c>
      <c r="F41" s="818">
        <f ca="1">IF(INDIRECT("'数据-取费表'!af"&amp;$G$1)=0,INDIRECT("'数据-取费表'!ae"&amp;$G$1),INDIRECT("'数据-取费表'!af"&amp;$G$1))</f>
        <v>50</v>
      </c>
      <c r="G41" s="2059"/>
      <c r="H41" s="1985"/>
      <c r="I41" s="839" t="s">
        <v>1813</v>
      </c>
      <c r="J41" s="842"/>
      <c r="K41" s="2079"/>
      <c r="L41" s="1985"/>
      <c r="M41" s="1985"/>
    </row>
    <row r="42" spans="1:18" ht="18" customHeight="1">
      <c r="A42" s="786"/>
      <c r="B42" s="787"/>
      <c r="C42" s="788"/>
      <c r="D42" s="812"/>
      <c r="E42" s="780" t="s">
        <v>1802</v>
      </c>
      <c r="F42" s="790">
        <f ca="1">INDIRECT("'数据-取费表'!v"&amp;$G$1)</f>
        <v>0</v>
      </c>
      <c r="G42" s="2059"/>
      <c r="H42" s="1985"/>
      <c r="I42" s="843" t="s">
        <v>1814</v>
      </c>
      <c r="J42" s="841">
        <f ca="1">ROUND(C13/C40,3)</f>
        <v>0.35299999999999998</v>
      </c>
      <c r="K42" s="2079"/>
      <c r="L42" s="1985"/>
      <c r="M42" s="1985"/>
    </row>
    <row r="43" spans="1:18" ht="18" customHeight="1" thickBot="1">
      <c r="A43" s="819" t="s">
        <v>1780</v>
      </c>
      <c r="B43" s="820" t="s">
        <v>1803</v>
      </c>
      <c r="C43" s="821">
        <f ca="1">ROUND(C40*10000/F43,0)</f>
        <v>15758</v>
      </c>
      <c r="D43" s="822" t="s">
        <v>1804</v>
      </c>
      <c r="E43" s="823" t="s">
        <v>1805</v>
      </c>
      <c r="F43" s="824">
        <f ca="1">INDIRECT("'数据-取费表'!k"&amp;$G$1)</f>
        <v>13877</v>
      </c>
      <c r="G43" s="2059"/>
      <c r="H43" s="1985"/>
      <c r="I43" s="843" t="s">
        <v>1815</v>
      </c>
      <c r="J43" s="844">
        <f ca="1">1-J42</f>
        <v>0.64700000000000002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2290</v>
      </c>
      <c r="B46" s="2082"/>
      <c r="C46" s="2571">
        <f ca="1">C67-C40</f>
        <v>-24692</v>
      </c>
      <c r="D46" s="2082"/>
      <c r="E46" s="2082"/>
      <c r="F46" s="2082"/>
      <c r="I46" s="2375" t="s">
        <v>2338</v>
      </c>
      <c r="J46" s="2376"/>
      <c r="K46" s="2377"/>
      <c r="L46" s="3155">
        <f>IF(OR(M47="住宅",D1="土地（套用方法）"),0,IF(L48&gt;J51,L60,J60))</f>
        <v>0</v>
      </c>
      <c r="O46" s="2391" t="s">
        <v>2405</v>
      </c>
      <c r="P46" s="1588"/>
      <c r="Q46" s="1600"/>
      <c r="R46" s="1588"/>
    </row>
    <row r="47" spans="1:18" s="2056" customFormat="1" ht="18" customHeight="1" thickBot="1">
      <c r="A47" s="2369">
        <v>1</v>
      </c>
      <c r="B47" s="2370" t="s">
        <v>629</v>
      </c>
      <c r="C47" s="2571">
        <f ca="1">C48+C52+C54</f>
        <v>0</v>
      </c>
      <c r="D47" s="2082"/>
      <c r="E47" s="2082"/>
      <c r="F47" s="2082"/>
      <c r="I47" s="3145" t="s">
        <v>2339</v>
      </c>
      <c r="J47" s="2378" t="s">
        <v>3172</v>
      </c>
      <c r="K47" s="3152" t="s">
        <v>2344</v>
      </c>
      <c r="L47" s="3156">
        <f ca="1">INDIRECT("'数据-取费表'!d"&amp;$G$1)</f>
        <v>50</v>
      </c>
      <c r="M47" s="1600" t="str">
        <f>IF(ISNUMBER(FIND("住宅",C1)),"住宅","非住宅")</f>
        <v>非住宅</v>
      </c>
      <c r="O47" s="2392" t="s">
        <v>2370</v>
      </c>
      <c r="P47" s="2393" t="s">
        <v>2371</v>
      </c>
      <c r="Q47" s="2394" t="s">
        <v>2372</v>
      </c>
      <c r="R47" s="2393" t="s">
        <v>2373</v>
      </c>
    </row>
    <row r="48" spans="1:18" s="2056" customFormat="1" ht="18" customHeight="1" thickBot="1">
      <c r="A48" s="2639" t="s">
        <v>2532</v>
      </c>
      <c r="B48" s="2640" t="s">
        <v>2533</v>
      </c>
      <c r="C48" s="2371">
        <f ca="1">ROUND(F48*F50*F49*(1-F51)/10000,0)</f>
        <v>0</v>
      </c>
      <c r="D48" s="2372" t="s">
        <v>630</v>
      </c>
      <c r="E48" s="2373" t="s">
        <v>2291</v>
      </c>
      <c r="F48" s="2374"/>
      <c r="G48" s="2087"/>
      <c r="I48" s="3121" t="s">
        <v>2340</v>
      </c>
      <c r="J48" s="2379" t="s">
        <v>2345</v>
      </c>
      <c r="K48" s="3153" t="s">
        <v>2346</v>
      </c>
      <c r="L48" s="1905">
        <f ca="1">INDIRECT("'数据-取费表'!f"&amp;$G$1)</f>
        <v>50</v>
      </c>
      <c r="O48" s="2395" t="s">
        <v>2374</v>
      </c>
      <c r="P48" s="2396" t="s">
        <v>2400</v>
      </c>
      <c r="Q48" s="2397">
        <f ca="1">C40+J29</f>
        <v>21867</v>
      </c>
      <c r="R48" s="2396" t="s">
        <v>2375</v>
      </c>
    </row>
    <row r="49" spans="1:18" s="2056" customFormat="1" ht="18" customHeight="1" thickBot="1">
      <c r="A49" s="782"/>
      <c r="B49" s="783"/>
      <c r="C49" s="784"/>
      <c r="D49" s="785"/>
      <c r="E49" s="780" t="s">
        <v>1732</v>
      </c>
      <c r="F49" s="781">
        <f ca="1">F7</f>
        <v>13877</v>
      </c>
      <c r="G49" s="2087"/>
      <c r="H49" s="2090"/>
      <c r="I49" s="3121" t="s">
        <v>2341</v>
      </c>
      <c r="J49" s="2380"/>
      <c r="K49" s="3154" t="s">
        <v>2347</v>
      </c>
      <c r="L49" s="2381"/>
      <c r="O49" s="2395" t="s">
        <v>2376</v>
      </c>
      <c r="P49" s="2396" t="s">
        <v>2401</v>
      </c>
      <c r="Q49" s="2397">
        <f ca="1">J60</f>
        <v>3089</v>
      </c>
      <c r="R49" s="2396" t="s">
        <v>2377</v>
      </c>
    </row>
    <row r="50" spans="1:18" s="2056" customFormat="1" ht="18" customHeight="1" thickBot="1">
      <c r="A50" s="782"/>
      <c r="B50" s="783"/>
      <c r="C50" s="784"/>
      <c r="D50" s="785"/>
      <c r="E50" s="780" t="s">
        <v>1733</v>
      </c>
      <c r="F50" s="781">
        <f ca="1">F8</f>
        <v>365</v>
      </c>
      <c r="G50" s="2092"/>
      <c r="H50" s="2090"/>
      <c r="I50" s="3121" t="s">
        <v>2342</v>
      </c>
      <c r="J50" s="3149">
        <f>SUMPRODUCT((I63:I65=J47)*(J62:L62=J48)*(J63:L65))</f>
        <v>60</v>
      </c>
      <c r="K50" s="3154" t="s">
        <v>2348</v>
      </c>
      <c r="L50" s="2381"/>
      <c r="O50" s="2398" t="s">
        <v>2378</v>
      </c>
      <c r="P50" s="2396" t="s">
        <v>2402</v>
      </c>
      <c r="Q50" s="2397">
        <f ca="1">C29</f>
        <v>7723</v>
      </c>
      <c r="R50" s="2396" t="s">
        <v>2375</v>
      </c>
    </row>
    <row r="51" spans="1:18" s="2056" customFormat="1" ht="18" customHeight="1" thickBot="1">
      <c r="A51" s="782"/>
      <c r="B51" s="783"/>
      <c r="C51" s="784"/>
      <c r="D51" s="785"/>
      <c r="E51" s="780" t="s">
        <v>634</v>
      </c>
      <c r="F51" s="2368"/>
      <c r="H51" s="2090"/>
      <c r="I51" s="3146" t="s">
        <v>2343</v>
      </c>
      <c r="J51" s="3150">
        <f>IF(J49="",J50,J49+J50-YEAR('数据-取费表'!B2))</f>
        <v>60</v>
      </c>
      <c r="K51" s="3121" t="s">
        <v>2349</v>
      </c>
      <c r="L51" s="3157">
        <f ca="1">ROUND(-PV(INDIRECT("'数据-取费表'!h"&amp;$G$1),L48,(C39-C13*J36),0),0)</f>
        <v>8933</v>
      </c>
      <c r="O51" s="2398" t="s">
        <v>2379</v>
      </c>
      <c r="P51" s="2396" t="s">
        <v>2380</v>
      </c>
      <c r="Q51" s="2399">
        <f ca="1">J58</f>
        <v>0.4</v>
      </c>
      <c r="R51" s="2400"/>
    </row>
    <row r="52" spans="1:18" s="2056" customFormat="1" ht="18" customHeight="1" thickBot="1">
      <c r="A52" s="777" t="s">
        <v>2531</v>
      </c>
      <c r="B52" s="2491" t="s">
        <v>2454</v>
      </c>
      <c r="C52" s="795">
        <f ca="1">ROUND(IF(F52="押一",C48/12*F11,IF(F52="押二",C48/12*2*F11,IF(F52="押三",C48/12*3*F11,C53*F11))),0)</f>
        <v>0</v>
      </c>
      <c r="D52" s="2498" t="s">
        <v>2972</v>
      </c>
      <c r="E52" s="2495" t="s">
        <v>2459</v>
      </c>
      <c r="F52" s="2618"/>
      <c r="I52" s="3147" t="s">
        <v>2416</v>
      </c>
      <c r="J52" s="2382"/>
      <c r="K52" s="3147" t="s">
        <v>2415</v>
      </c>
      <c r="L52" s="2382"/>
      <c r="O52" s="2398" t="s">
        <v>2381</v>
      </c>
      <c r="P52" s="2396" t="s">
        <v>2382</v>
      </c>
      <c r="Q52" s="2399">
        <f>J52</f>
        <v>0</v>
      </c>
      <c r="R52" s="2400"/>
    </row>
    <row r="53" spans="1:18" s="2056" customFormat="1" ht="39.75" customHeight="1" thickBot="1">
      <c r="A53" s="782"/>
      <c r="B53" s="2492" t="s">
        <v>2568</v>
      </c>
      <c r="C53" s="2496"/>
      <c r="D53" s="2498"/>
      <c r="E53" s="2495"/>
      <c r="F53" s="796"/>
      <c r="I53" s="3148" t="s">
        <v>2976</v>
      </c>
      <c r="J53" s="3151">
        <f ca="1">IF(M47="住宅",IF(D1="——",MAX(J51,L48),MAX(J51,L48-'数据-取费表'!B20)),IF(D1="——",MIN(J51,L48),MIN(J51,L48-'数据-取费表'!B20)))</f>
        <v>47</v>
      </c>
      <c r="K53" s="3579" t="s">
        <v>2963</v>
      </c>
      <c r="L53" s="3580"/>
      <c r="O53" s="2398" t="s">
        <v>2383</v>
      </c>
      <c r="P53" s="2396" t="s">
        <v>2384</v>
      </c>
      <c r="Q53" s="2397">
        <f ca="1">J53</f>
        <v>47</v>
      </c>
      <c r="R53" s="2396" t="s">
        <v>2385</v>
      </c>
    </row>
    <row r="54" spans="1:18" s="2056" customFormat="1" ht="18" customHeight="1" thickBot="1">
      <c r="A54" s="2534" t="s">
        <v>2462</v>
      </c>
      <c r="B54" s="2535" t="s">
        <v>2455</v>
      </c>
      <c r="C54" s="2536"/>
      <c r="D54" s="2498"/>
      <c r="E54" s="2495"/>
      <c r="F54" s="796"/>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2386</v>
      </c>
      <c r="P54" s="2396" t="s">
        <v>2403</v>
      </c>
      <c r="Q54" s="2397">
        <f ca="1">Q48+Q49</f>
        <v>24956</v>
      </c>
      <c r="R54" s="2400" t="s">
        <v>2387</v>
      </c>
    </row>
    <row r="55" spans="1:18" s="2056" customFormat="1" ht="18" customHeight="1" thickTop="1" thickBot="1">
      <c r="A55" s="793">
        <v>2</v>
      </c>
      <c r="B55" s="794" t="s">
        <v>638</v>
      </c>
      <c r="C55" s="795">
        <f ca="1">C13</f>
        <v>7723</v>
      </c>
      <c r="D55" s="791"/>
      <c r="E55" s="791"/>
      <c r="F55" s="796"/>
      <c r="I55" s="3160" t="s">
        <v>2350</v>
      </c>
      <c r="J55" s="3096">
        <f ca="1">ROUND(IF(J47="钢混",J57/J50,1-(1-2%)*(J50-J57)/J50),3)</f>
        <v>0.16700000000000001</v>
      </c>
      <c r="K55" s="3161" t="s">
        <v>2351</v>
      </c>
      <c r="L55" s="2383"/>
      <c r="O55" s="2401" t="s">
        <v>2406</v>
      </c>
      <c r="P55" s="1588"/>
      <c r="Q55" s="1600"/>
      <c r="R55" s="1588"/>
    </row>
    <row r="56" spans="1:18" s="2056" customFormat="1" ht="42.75" customHeight="1" thickBot="1">
      <c r="A56" s="1646"/>
      <c r="B56" s="2228" t="s">
        <v>2297</v>
      </c>
      <c r="C56" s="53">
        <f ca="1">C29</f>
        <v>7723</v>
      </c>
      <c r="D56" s="2636"/>
      <c r="E56" s="780"/>
      <c r="F56" s="805"/>
      <c r="I56" s="3162" t="s">
        <v>2352</v>
      </c>
      <c r="J56" s="3172" t="s">
        <v>3003</v>
      </c>
      <c r="K56" s="3121" t="s">
        <v>2357</v>
      </c>
      <c r="L56" s="1905" t="str">
        <f ca="1">IF(L48&lt;J51,"——",L48-J51)</f>
        <v>——</v>
      </c>
      <c r="O56" s="2392" t="s">
        <v>2370</v>
      </c>
      <c r="P56" s="2393" t="s">
        <v>2371</v>
      </c>
      <c r="Q56" s="2394" t="s">
        <v>2372</v>
      </c>
      <c r="R56" s="2393" t="s">
        <v>2373</v>
      </c>
    </row>
    <row r="57" spans="1:18" s="2056" customFormat="1" ht="28.5" customHeight="1" thickBot="1">
      <c r="A57" s="793" t="s">
        <v>1741</v>
      </c>
      <c r="B57" s="794" t="s">
        <v>645</v>
      </c>
      <c r="C57" s="795">
        <f ca="1">ROUND(C58+C63+C64+C65,0)</f>
        <v>150</v>
      </c>
      <c r="D57" s="26" t="s">
        <v>1743</v>
      </c>
      <c r="E57" s="2637"/>
      <c r="F57" s="56"/>
      <c r="I57" s="3163" t="s">
        <v>2353</v>
      </c>
      <c r="J57" s="3164">
        <f ca="1">IF(OR(M47="住宅",J51&lt;L48,J56="是"),"——",J51-L48)</f>
        <v>10</v>
      </c>
      <c r="K57" s="3121" t="s">
        <v>2358</v>
      </c>
      <c r="L57" s="1905" t="str">
        <f ca="1">IF(L48&lt;J51,"——",IF(L55="比较法",L49,IF(L55="基准地价",L50,L51)))</f>
        <v>——</v>
      </c>
      <c r="O57" s="2395" t="s">
        <v>2374</v>
      </c>
      <c r="P57" s="2396" t="s">
        <v>2404</v>
      </c>
      <c r="Q57" s="2397">
        <f ca="1">C40+J29</f>
        <v>21867</v>
      </c>
      <c r="R57" s="2396" t="s">
        <v>2375</v>
      </c>
    </row>
    <row r="58" spans="1:18" s="2056" customFormat="1" ht="28.5" customHeight="1" thickBot="1">
      <c r="A58" s="1645" t="s">
        <v>1817</v>
      </c>
      <c r="B58" s="780" t="s">
        <v>650</v>
      </c>
      <c r="C58" s="53">
        <f ca="1">ROUND(IF(项目基本情况!B11="自然人",C47*F58,C59+C60+C61),1)</f>
        <v>65.400000000000006</v>
      </c>
      <c r="D58" s="2635" t="s">
        <v>651</v>
      </c>
      <c r="E58" s="2636" t="s">
        <v>684</v>
      </c>
      <c r="F58" s="806">
        <f ca="1">IF(项目基本情况!B11="企业","",IF(INDIRECT("'数据-取费表'!c"&amp;$G$1)="住宅",5%,IF(F48*F49*F50/12/(1+'数据-取费表'!C42)&gt;20000,12%,7%)))</f>
        <v>7.0000000000000007E-2</v>
      </c>
      <c r="I58" s="3163" t="s">
        <v>2354</v>
      </c>
      <c r="J58" s="3097">
        <f ca="1">IF(J55&lt;0.4,0.4,J55)</f>
        <v>0.4</v>
      </c>
      <c r="K58" s="3121" t="s">
        <v>2359</v>
      </c>
      <c r="L58" s="1905" t="e">
        <f ca="1">ROUND(POWER(1+L52,L47-L48)*(POWER(1+L52,L48)-1)/(POWER(1+L52,L47)-1),4)</f>
        <v>#DIV/0!</v>
      </c>
      <c r="O58" s="2395" t="s">
        <v>2376</v>
      </c>
      <c r="P58" s="2396" t="s">
        <v>2407</v>
      </c>
      <c r="Q58" s="2397">
        <f ca="1">L60</f>
        <v>0</v>
      </c>
      <c r="R58" s="2400" t="s">
        <v>2409</v>
      </c>
    </row>
    <row r="59" spans="1:18" s="2056" customFormat="1" ht="28.5" customHeight="1" thickBot="1">
      <c r="A59" s="1644" t="s">
        <v>1824</v>
      </c>
      <c r="B59" s="780" t="s">
        <v>654</v>
      </c>
      <c r="C59" s="53">
        <f ca="1">ROUND(C47*F59/1.05,1)</f>
        <v>0</v>
      </c>
      <c r="D59" s="2636" t="s">
        <v>1749</v>
      </c>
      <c r="E59" s="780" t="s">
        <v>1740</v>
      </c>
      <c r="F59" s="805">
        <f t="shared" ref="F59:F65" si="0">F32</f>
        <v>5.6000000000000001E-2</v>
      </c>
      <c r="I59" s="3163" t="s">
        <v>2355</v>
      </c>
      <c r="J59" s="3164">
        <f ca="1">IF(OR(M47="住宅",J51&lt;L48,J56="是"),"——",ROUND(C29*J58,0))</f>
        <v>3089</v>
      </c>
      <c r="K59" s="3121"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2378</v>
      </c>
      <c r="P59" s="2396" t="s">
        <v>2408</v>
      </c>
      <c r="Q59" s="2397">
        <f>IF(L55="比较法",L49,IF(L55="基准地价",L50,0))</f>
        <v>0</v>
      </c>
      <c r="R59" s="2396" t="s">
        <v>2375</v>
      </c>
    </row>
    <row r="60" spans="1:18" s="2056" customFormat="1" ht="18" customHeight="1" thickBot="1">
      <c r="A60" s="1644" t="s">
        <v>1825</v>
      </c>
      <c r="B60" s="780" t="s">
        <v>1751</v>
      </c>
      <c r="C60" s="53">
        <f ca="1">IF(D60="按租金收入计税",ROUND(C47*F60,1),IF(D60="按房产原值计税",ROUND(C56*F60*0.7,1),INDIRECT("'数据-取费表'!Aj"&amp;$G$1)))</f>
        <v>64.900000000000006</v>
      </c>
      <c r="D60" s="2636" t="str">
        <f>D33</f>
        <v>按房产原值计税</v>
      </c>
      <c r="E60" s="780" t="s">
        <v>1740</v>
      </c>
      <c r="F60" s="805">
        <f t="shared" si="0"/>
        <v>1.2E-2</v>
      </c>
      <c r="I60" s="3165" t="s">
        <v>2356</v>
      </c>
      <c r="J60" s="3166">
        <f ca="1">IF(OR(M47="住宅",J51&lt;L48,J56="是"),"0",ROUND(J59/(1+J52)^J53,0))</f>
        <v>3089</v>
      </c>
      <c r="K60" s="3167" t="s">
        <v>2361</v>
      </c>
      <c r="L60" s="3166">
        <f ca="1">IF(OR(M47="住宅",L48&lt;J51),0,ROUND(L57*(L58/L59-1),0))</f>
        <v>0</v>
      </c>
      <c r="O60" s="2398" t="s">
        <v>2379</v>
      </c>
      <c r="P60" s="2396" t="s">
        <v>2388</v>
      </c>
      <c r="Q60" s="2399">
        <f>L52</f>
        <v>0</v>
      </c>
      <c r="R60" s="2400"/>
    </row>
    <row r="61" spans="1:18" s="2056" customFormat="1" ht="18" customHeight="1" thickBot="1">
      <c r="A61" s="1647" t="s">
        <v>1826</v>
      </c>
      <c r="B61" s="337" t="s">
        <v>662</v>
      </c>
      <c r="C61" s="54">
        <f ca="1">ROUND(F61*F62/10000,1)</f>
        <v>0.5</v>
      </c>
      <c r="D61" s="810" t="s">
        <v>663</v>
      </c>
      <c r="E61" s="780" t="s">
        <v>664</v>
      </c>
      <c r="F61" s="636">
        <f t="shared" si="0"/>
        <v>1.5</v>
      </c>
      <c r="K61" s="2083"/>
      <c r="O61" s="2398" t="s">
        <v>2381</v>
      </c>
      <c r="P61" s="2396" t="s">
        <v>2389</v>
      </c>
      <c r="Q61" s="2397" t="e">
        <f ca="1">L58</f>
        <v>#DIV/0!</v>
      </c>
      <c r="R61" s="2400" t="s">
        <v>2390</v>
      </c>
    </row>
    <row r="62" spans="1:18" s="2056" customFormat="1" ht="15.75" thickBot="1">
      <c r="A62" s="811"/>
      <c r="B62" s="789"/>
      <c r="C62" s="69"/>
      <c r="D62" s="812"/>
      <c r="E62" s="780" t="s">
        <v>668</v>
      </c>
      <c r="F62" s="781">
        <f t="shared" ca="1" si="0"/>
        <v>3577.99</v>
      </c>
      <c r="I62" s="3168" t="s">
        <v>2362</v>
      </c>
      <c r="J62" s="3169" t="s">
        <v>2363</v>
      </c>
      <c r="K62" s="3169" t="s">
        <v>2364</v>
      </c>
      <c r="L62" s="3169" t="s">
        <v>2345</v>
      </c>
      <c r="M62" s="3170" t="s">
        <v>2940</v>
      </c>
      <c r="O62" s="2398" t="s">
        <v>2383</v>
      </c>
      <c r="P62" s="2396" t="str">
        <f>K59</f>
        <v>建设期及建筑物耐用年限下的土地年期修正系数Kn</v>
      </c>
      <c r="Q62" s="2397" t="e">
        <f ca="1">L59</f>
        <v>#DIV/0!</v>
      </c>
      <c r="R62" s="2400" t="s">
        <v>2392</v>
      </c>
    </row>
    <row r="63" spans="1:18" s="2056" customFormat="1" ht="15.75" thickBot="1">
      <c r="A63" s="1645" t="s">
        <v>1882</v>
      </c>
      <c r="B63" s="780" t="s">
        <v>670</v>
      </c>
      <c r="C63" s="53">
        <f ca="1">ROUND(C56*F63,1)</f>
        <v>77.2</v>
      </c>
      <c r="D63" s="2636" t="s">
        <v>1796</v>
      </c>
      <c r="E63" s="780" t="s">
        <v>1740</v>
      </c>
      <c r="F63" s="813">
        <f t="shared" ca="1" si="0"/>
        <v>0.01</v>
      </c>
      <c r="I63" s="3168" t="s">
        <v>2365</v>
      </c>
      <c r="J63" s="3169">
        <v>70</v>
      </c>
      <c r="K63" s="3169">
        <v>50</v>
      </c>
      <c r="L63" s="3169">
        <v>80</v>
      </c>
      <c r="M63" s="3171">
        <v>0.02</v>
      </c>
      <c r="O63" s="2395" t="s">
        <v>2386</v>
      </c>
      <c r="P63" s="2396" t="s">
        <v>2403</v>
      </c>
      <c r="Q63" s="2397">
        <f ca="1">Q57+Q58</f>
        <v>21867</v>
      </c>
      <c r="R63" s="2400" t="s">
        <v>2387</v>
      </c>
    </row>
    <row r="64" spans="1:18" s="2056" customFormat="1" ht="16.5" thickBot="1">
      <c r="A64" s="1645" t="s">
        <v>1883</v>
      </c>
      <c r="B64" s="780" t="s">
        <v>673</v>
      </c>
      <c r="C64" s="53">
        <f ca="1">ROUND(C55*F64,1)</f>
        <v>7.7</v>
      </c>
      <c r="D64" s="2636" t="s">
        <v>674</v>
      </c>
      <c r="E64" s="780" t="s">
        <v>1740</v>
      </c>
      <c r="F64" s="814">
        <f t="shared" ca="1" si="0"/>
        <v>1E-3</v>
      </c>
      <c r="I64" s="3168" t="s">
        <v>2366</v>
      </c>
      <c r="J64" s="3169">
        <v>50</v>
      </c>
      <c r="K64" s="3169">
        <v>35</v>
      </c>
      <c r="L64" s="3169">
        <v>60</v>
      </c>
      <c r="M64" s="842">
        <v>0</v>
      </c>
      <c r="O64" s="2401" t="s">
        <v>2410</v>
      </c>
      <c r="P64" s="1588"/>
      <c r="Q64" s="1600"/>
      <c r="R64" s="1588"/>
    </row>
    <row r="65" spans="1:18" s="2056" customFormat="1" ht="15.75" thickBot="1">
      <c r="A65" s="1645" t="s">
        <v>1884</v>
      </c>
      <c r="B65" s="780" t="s">
        <v>660</v>
      </c>
      <c r="C65" s="53">
        <f ca="1">ROUND(C47*F65,1)</f>
        <v>0</v>
      </c>
      <c r="D65" s="2636" t="s">
        <v>677</v>
      </c>
      <c r="E65" s="780" t="s">
        <v>1740</v>
      </c>
      <c r="F65" s="790">
        <f t="shared" ca="1" si="0"/>
        <v>0.01</v>
      </c>
      <c r="I65" s="3168" t="s">
        <v>2367</v>
      </c>
      <c r="J65" s="3169">
        <v>40</v>
      </c>
      <c r="K65" s="3169">
        <v>30</v>
      </c>
      <c r="L65" s="3169">
        <v>50</v>
      </c>
      <c r="M65" s="3171">
        <v>0.02</v>
      </c>
      <c r="O65" s="2392" t="s">
        <v>2370</v>
      </c>
      <c r="P65" s="2393" t="s">
        <v>2371</v>
      </c>
      <c r="Q65" s="2394" t="s">
        <v>2372</v>
      </c>
      <c r="R65" s="2393" t="s">
        <v>2373</v>
      </c>
    </row>
    <row r="66" spans="1:18" s="2056" customFormat="1" ht="24.75" thickBot="1">
      <c r="A66" s="793" t="s">
        <v>1769</v>
      </c>
      <c r="B66" s="3008" t="s">
        <v>2817</v>
      </c>
      <c r="C66" s="795">
        <f ca="1">C47-C57</f>
        <v>-150</v>
      </c>
      <c r="D66" s="2635" t="s">
        <v>694</v>
      </c>
      <c r="E66" s="2634"/>
      <c r="F66" s="816"/>
      <c r="K66" s="2083"/>
      <c r="O66" s="2395" t="s">
        <v>2374</v>
      </c>
      <c r="P66" s="2396" t="s">
        <v>2404</v>
      </c>
      <c r="Q66" s="2397">
        <f ca="1">C40+J29</f>
        <v>21867</v>
      </c>
      <c r="R66" s="2396" t="s">
        <v>2375</v>
      </c>
    </row>
    <row r="67" spans="1:18" s="2056" customFormat="1" ht="20.25" thickBot="1">
      <c r="A67" s="777" t="s">
        <v>1773</v>
      </c>
      <c r="B67" s="2229" t="s">
        <v>2296</v>
      </c>
      <c r="C67" s="779">
        <f ca="1">ROUND(C66*(1-((1+F69)/(1+F67))^F68)/(F67-F69),0)</f>
        <v>-2825</v>
      </c>
      <c r="D67" s="810" t="s">
        <v>698</v>
      </c>
      <c r="E67" s="780" t="s">
        <v>699</v>
      </c>
      <c r="F67" s="790">
        <f ca="1">F40</f>
        <v>4.8000000000000001E-2</v>
      </c>
      <c r="K67" s="2083"/>
      <c r="O67" s="2395" t="s">
        <v>2376</v>
      </c>
      <c r="P67" s="2396" t="s">
        <v>2407</v>
      </c>
      <c r="Q67" s="2397">
        <f ca="1">L60</f>
        <v>0</v>
      </c>
      <c r="R67" s="2400" t="s">
        <v>2409</v>
      </c>
    </row>
    <row r="68" spans="1:18" ht="21.75" thickBot="1">
      <c r="A68" s="782"/>
      <c r="B68" s="783"/>
      <c r="C68" s="784"/>
      <c r="D68" s="817" t="s">
        <v>1801</v>
      </c>
      <c r="E68" s="780" t="s">
        <v>1777</v>
      </c>
      <c r="F68" s="818">
        <f ca="1">F41</f>
        <v>50</v>
      </c>
      <c r="O68" s="2398" t="s">
        <v>2378</v>
      </c>
      <c r="P68" s="2396" t="s">
        <v>2408</v>
      </c>
      <c r="Q68" s="2402">
        <f ca="1">L51</f>
        <v>8933</v>
      </c>
      <c r="R68" s="2403" t="s">
        <v>2411</v>
      </c>
    </row>
    <row r="69" spans="1:18" ht="20.25" thickBot="1">
      <c r="A69" s="786"/>
      <c r="B69" s="787"/>
      <c r="C69" s="788"/>
      <c r="D69" s="812"/>
      <c r="E69" s="780" t="s">
        <v>704</v>
      </c>
      <c r="F69" s="2368"/>
      <c r="O69" s="2398" t="s">
        <v>2379</v>
      </c>
      <c r="P69" s="2404" t="s">
        <v>2393</v>
      </c>
      <c r="Q69" s="2397">
        <f ca="1">ROUND(Q70-Q71*Q72,0)</f>
        <v>505</v>
      </c>
      <c r="R69" s="2400"/>
    </row>
    <row r="70" spans="1:18" ht="15.75" thickBot="1">
      <c r="A70" s="819" t="s">
        <v>1780</v>
      </c>
      <c r="B70" s="820" t="s">
        <v>1803</v>
      </c>
      <c r="C70" s="821">
        <f ca="1">ROUND(C67*10000/F70,0)</f>
        <v>-2036</v>
      </c>
      <c r="D70" s="822" t="s">
        <v>1804</v>
      </c>
      <c r="E70" s="823" t="s">
        <v>1805</v>
      </c>
      <c r="F70" s="824">
        <f ca="1">F43</f>
        <v>13877</v>
      </c>
      <c r="O70" s="2398" t="s">
        <v>2394</v>
      </c>
      <c r="P70" s="2404" t="s">
        <v>2395</v>
      </c>
      <c r="Q70" s="2397">
        <f ca="1">C39</f>
        <v>1161</v>
      </c>
      <c r="R70" s="2396" t="s">
        <v>2375</v>
      </c>
    </row>
    <row r="71" spans="1:18" ht="15.75" thickBot="1">
      <c r="O71" s="2398" t="s">
        <v>2396</v>
      </c>
      <c r="P71" s="2404" t="s">
        <v>2397</v>
      </c>
      <c r="Q71" s="2397">
        <f ca="1">C13</f>
        <v>7723</v>
      </c>
      <c r="R71" s="2396" t="s">
        <v>2375</v>
      </c>
    </row>
    <row r="72" spans="1:18" ht="15.75" thickBot="1">
      <c r="O72" s="2398" t="s">
        <v>2398</v>
      </c>
      <c r="P72" s="2404" t="s">
        <v>2399</v>
      </c>
      <c r="Q72" s="2399">
        <f ca="1">J36</f>
        <v>8.5000000000000006E-2</v>
      </c>
      <c r="R72" s="2400"/>
    </row>
    <row r="73" spans="1:18" ht="15.75" thickBot="1">
      <c r="O73" s="2398" t="s">
        <v>2381</v>
      </c>
      <c r="P73" s="2396" t="s">
        <v>2388</v>
      </c>
      <c r="Q73" s="2399">
        <f>L52</f>
        <v>0</v>
      </c>
      <c r="R73" s="2400"/>
    </row>
    <row r="74" spans="1:18" ht="20.25" thickBot="1">
      <c r="O74" s="2398" t="s">
        <v>2383</v>
      </c>
      <c r="P74" s="2396" t="s">
        <v>2389</v>
      </c>
      <c r="Q74" s="2397" t="e">
        <f ca="1">L58</f>
        <v>#DIV/0!</v>
      </c>
      <c r="R74" s="2400" t="s">
        <v>2390</v>
      </c>
    </row>
    <row r="75" spans="1:18" ht="15.75" thickBot="1">
      <c r="O75" s="2398" t="s">
        <v>2412</v>
      </c>
      <c r="P75" s="2396" t="str">
        <f>K59</f>
        <v>建设期及建筑物耐用年限下的土地年期修正系数Kn</v>
      </c>
      <c r="Q75" s="2397" t="e">
        <f ca="1">L59</f>
        <v>#DIV/0!</v>
      </c>
      <c r="R75" s="2400" t="s">
        <v>2392</v>
      </c>
    </row>
    <row r="76" spans="1:18" ht="15.75" thickBot="1">
      <c r="O76" s="2395" t="s">
        <v>2386</v>
      </c>
      <c r="P76" s="2396" t="s">
        <v>2403</v>
      </c>
      <c r="Q76" s="2397">
        <f ca="1">Q66+Q67</f>
        <v>21867</v>
      </c>
      <c r="R76" s="2400"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4" zoomScale="80" zoomScaleNormal="80" workbookViewId="0">
      <selection activeCell="A17" sqref="A17:XFD17"/>
    </sheetView>
  </sheetViews>
  <sheetFormatPr defaultRowHeight="14.25"/>
  <cols>
    <col min="1" max="1" width="10.5" style="1333" customWidth="1"/>
    <col min="2" max="2" width="15.75" style="1333" customWidth="1"/>
    <col min="3" max="3" width="18.75" style="1333" customWidth="1"/>
    <col min="4" max="4" width="12.25" style="1333" customWidth="1"/>
    <col min="5" max="5" width="18" style="1333" customWidth="1"/>
    <col min="6" max="6" width="12.25" style="1333" customWidth="1"/>
    <col min="7" max="7" width="16.875" style="1333" customWidth="1"/>
    <col min="8" max="8" width="12.25" style="1333" customWidth="1"/>
    <col min="9" max="9" width="18.25" style="1333" customWidth="1"/>
    <col min="10" max="10" width="12.25" style="1333" customWidth="1"/>
    <col min="11" max="11" width="12.25" style="1339" customWidth="1"/>
    <col min="12" max="12" width="12.25" style="1340" customWidth="1"/>
    <col min="13" max="15" width="12.25" style="1333" customWidth="1"/>
    <col min="16" max="16" width="4.75" style="2218"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499" t="s">
        <v>771</v>
      </c>
      <c r="C1" s="500" t="s">
        <v>714</v>
      </c>
      <c r="D1" s="845" t="s">
        <v>1672</v>
      </c>
      <c r="E1" s="502"/>
      <c r="F1" s="2804" t="s">
        <v>3097</v>
      </c>
      <c r="G1" s="1597" t="s">
        <v>715</v>
      </c>
      <c r="H1" s="502"/>
      <c r="I1" s="502"/>
      <c r="J1" s="502"/>
      <c r="K1" s="503"/>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19" t="s">
        <v>461</v>
      </c>
      <c r="B2" s="846">
        <f>ROUND(B3*D3/10000,0)</f>
        <v>4</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5" t="s">
        <v>513</v>
      </c>
      <c r="B3" s="506">
        <f>C50</f>
        <v>3</v>
      </c>
      <c r="C3" s="848" t="s">
        <v>716</v>
      </c>
      <c r="D3" s="847">
        <f>SUMIF('数据-汇总表'!$C19:$C33,D1,'数据-汇总表'!$E19:$E33)</f>
        <v>13877</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8" t="s">
        <v>515</v>
      </c>
      <c r="B4" s="509"/>
      <c r="C4" s="3552" t="s">
        <v>516</v>
      </c>
      <c r="D4" s="3553"/>
      <c r="E4" s="3554" t="s">
        <v>517</v>
      </c>
      <c r="F4" s="3555"/>
      <c r="G4" s="3552" t="s">
        <v>518</v>
      </c>
      <c r="H4" s="3553"/>
      <c r="I4" s="3552" t="s">
        <v>519</v>
      </c>
      <c r="J4" s="3553"/>
      <c r="K4" s="510" t="s">
        <v>520</v>
      </c>
      <c r="L4" s="2130"/>
      <c r="M4" s="2131"/>
      <c r="N4" s="2131"/>
      <c r="O4" s="2131"/>
      <c r="P4" s="3605" t="s">
        <v>521</v>
      </c>
      <c r="Q4" s="3557"/>
      <c r="R4" s="3539" t="s">
        <v>517</v>
      </c>
      <c r="S4" s="3540"/>
      <c r="T4" s="3539" t="s">
        <v>518</v>
      </c>
      <c r="U4" s="3540"/>
      <c r="V4" s="3564" t="s">
        <v>519</v>
      </c>
      <c r="W4" s="3564"/>
      <c r="X4" s="1563"/>
      <c r="Y4" s="3539" t="s">
        <v>521</v>
      </c>
      <c r="Z4" s="3540"/>
      <c r="AA4" s="3534" t="s">
        <v>517</v>
      </c>
      <c r="AB4" s="3534" t="s">
        <v>518</v>
      </c>
      <c r="AC4" s="3534" t="s">
        <v>519</v>
      </c>
    </row>
    <row r="5" spans="1:29" ht="15.75" thickBot="1">
      <c r="A5" s="511"/>
      <c r="B5" s="512"/>
      <c r="C5" s="3545" t="s">
        <v>3098</v>
      </c>
      <c r="D5" s="3546"/>
      <c r="E5" s="3543" t="s">
        <v>3246</v>
      </c>
      <c r="F5" s="3544"/>
      <c r="G5" s="3543" t="s">
        <v>3247</v>
      </c>
      <c r="H5" s="3544"/>
      <c r="I5" s="3545" t="s">
        <v>3226</v>
      </c>
      <c r="J5" s="3546"/>
      <c r="K5" s="510"/>
      <c r="L5" s="2130"/>
      <c r="M5" s="2131"/>
      <c r="N5" s="2131"/>
      <c r="O5" s="2131"/>
      <c r="P5" s="3606"/>
      <c r="Q5" s="3559"/>
      <c r="R5" s="3541"/>
      <c r="S5" s="3542"/>
      <c r="T5" s="3541"/>
      <c r="U5" s="3542"/>
      <c r="V5" s="3564"/>
      <c r="W5" s="3564"/>
      <c r="X5" s="1563"/>
      <c r="Y5" s="3541"/>
      <c r="Z5" s="3542"/>
      <c r="AA5" s="3535"/>
      <c r="AB5" s="3535"/>
      <c r="AC5" s="3535"/>
    </row>
    <row r="6" spans="1:29" ht="15.75" hidden="1" thickBot="1">
      <c r="A6" s="513"/>
      <c r="B6" s="514"/>
      <c r="C6" s="3547" t="s">
        <v>2929</v>
      </c>
      <c r="D6" s="3548"/>
      <c r="E6" s="3549" t="s">
        <v>2929</v>
      </c>
      <c r="F6" s="3550"/>
      <c r="G6" s="3547" t="s">
        <v>2929</v>
      </c>
      <c r="H6" s="3548"/>
      <c r="I6" s="3547" t="s">
        <v>2929</v>
      </c>
      <c r="J6" s="3548"/>
      <c r="K6" s="510" t="s">
        <v>522</v>
      </c>
      <c r="L6" s="2130"/>
      <c r="M6" s="2131"/>
      <c r="N6" s="2131"/>
      <c r="O6" s="2131"/>
      <c r="P6" s="3607"/>
      <c r="Q6" s="3561"/>
      <c r="R6" s="3541"/>
      <c r="S6" s="3542"/>
      <c r="T6" s="3562"/>
      <c r="U6" s="3563"/>
      <c r="V6" s="3564"/>
      <c r="W6" s="3564"/>
      <c r="X6" s="1563"/>
      <c r="Y6" s="3562"/>
      <c r="Z6" s="3563"/>
      <c r="AA6" s="3536"/>
      <c r="AB6" s="3536"/>
      <c r="AC6" s="3536"/>
    </row>
    <row r="7" spans="1:29" s="1216" customFormat="1" ht="15.75" thickBot="1">
      <c r="A7" s="2909"/>
      <c r="B7" s="2916" t="s">
        <v>523</v>
      </c>
      <c r="C7" s="515">
        <f>'数据-取费表'!B2</f>
        <v>43388</v>
      </c>
      <c r="D7" s="516">
        <v>100</v>
      </c>
      <c r="E7" s="517">
        <f>C7</f>
        <v>43388</v>
      </c>
      <c r="F7" s="518">
        <f>SUMIF(59:59,YEAR(E7)&amp;"-"&amp;MONTH(E7),60:60)</f>
        <v>100</v>
      </c>
      <c r="G7" s="517">
        <f>C7</f>
        <v>43388</v>
      </c>
      <c r="H7" s="516">
        <f>SUMIF(59:59,YEAR(G7)&amp;"-"&amp;MONTH(G7),60:60)</f>
        <v>100</v>
      </c>
      <c r="I7" s="517">
        <f>C7</f>
        <v>43388</v>
      </c>
      <c r="J7" s="516">
        <f>SUMIF(59:59,YEAR(I7)&amp;"-"&amp;MONTH(I7),60:60)</f>
        <v>100</v>
      </c>
      <c r="K7" s="520"/>
      <c r="L7" s="2132"/>
      <c r="M7" s="2133"/>
      <c r="N7" s="2133"/>
      <c r="O7" s="2133"/>
      <c r="P7" s="3565" t="s">
        <v>524</v>
      </c>
      <c r="Q7" s="3565"/>
      <c r="R7" s="1564" t="s">
        <v>8</v>
      </c>
      <c r="S7" s="1565">
        <f t="shared" ref="S7:S15" si="0">F7</f>
        <v>100</v>
      </c>
      <c r="T7" s="1564" t="s">
        <v>8</v>
      </c>
      <c r="U7" s="1565">
        <f t="shared" ref="U7:U15" si="1">H7</f>
        <v>100</v>
      </c>
      <c r="V7" s="1564" t="s">
        <v>8</v>
      </c>
      <c r="W7" s="1565">
        <f t="shared" ref="W7:W15" si="2">J7</f>
        <v>100</v>
      </c>
      <c r="X7" s="1566"/>
      <c r="Y7" s="3537" t="s">
        <v>524</v>
      </c>
      <c r="Z7" s="3538"/>
      <c r="AA7" s="1567">
        <f>D7/F7</f>
        <v>1</v>
      </c>
      <c r="AB7" s="1567">
        <f>D7/H7</f>
        <v>1</v>
      </c>
      <c r="AC7" s="1567">
        <f>D7/J7</f>
        <v>1</v>
      </c>
    </row>
    <row r="8" spans="1:29" s="1216" customFormat="1" ht="15.75" thickBot="1">
      <c r="A8" s="2910"/>
      <c r="B8" s="2917" t="s">
        <v>525</v>
      </c>
      <c r="C8" s="521" t="s">
        <v>570</v>
      </c>
      <c r="D8" s="516">
        <v>100</v>
      </c>
      <c r="E8" s="521" t="s">
        <v>3236</v>
      </c>
      <c r="F8" s="518">
        <f>SUMIF(62:62,E8,63:63)-SUMIF(62:62,C8,63:63)+100</f>
        <v>100</v>
      </c>
      <c r="G8" s="521" t="s">
        <v>3236</v>
      </c>
      <c r="H8" s="516">
        <f>SUMIF(62:62,G8,63:63)-SUMIF(62:62,C8,63:63)+100</f>
        <v>100</v>
      </c>
      <c r="I8" s="521" t="s">
        <v>3236</v>
      </c>
      <c r="J8" s="516">
        <f>SUMIF(62:62,I8,63:63)-SUMIF(62:62,C8,63:63)+100</f>
        <v>100</v>
      </c>
      <c r="K8" s="520"/>
      <c r="L8" s="2132"/>
      <c r="M8" s="2133"/>
      <c r="N8" s="2133"/>
      <c r="O8" s="2133"/>
      <c r="P8" s="3565" t="s">
        <v>527</v>
      </c>
      <c r="Q8" s="3538"/>
      <c r="R8" s="1564" t="s">
        <v>8</v>
      </c>
      <c r="S8" s="1565">
        <f t="shared" si="0"/>
        <v>100</v>
      </c>
      <c r="T8" s="1564" t="s">
        <v>8</v>
      </c>
      <c r="U8" s="1565">
        <f t="shared" si="1"/>
        <v>100</v>
      </c>
      <c r="V8" s="1564" t="s">
        <v>8</v>
      </c>
      <c r="W8" s="1565">
        <f t="shared" si="2"/>
        <v>100</v>
      </c>
      <c r="X8" s="1566"/>
      <c r="Y8" s="3537" t="s">
        <v>527</v>
      </c>
      <c r="Z8" s="3538"/>
      <c r="AA8" s="1567">
        <f t="shared" ref="AA8:AA47" si="3">D8/F8</f>
        <v>1</v>
      </c>
      <c r="AB8" s="1567">
        <f t="shared" ref="AB8:AB47" si="4">D8/H8</f>
        <v>1</v>
      </c>
      <c r="AC8" s="1567">
        <f t="shared" ref="AC8:AC47" si="5">D8/J8</f>
        <v>1</v>
      </c>
    </row>
    <row r="9" spans="1:29" s="1216" customFormat="1" ht="15">
      <c r="A9" s="2911"/>
      <c r="B9" s="2918" t="s">
        <v>2751</v>
      </c>
      <c r="C9" s="3258" t="s">
        <v>3180</v>
      </c>
      <c r="D9" s="253">
        <v>100</v>
      </c>
      <c r="E9" s="3271" t="s">
        <v>3180</v>
      </c>
      <c r="F9" s="253">
        <f>SUMIF(64:64,E9,65:65)-SUMIF(64:64,C9,65:65)+100</f>
        <v>100</v>
      </c>
      <c r="G9" s="3271" t="s">
        <v>3180</v>
      </c>
      <c r="H9" s="253">
        <f>SUMIF(64:64,G9,65:65)-SUMIF(64:64,C9,65:65)+100</f>
        <v>100</v>
      </c>
      <c r="I9" s="3271" t="s">
        <v>3180</v>
      </c>
      <c r="J9" s="253">
        <f>SUMIF(64:64,I9,65:65)-SUMIF(64:64,C9,65:65)+100</f>
        <v>100</v>
      </c>
      <c r="K9" s="520"/>
      <c r="L9" s="2132"/>
      <c r="M9" s="2133"/>
      <c r="N9" s="2133"/>
      <c r="O9" s="2133"/>
      <c r="P9" s="3551" t="s">
        <v>529</v>
      </c>
      <c r="Q9" s="1147" t="str">
        <f t="shared" ref="Q9:Q15" si="6">B9</f>
        <v>用途</v>
      </c>
      <c r="R9" s="1564" t="s">
        <v>8</v>
      </c>
      <c r="S9" s="1565">
        <f t="shared" si="0"/>
        <v>100</v>
      </c>
      <c r="T9" s="1564" t="s">
        <v>8</v>
      </c>
      <c r="U9" s="1565">
        <f t="shared" si="1"/>
        <v>100</v>
      </c>
      <c r="V9" s="1564" t="s">
        <v>8</v>
      </c>
      <c r="W9" s="1565">
        <f t="shared" si="2"/>
        <v>100</v>
      </c>
      <c r="X9" s="1566"/>
      <c r="Y9" s="3489" t="s">
        <v>530</v>
      </c>
      <c r="Z9" s="1146" t="str">
        <f t="shared" ref="Z9:Z15" si="7">Q9</f>
        <v>用途</v>
      </c>
      <c r="AA9" s="1567">
        <f t="shared" si="3"/>
        <v>1</v>
      </c>
      <c r="AB9" s="1567">
        <f t="shared" si="4"/>
        <v>1</v>
      </c>
      <c r="AC9" s="1567">
        <f t="shared" si="5"/>
        <v>1</v>
      </c>
    </row>
    <row r="10" spans="1:29" s="1334" customFormat="1" ht="27.75" thickBot="1">
      <c r="A10" s="2912"/>
      <c r="B10" s="2917" t="s">
        <v>2752</v>
      </c>
      <c r="C10" s="857" t="s">
        <v>3156</v>
      </c>
      <c r="D10" s="254">
        <v>100</v>
      </c>
      <c r="E10" s="857" t="s">
        <v>3156</v>
      </c>
      <c r="F10" s="254">
        <f>SUMIF(66:66,E10,67:67)-SUMIF(66:66,C10,67:67)+100</f>
        <v>100</v>
      </c>
      <c r="G10" s="858" t="s">
        <v>3156</v>
      </c>
      <c r="H10" s="254">
        <f>SUMIF(66:66,G10,67:67)-SUMIF(66:66,C10,67:67)+100</f>
        <v>100</v>
      </c>
      <c r="I10" s="857" t="s">
        <v>3156</v>
      </c>
      <c r="J10" s="254">
        <f>SUMIF(66:66,I10,67:67)-SUMIF(66:66,C10,67:67)+100</f>
        <v>100</v>
      </c>
      <c r="K10" s="580">
        <v>1</v>
      </c>
      <c r="L10" s="2135"/>
      <c r="M10" s="2175"/>
      <c r="N10" s="2175"/>
      <c r="O10" s="2175"/>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hidden="1">
      <c r="A11" s="2913"/>
      <c r="B11" s="2917" t="s">
        <v>2753</v>
      </c>
      <c r="C11" s="529">
        <v>1</v>
      </c>
      <c r="D11" s="254">
        <v>100</v>
      </c>
      <c r="E11" s="529">
        <v>1</v>
      </c>
      <c r="F11" s="254">
        <f>LOOKUP(E11,69:69,70:70)-LOOKUP(C11,69:69,70:70)+100</f>
        <v>100</v>
      </c>
      <c r="G11" s="530">
        <v>1</v>
      </c>
      <c r="H11" s="254">
        <f>LOOKUP(G11,69:69,70:70)-LOOKUP(C11,69:69,70:70)+100</f>
        <v>100</v>
      </c>
      <c r="I11" s="529">
        <v>1</v>
      </c>
      <c r="J11" s="254">
        <f>LOOKUP(I11,69:69,70:70)-LOOKUP(C11,69:69,70:70)+100</f>
        <v>100</v>
      </c>
      <c r="K11" s="580">
        <v>1</v>
      </c>
      <c r="L11" s="2137"/>
      <c r="M11" s="2131"/>
      <c r="N11" s="2131"/>
      <c r="O11" s="2131"/>
      <c r="P11" s="3551"/>
      <c r="Q11" s="1147" t="str">
        <f t="shared" si="6"/>
        <v>容积率</v>
      </c>
      <c r="R11" s="1564" t="s">
        <v>8</v>
      </c>
      <c r="S11" s="1565">
        <f t="shared" si="0"/>
        <v>100</v>
      </c>
      <c r="T11" s="1564" t="s">
        <v>8</v>
      </c>
      <c r="U11" s="1565">
        <f t="shared" si="1"/>
        <v>100</v>
      </c>
      <c r="V11" s="1564" t="s">
        <v>8</v>
      </c>
      <c r="W11" s="1565">
        <f t="shared" si="2"/>
        <v>100</v>
      </c>
      <c r="X11" s="1566"/>
      <c r="Y11" s="3489"/>
      <c r="Z11" s="1146" t="str">
        <f t="shared" si="7"/>
        <v>容积率</v>
      </c>
      <c r="AA11" s="1567">
        <f t="shared" si="3"/>
        <v>1</v>
      </c>
      <c r="AB11" s="1567">
        <f t="shared" si="4"/>
        <v>1</v>
      </c>
      <c r="AC11" s="1567">
        <f t="shared" si="5"/>
        <v>1</v>
      </c>
    </row>
    <row r="12" spans="1:29" s="1216" customFormat="1" ht="15" hidden="1">
      <c r="A12" s="2914"/>
      <c r="B12" s="2920">
        <v>111</v>
      </c>
      <c r="C12" s="524"/>
      <c r="D12" s="534">
        <v>100</v>
      </c>
      <c r="E12" s="524"/>
      <c r="F12" s="254">
        <f>SUMIF(71:71,E12,72:72)-SUMIF(71:71,C12,72:72)+100</f>
        <v>100</v>
      </c>
      <c r="G12" s="906"/>
      <c r="H12" s="254">
        <f>SUMIF(71:71,G12,72:72)-SUMIF(71:71,C12,72:72)+100</f>
        <v>100</v>
      </c>
      <c r="I12" s="524"/>
      <c r="J12" s="254">
        <f>SUMIF(71:71,I12,72:72)-SUMIF(71:71,C12,72:72)+100</f>
        <v>100</v>
      </c>
      <c r="K12" s="577"/>
      <c r="L12" s="2132"/>
      <c r="M12" s="2133"/>
      <c r="N12" s="2133"/>
      <c r="O12" s="2133"/>
      <c r="P12" s="3551"/>
      <c r="Q12" s="1147">
        <f t="shared" si="6"/>
        <v>111</v>
      </c>
      <c r="R12" s="1564" t="s">
        <v>8</v>
      </c>
      <c r="S12" s="1565">
        <f t="shared" si="0"/>
        <v>100</v>
      </c>
      <c r="T12" s="1564" t="s">
        <v>8</v>
      </c>
      <c r="U12" s="1565">
        <f t="shared" si="1"/>
        <v>100</v>
      </c>
      <c r="V12" s="1564" t="s">
        <v>8</v>
      </c>
      <c r="W12" s="1565">
        <f t="shared" si="2"/>
        <v>100</v>
      </c>
      <c r="X12" s="1566"/>
      <c r="Y12" s="3489"/>
      <c r="Z12" s="1146">
        <f t="shared" si="7"/>
        <v>111</v>
      </c>
      <c r="AA12" s="1567">
        <f>D12/F12</f>
        <v>1</v>
      </c>
      <c r="AB12" s="1567">
        <f>D12/H12</f>
        <v>1</v>
      </c>
      <c r="AC12" s="1567">
        <f>D12/J12</f>
        <v>1</v>
      </c>
    </row>
    <row r="13" spans="1:29" ht="15" hidden="1">
      <c r="A13" s="2914"/>
      <c r="B13" s="2920">
        <v>111</v>
      </c>
      <c r="C13" s="535"/>
      <c r="D13" s="536">
        <v>100</v>
      </c>
      <c r="E13" s="524"/>
      <c r="F13" s="254">
        <f>SUMIF(73:73,E13,74:74)-SUMIF(73:73,C13,74:74)+100</f>
        <v>100</v>
      </c>
      <c r="G13" s="906"/>
      <c r="H13" s="536">
        <f>SUMIF(73:73,G13,74:74)-SUMIF(73:73,C13,74:74)+100</f>
        <v>100</v>
      </c>
      <c r="I13" s="524"/>
      <c r="J13" s="536">
        <f>SUMIF(73:73,I13,74:74)-SUMIF(73:73,C13,74:74)+100</f>
        <v>100</v>
      </c>
      <c r="K13" s="577"/>
      <c r="L13" s="2139"/>
      <c r="M13" s="2131"/>
      <c r="N13" s="2131"/>
      <c r="O13" s="2131"/>
      <c r="P13" s="3551"/>
      <c r="Q13" s="1147">
        <f t="shared" si="6"/>
        <v>111</v>
      </c>
      <c r="R13" s="1564" t="s">
        <v>8</v>
      </c>
      <c r="S13" s="1565">
        <f t="shared" si="0"/>
        <v>100</v>
      </c>
      <c r="T13" s="1564" t="s">
        <v>8</v>
      </c>
      <c r="U13" s="1565">
        <f t="shared" si="1"/>
        <v>100</v>
      </c>
      <c r="V13" s="1564" t="s">
        <v>8</v>
      </c>
      <c r="W13" s="1565">
        <f t="shared" si="2"/>
        <v>100</v>
      </c>
      <c r="X13" s="1566"/>
      <c r="Y13" s="3489"/>
      <c r="Z13" s="1146">
        <f t="shared" si="7"/>
        <v>111</v>
      </c>
      <c r="AA13" s="1567">
        <f t="shared" si="3"/>
        <v>1</v>
      </c>
      <c r="AB13" s="1567">
        <f t="shared" si="4"/>
        <v>1</v>
      </c>
      <c r="AC13" s="1567">
        <f t="shared" si="5"/>
        <v>1</v>
      </c>
    </row>
    <row r="14" spans="1:29" ht="15.75" hidden="1" thickBot="1">
      <c r="A14" s="2915"/>
      <c r="B14" s="2921">
        <v>111</v>
      </c>
      <c r="C14" s="541"/>
      <c r="D14" s="542">
        <v>100</v>
      </c>
      <c r="E14" s="907"/>
      <c r="F14" s="542">
        <f>SUMIF(75:75,E14,76:76)-SUMIF(75:75,C14,76:76)+100</f>
        <v>100</v>
      </c>
      <c r="G14" s="906"/>
      <c r="H14" s="542">
        <f>SUMIF(75:75,G14,76:76)-SUMIF(75:75,C14,76:76)+100</f>
        <v>100</v>
      </c>
      <c r="I14" s="524"/>
      <c r="J14" s="542">
        <f>SUMIF(75:75,I14,76:76)-SUMIF(75:75,C14,76:76)+100</f>
        <v>100</v>
      </c>
      <c r="K14" s="577"/>
      <c r="L14" s="2139"/>
      <c r="M14" s="2131"/>
      <c r="N14" s="2131"/>
      <c r="O14" s="2131"/>
      <c r="P14" s="3551"/>
      <c r="Q14" s="1147">
        <f t="shared" si="6"/>
        <v>111</v>
      </c>
      <c r="R14" s="1564" t="s">
        <v>8</v>
      </c>
      <c r="S14" s="1565">
        <f t="shared" si="0"/>
        <v>100</v>
      </c>
      <c r="T14" s="1564" t="s">
        <v>8</v>
      </c>
      <c r="U14" s="1565">
        <f t="shared" si="1"/>
        <v>100</v>
      </c>
      <c r="V14" s="1564" t="s">
        <v>8</v>
      </c>
      <c r="W14" s="1565">
        <f t="shared" si="2"/>
        <v>100</v>
      </c>
      <c r="X14" s="1566"/>
      <c r="Y14" s="3489"/>
      <c r="Z14" s="1146">
        <f t="shared" si="7"/>
        <v>111</v>
      </c>
      <c r="AA14" s="1567">
        <f t="shared" si="3"/>
        <v>1</v>
      </c>
      <c r="AB14" s="1567">
        <f t="shared" si="4"/>
        <v>1</v>
      </c>
      <c r="AC14" s="1567">
        <f t="shared" si="5"/>
        <v>1</v>
      </c>
    </row>
    <row r="15" spans="1:29" ht="57">
      <c r="A15" s="2907" t="s">
        <v>2749</v>
      </c>
      <c r="B15" s="543" t="s">
        <v>536</v>
      </c>
      <c r="C15" s="544" t="str">
        <f>估价对象房地状况!C5</f>
        <v>估价对象位于XX商圈，周边办公楼项目较多，入驻率高，办公集聚程度较好</v>
      </c>
      <c r="D15" s="545">
        <v>100</v>
      </c>
      <c r="E15" s="548"/>
      <c r="F15" s="545">
        <f>SUMIF(77:77,E16,78:78)-SUMIF(77:77,C16,78:78)+100</f>
        <v>104</v>
      </c>
      <c r="G15" s="546"/>
      <c r="H15" s="545">
        <f>SUMIF(77:77,G16,78:78)-SUMIF(77:77,C16,78:78)+100</f>
        <v>104</v>
      </c>
      <c r="I15" s="546"/>
      <c r="J15" s="545">
        <f>SUMIF(77:77,I16,78:78)-SUMIF(77:77,C16,78:78)+100</f>
        <v>104</v>
      </c>
      <c r="K15" s="894">
        <v>2</v>
      </c>
      <c r="L15" s="2139"/>
      <c r="M15" s="2131"/>
      <c r="N15" s="2131"/>
      <c r="O15" s="2131"/>
      <c r="P15" s="3570" t="s">
        <v>534</v>
      </c>
      <c r="Q15" s="1568" t="str">
        <f t="shared" si="6"/>
        <v>办公集聚程度</v>
      </c>
      <c r="R15" s="1569" t="s">
        <v>8</v>
      </c>
      <c r="S15" s="1570">
        <f t="shared" si="0"/>
        <v>104</v>
      </c>
      <c r="T15" s="1569" t="s">
        <v>8</v>
      </c>
      <c r="U15" s="1570">
        <f t="shared" si="1"/>
        <v>104</v>
      </c>
      <c r="V15" s="1569" t="s">
        <v>8</v>
      </c>
      <c r="W15" s="1570">
        <f t="shared" si="2"/>
        <v>104</v>
      </c>
      <c r="X15" s="1563"/>
      <c r="Y15" s="3570" t="s">
        <v>534</v>
      </c>
      <c r="Z15" s="1571" t="str">
        <f t="shared" si="7"/>
        <v>办公集聚程度</v>
      </c>
      <c r="AA15" s="1572">
        <f t="shared" si="3"/>
        <v>0.96153846153846156</v>
      </c>
      <c r="AB15" s="1572">
        <f t="shared" si="4"/>
        <v>0.96153846153846156</v>
      </c>
      <c r="AC15" s="1572">
        <f t="shared" si="5"/>
        <v>0.96153846153846156</v>
      </c>
    </row>
    <row r="16" spans="1:29" ht="15">
      <c r="A16" s="528"/>
      <c r="B16" s="549"/>
      <c r="C16" s="3296" t="s">
        <v>3228</v>
      </c>
      <c r="D16" s="551"/>
      <c r="E16" s="572" t="s">
        <v>3014</v>
      </c>
      <c r="F16" s="551"/>
      <c r="G16" s="550" t="s">
        <v>3014</v>
      </c>
      <c r="H16" s="555"/>
      <c r="I16" s="572" t="s">
        <v>3014</v>
      </c>
      <c r="J16" s="551"/>
      <c r="K16" s="895"/>
      <c r="L16" s="2139"/>
      <c r="M16" s="2131"/>
      <c r="N16" s="2131"/>
      <c r="O16" s="2131"/>
      <c r="P16" s="3571"/>
      <c r="Q16" s="1568"/>
      <c r="R16" s="1569"/>
      <c r="S16" s="1570"/>
      <c r="T16" s="1569"/>
      <c r="U16" s="1570"/>
      <c r="V16" s="1569"/>
      <c r="W16" s="1570"/>
      <c r="X16" s="1563"/>
      <c r="Y16" s="3571"/>
      <c r="Z16" s="1571"/>
      <c r="AA16" s="1572">
        <v>1</v>
      </c>
      <c r="AB16" s="1572">
        <v>1</v>
      </c>
      <c r="AC16" s="1572">
        <v>1</v>
      </c>
    </row>
    <row r="17" spans="1:29" ht="71.25">
      <c r="A17" s="528"/>
      <c r="B17" s="556" t="s">
        <v>290</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v>2</v>
      </c>
      <c r="L17" s="2139"/>
      <c r="M17" s="2131"/>
      <c r="N17" s="2131"/>
      <c r="O17" s="2131"/>
      <c r="P17" s="3571"/>
      <c r="Q17" s="1568" t="str">
        <f>B17</f>
        <v>交通便捷度</v>
      </c>
      <c r="R17" s="1569" t="s">
        <v>8</v>
      </c>
      <c r="S17" s="1570">
        <f>F17</f>
        <v>100</v>
      </c>
      <c r="T17" s="1569" t="s">
        <v>8</v>
      </c>
      <c r="U17" s="1570">
        <f>H17</f>
        <v>100</v>
      </c>
      <c r="V17" s="1569" t="s">
        <v>8</v>
      </c>
      <c r="W17" s="1570">
        <f>J17</f>
        <v>100</v>
      </c>
      <c r="X17" s="1563"/>
      <c r="Y17" s="3571"/>
      <c r="Z17" s="1571" t="str">
        <f>Q17</f>
        <v>交通便捷度</v>
      </c>
      <c r="AA17" s="1572">
        <f t="shared" si="3"/>
        <v>1</v>
      </c>
      <c r="AB17" s="1572">
        <f t="shared" si="4"/>
        <v>1</v>
      </c>
      <c r="AC17" s="1572">
        <f t="shared" si="5"/>
        <v>1</v>
      </c>
    </row>
    <row r="18" spans="1:29" ht="15">
      <c r="A18" s="528"/>
      <c r="B18" s="562"/>
      <c r="C18" s="563" t="s">
        <v>3014</v>
      </c>
      <c r="D18" s="555"/>
      <c r="E18" s="565" t="s">
        <v>3014</v>
      </c>
      <c r="F18" s="555"/>
      <c r="G18" s="564" t="s">
        <v>3014</v>
      </c>
      <c r="H18" s="551"/>
      <c r="I18" s="564" t="s">
        <v>3014</v>
      </c>
      <c r="J18" s="551"/>
      <c r="K18" s="895"/>
      <c r="L18" s="2139"/>
      <c r="M18" s="2131"/>
      <c r="N18" s="2131"/>
      <c r="O18" s="2131"/>
      <c r="P18" s="3571"/>
      <c r="Q18" s="1568"/>
      <c r="R18" s="1569"/>
      <c r="S18" s="1570"/>
      <c r="T18" s="1569"/>
      <c r="U18" s="1570"/>
      <c r="V18" s="1569"/>
      <c r="W18" s="1570"/>
      <c r="X18" s="1563"/>
      <c r="Y18" s="3571"/>
      <c r="Z18" s="1571"/>
      <c r="AA18" s="1572">
        <v>1</v>
      </c>
      <c r="AB18" s="1572">
        <v>1</v>
      </c>
      <c r="AC18" s="1572">
        <v>1</v>
      </c>
    </row>
    <row r="19" spans="1:29" ht="28.5">
      <c r="A19" s="528"/>
      <c r="B19" s="2600" t="s">
        <v>2541</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v>2</v>
      </c>
      <c r="L19" s="2139"/>
      <c r="M19" s="2131"/>
      <c r="N19" s="2131"/>
      <c r="O19" s="2131"/>
      <c r="P19" s="3571"/>
      <c r="Q19" s="1568" t="str">
        <f>B19</f>
        <v>公共配套设施</v>
      </c>
      <c r="R19" s="1569" t="s">
        <v>8</v>
      </c>
      <c r="S19" s="1570">
        <f>F19</f>
        <v>100</v>
      </c>
      <c r="T19" s="1569" t="s">
        <v>8</v>
      </c>
      <c r="U19" s="1570">
        <f>H19</f>
        <v>100</v>
      </c>
      <c r="V19" s="1569" t="s">
        <v>8</v>
      </c>
      <c r="W19" s="1570">
        <f>J19</f>
        <v>100</v>
      </c>
      <c r="X19" s="1563"/>
      <c r="Y19" s="3571"/>
      <c r="Z19" s="1571" t="str">
        <f>Q19</f>
        <v>公共配套设施</v>
      </c>
      <c r="AA19" s="1572">
        <f t="shared" si="3"/>
        <v>1</v>
      </c>
      <c r="AB19" s="1572">
        <f t="shared" si="4"/>
        <v>1</v>
      </c>
      <c r="AC19" s="1572">
        <f t="shared" si="5"/>
        <v>1</v>
      </c>
    </row>
    <row r="20" spans="1:29" ht="15">
      <c r="A20" s="528"/>
      <c r="B20" s="562"/>
      <c r="C20" s="550" t="s">
        <v>3001</v>
      </c>
      <c r="D20" s="551"/>
      <c r="E20" s="554" t="s">
        <v>3001</v>
      </c>
      <c r="F20" s="551"/>
      <c r="G20" s="552" t="s">
        <v>3001</v>
      </c>
      <c r="H20" s="551"/>
      <c r="I20" s="552" t="s">
        <v>3001</v>
      </c>
      <c r="J20" s="551"/>
      <c r="K20" s="895"/>
      <c r="L20" s="2139"/>
      <c r="M20" s="2131"/>
      <c r="N20" s="2131"/>
      <c r="O20" s="2131"/>
      <c r="P20" s="3571"/>
      <c r="Q20" s="1568"/>
      <c r="R20" s="1569"/>
      <c r="S20" s="1570"/>
      <c r="T20" s="1569"/>
      <c r="U20" s="1570"/>
      <c r="V20" s="1569"/>
      <c r="W20" s="1570"/>
      <c r="X20" s="1563"/>
      <c r="Y20" s="3571"/>
      <c r="Z20" s="1571"/>
      <c r="AA20" s="1572">
        <v>1</v>
      </c>
      <c r="AB20" s="1572">
        <v>1</v>
      </c>
      <c r="AC20" s="1572">
        <v>1</v>
      </c>
    </row>
    <row r="21" spans="1:29" ht="28.5">
      <c r="A21" s="528"/>
      <c r="B21" s="2588" t="s">
        <v>2553</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v>1</v>
      </c>
      <c r="L21" s="2139"/>
      <c r="M21" s="2131"/>
      <c r="N21" s="2131"/>
      <c r="O21" s="2131"/>
      <c r="P21" s="3571"/>
      <c r="Q21" s="2576" t="str">
        <f>B21</f>
        <v>基础设施水平</v>
      </c>
      <c r="R21" s="1569" t="s">
        <v>8</v>
      </c>
      <c r="S21" s="1570">
        <f>F21</f>
        <v>100</v>
      </c>
      <c r="T21" s="1569" t="s">
        <v>8</v>
      </c>
      <c r="U21" s="1570">
        <f>H21</f>
        <v>100</v>
      </c>
      <c r="V21" s="1569" t="s">
        <v>8</v>
      </c>
      <c r="W21" s="1570">
        <f>J21</f>
        <v>100</v>
      </c>
      <c r="X21" s="2578"/>
      <c r="Y21" s="3571"/>
      <c r="Z21" s="2577" t="str">
        <f>Q21</f>
        <v>基础设施水平</v>
      </c>
      <c r="AA21" s="1572">
        <f t="shared" ref="AA21" si="8">D21/F21</f>
        <v>1</v>
      </c>
      <c r="AB21" s="1572">
        <f t="shared" ref="AB21" si="9">D21/H21</f>
        <v>1</v>
      </c>
      <c r="AC21" s="1572">
        <f t="shared" ref="AC21" si="10">D21/J21</f>
        <v>1</v>
      </c>
    </row>
    <row r="22" spans="1:29" ht="15">
      <c r="A22" s="528"/>
      <c r="B22" s="574"/>
      <c r="C22" s="563" t="s">
        <v>3104</v>
      </c>
      <c r="D22" s="551"/>
      <c r="E22" s="572" t="s">
        <v>3104</v>
      </c>
      <c r="F22" s="551"/>
      <c r="G22" s="550" t="s">
        <v>3104</v>
      </c>
      <c r="H22" s="551"/>
      <c r="I22" s="550" t="s">
        <v>3104</v>
      </c>
      <c r="J22" s="551"/>
      <c r="K22" s="2599"/>
      <c r="L22" s="2139"/>
      <c r="M22" s="2131"/>
      <c r="N22" s="2131"/>
      <c r="O22" s="2131"/>
      <c r="P22" s="3571"/>
      <c r="Q22" s="2576"/>
      <c r="R22" s="1569"/>
      <c r="S22" s="1570"/>
      <c r="T22" s="1569"/>
      <c r="U22" s="1570"/>
      <c r="V22" s="1569"/>
      <c r="W22" s="1570"/>
      <c r="X22" s="2578"/>
      <c r="Y22" s="3571"/>
      <c r="Z22" s="2577"/>
      <c r="AA22" s="1572">
        <v>1</v>
      </c>
      <c r="AB22" s="1572">
        <v>1</v>
      </c>
      <c r="AC22" s="1572">
        <v>1</v>
      </c>
    </row>
    <row r="23" spans="1:29" ht="42.75">
      <c r="A23" s="528"/>
      <c r="B23" s="556" t="s">
        <v>772</v>
      </c>
      <c r="C23" s="569" t="str">
        <f>估价对象房地状况!C9</f>
        <v>区域自然环境：；人文环境；综合评价环境状况一般</v>
      </c>
      <c r="D23" s="555">
        <v>100</v>
      </c>
      <c r="E23" s="560"/>
      <c r="F23" s="555">
        <f>SUMIF(85:85,E24,86:86)-SUMIF(85:85,C24,86:86)+100</f>
        <v>99</v>
      </c>
      <c r="G23" s="558"/>
      <c r="H23" s="555">
        <f>SUMIF(85:85,G24,86:86)-SUMIF(85:85,C24,86:86)+100</f>
        <v>99</v>
      </c>
      <c r="I23" s="558"/>
      <c r="J23" s="555">
        <f>SUMIF(85:85,I24,86:86)-SUMIF(85:85,C24,86:86)+100</f>
        <v>99</v>
      </c>
      <c r="K23" s="894">
        <v>1</v>
      </c>
      <c r="L23" s="2139"/>
      <c r="M23" s="2131"/>
      <c r="N23" s="2131"/>
      <c r="O23" s="2131"/>
      <c r="P23" s="3571"/>
      <c r="Q23" s="1568" t="str">
        <f>B23</f>
        <v>环境质量</v>
      </c>
      <c r="R23" s="1569" t="s">
        <v>8</v>
      </c>
      <c r="S23" s="1570">
        <f>F23</f>
        <v>99</v>
      </c>
      <c r="T23" s="1569" t="s">
        <v>8</v>
      </c>
      <c r="U23" s="1570">
        <f>H23</f>
        <v>99</v>
      </c>
      <c r="V23" s="1569" t="s">
        <v>8</v>
      </c>
      <c r="W23" s="1570">
        <f>J23</f>
        <v>99</v>
      </c>
      <c r="X23" s="1563"/>
      <c r="Y23" s="3571"/>
      <c r="Z23" s="1571" t="str">
        <f>Q23</f>
        <v>环境质量</v>
      </c>
      <c r="AA23" s="1572">
        <f t="shared" si="3"/>
        <v>1.0101010101010102</v>
      </c>
      <c r="AB23" s="1572">
        <f t="shared" si="4"/>
        <v>1.0101010101010102</v>
      </c>
      <c r="AC23" s="1572">
        <f t="shared" si="5"/>
        <v>1.0101010101010102</v>
      </c>
    </row>
    <row r="24" spans="1:29" ht="15">
      <c r="A24" s="528"/>
      <c r="B24" s="574"/>
      <c r="C24" s="3296" t="s">
        <v>3014</v>
      </c>
      <c r="D24" s="551"/>
      <c r="E24" s="554" t="s">
        <v>3001</v>
      </c>
      <c r="F24" s="551"/>
      <c r="G24" s="552" t="s">
        <v>3001</v>
      </c>
      <c r="H24" s="551"/>
      <c r="I24" s="552" t="s">
        <v>3001</v>
      </c>
      <c r="J24" s="551"/>
      <c r="K24" s="895"/>
      <c r="L24" s="2139"/>
      <c r="M24" s="2131"/>
      <c r="N24" s="2131"/>
      <c r="O24" s="2131"/>
      <c r="P24" s="3571"/>
      <c r="Q24" s="1568"/>
      <c r="R24" s="1569"/>
      <c r="S24" s="1570"/>
      <c r="T24" s="1569"/>
      <c r="U24" s="1570"/>
      <c r="V24" s="1569"/>
      <c r="W24" s="1570"/>
      <c r="X24" s="1563"/>
      <c r="Y24" s="3571"/>
      <c r="Z24" s="1571"/>
      <c r="AA24" s="1572">
        <v>1</v>
      </c>
      <c r="AB24" s="1572">
        <v>1</v>
      </c>
      <c r="AC24" s="1572">
        <v>1</v>
      </c>
    </row>
    <row r="25" spans="1:29" ht="27">
      <c r="A25" s="511"/>
      <c r="B25" s="556" t="s">
        <v>542</v>
      </c>
      <c r="C25" s="908"/>
      <c r="D25" s="536">
        <v>100</v>
      </c>
      <c r="E25" s="535"/>
      <c r="F25" s="536">
        <f>SUMIF(87:87,E26,88:88)-SUMIF(87:87,C26,88:88)+100</f>
        <v>100</v>
      </c>
      <c r="G25" s="908"/>
      <c r="H25" s="536">
        <f>SUMIF(87:87,G26,88:88)-SUMIF(87:87,C26,88:88)+100</f>
        <v>100</v>
      </c>
      <c r="I25" s="535"/>
      <c r="J25" s="536">
        <f>SUMIF(87:87,I26,88:88)-SUMIF(87:87,C26,88:88)+100</f>
        <v>100</v>
      </c>
      <c r="K25" s="894">
        <v>2</v>
      </c>
      <c r="L25" s="2139"/>
      <c r="M25" s="2131"/>
      <c r="N25" s="2131"/>
      <c r="O25" s="2131"/>
      <c r="P25" s="3571"/>
      <c r="Q25" s="1568" t="str">
        <f>B25</f>
        <v>毗邻道路的类型与等级</v>
      </c>
      <c r="R25" s="1569" t="s">
        <v>8</v>
      </c>
      <c r="S25" s="1570">
        <f>F25</f>
        <v>100</v>
      </c>
      <c r="T25" s="1569" t="s">
        <v>8</v>
      </c>
      <c r="U25" s="1570">
        <f>H25</f>
        <v>100</v>
      </c>
      <c r="V25" s="1569" t="s">
        <v>8</v>
      </c>
      <c r="W25" s="1570">
        <f>J25</f>
        <v>100</v>
      </c>
      <c r="X25" s="1563"/>
      <c r="Y25" s="3571"/>
      <c r="Z25" s="1571" t="str">
        <f>Q25</f>
        <v>毗邻道路的类型与等级</v>
      </c>
      <c r="AA25" s="1572">
        <f t="shared" si="3"/>
        <v>1</v>
      </c>
      <c r="AB25" s="1572">
        <f t="shared" si="4"/>
        <v>1</v>
      </c>
      <c r="AC25" s="1572">
        <f t="shared" si="5"/>
        <v>1</v>
      </c>
    </row>
    <row r="26" spans="1:29" ht="15.75" thickBot="1">
      <c r="A26" s="511"/>
      <c r="B26" s="562"/>
      <c r="C26" s="576" t="s">
        <v>3162</v>
      </c>
      <c r="D26" s="536"/>
      <c r="E26" s="576" t="s">
        <v>3162</v>
      </c>
      <c r="F26" s="536"/>
      <c r="G26" s="576" t="s">
        <v>3162</v>
      </c>
      <c r="H26" s="536"/>
      <c r="I26" s="576" t="s">
        <v>3162</v>
      </c>
      <c r="J26" s="536"/>
      <c r="K26" s="895"/>
      <c r="L26" s="2139"/>
      <c r="M26" s="2131"/>
      <c r="N26" s="2131"/>
      <c r="O26" s="2131"/>
      <c r="P26" s="3571"/>
      <c r="Q26" s="1568"/>
      <c r="R26" s="1569"/>
      <c r="S26" s="1570"/>
      <c r="T26" s="1569"/>
      <c r="U26" s="1570"/>
      <c r="V26" s="1569"/>
      <c r="W26" s="1570"/>
      <c r="X26" s="1563"/>
      <c r="Y26" s="3571"/>
      <c r="Z26" s="1571"/>
      <c r="AA26" s="1572">
        <v>1</v>
      </c>
      <c r="AB26" s="1572">
        <v>1</v>
      </c>
      <c r="AC26" s="1572">
        <v>1</v>
      </c>
    </row>
    <row r="27" spans="1:29" ht="15" hidden="1">
      <c r="A27" s="528"/>
      <c r="B27" s="562" t="s">
        <v>755</v>
      </c>
      <c r="C27" s="576"/>
      <c r="D27" s="536">
        <v>100</v>
      </c>
      <c r="E27" s="579"/>
      <c r="F27" s="536">
        <f>SUMIF(89:89,E27,90:90)-SUMIF(89:89,C27,90:90)+100</f>
        <v>100</v>
      </c>
      <c r="G27" s="576"/>
      <c r="H27" s="536">
        <f>SUMIF(89:89,G27,90:90)-SUMIF(89:89,C27,90:90)+100</f>
        <v>100</v>
      </c>
      <c r="I27" s="579"/>
      <c r="J27" s="536">
        <f>SUMIF(89:89,I27,90:90)-SUMIF(89:89,C27,90:90)+100</f>
        <v>100</v>
      </c>
      <c r="K27" s="580"/>
      <c r="L27" s="2139"/>
      <c r="M27" s="2131"/>
      <c r="N27" s="2131"/>
      <c r="O27" s="2131"/>
      <c r="P27" s="3571"/>
      <c r="Q27" s="1568" t="str">
        <f t="shared" ref="Q27:Q47" si="11">B27</f>
        <v>楼层</v>
      </c>
      <c r="R27" s="1569" t="s">
        <v>8</v>
      </c>
      <c r="S27" s="1570">
        <f>F27</f>
        <v>100</v>
      </c>
      <c r="T27" s="1569" t="s">
        <v>8</v>
      </c>
      <c r="U27" s="1570">
        <f>H27</f>
        <v>100</v>
      </c>
      <c r="V27" s="1569" t="s">
        <v>8</v>
      </c>
      <c r="W27" s="1570">
        <f>J27</f>
        <v>100</v>
      </c>
      <c r="X27" s="1563"/>
      <c r="Y27" s="3571"/>
      <c r="Z27" s="1571" t="str">
        <f>Q27</f>
        <v>楼层</v>
      </c>
      <c r="AA27" s="1572">
        <f t="shared" si="3"/>
        <v>1</v>
      </c>
      <c r="AB27" s="1572">
        <f t="shared" si="4"/>
        <v>1</v>
      </c>
      <c r="AC27" s="1572">
        <f t="shared" si="5"/>
        <v>1</v>
      </c>
    </row>
    <row r="28" spans="1:29" s="1216" customFormat="1" ht="15" hidden="1">
      <c r="A28" s="532"/>
      <c r="B28" s="556" t="s">
        <v>773</v>
      </c>
      <c r="C28" s="909"/>
      <c r="D28" s="871">
        <v>100</v>
      </c>
      <c r="E28" s="897"/>
      <c r="F28" s="871">
        <f>SUMIF(91:91,E28,92:92)-SUMIF(91:91,C28,92:92)+100</f>
        <v>100</v>
      </c>
      <c r="G28" s="909"/>
      <c r="H28" s="871">
        <f>SUMIF(91:91,G28,92:92)-SUMIF(91:91,C28,92:92)+100</f>
        <v>100</v>
      </c>
      <c r="I28" s="897"/>
      <c r="J28" s="871">
        <f>SUMIF(91:91,I28,92:92)-SUMIF(91:91,C28,92:92)+100</f>
        <v>100</v>
      </c>
      <c r="K28" s="580"/>
      <c r="L28" s="2132"/>
      <c r="M28" s="2133"/>
      <c r="N28" s="2133"/>
      <c r="O28" s="2133"/>
      <c r="P28" s="3571"/>
      <c r="Q28" s="1147" t="str">
        <f t="shared" si="11"/>
        <v>朝向</v>
      </c>
      <c r="R28" s="1564" t="s">
        <v>8</v>
      </c>
      <c r="S28" s="1565">
        <f>F28</f>
        <v>100</v>
      </c>
      <c r="T28" s="1564" t="s">
        <v>8</v>
      </c>
      <c r="U28" s="1565">
        <f>H28</f>
        <v>100</v>
      </c>
      <c r="V28" s="1564" t="s">
        <v>8</v>
      </c>
      <c r="W28" s="1565">
        <f>J28</f>
        <v>100</v>
      </c>
      <c r="X28" s="1566"/>
      <c r="Y28" s="3571"/>
      <c r="Z28" s="1146" t="str">
        <f>Q28</f>
        <v>朝向</v>
      </c>
      <c r="AA28" s="1572">
        <f>D28/F28</f>
        <v>1</v>
      </c>
      <c r="AB28" s="1572">
        <f>D28/H28</f>
        <v>1</v>
      </c>
      <c r="AC28" s="1572">
        <f>D28/J28</f>
        <v>1</v>
      </c>
    </row>
    <row r="29" spans="1:29" ht="15" hidden="1">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9"/>
      <c r="M29" s="2131"/>
      <c r="N29" s="2131"/>
      <c r="O29" s="2131"/>
      <c r="P29" s="3571"/>
      <c r="Q29" s="1568">
        <f t="shared" si="11"/>
        <v>111</v>
      </c>
      <c r="R29" s="1569" t="s">
        <v>8</v>
      </c>
      <c r="S29" s="1570">
        <f t="shared" ref="S29:S47" si="12">F29</f>
        <v>100</v>
      </c>
      <c r="T29" s="1569" t="s">
        <v>8</v>
      </c>
      <c r="U29" s="1570">
        <f t="shared" ref="U29:U47" si="13">H29</f>
        <v>100</v>
      </c>
      <c r="V29" s="1569" t="s">
        <v>8</v>
      </c>
      <c r="W29" s="1570">
        <f t="shared" ref="W29:W47" si="14">J29</f>
        <v>100</v>
      </c>
      <c r="X29" s="1563"/>
      <c r="Y29" s="3571"/>
      <c r="Z29" s="1571">
        <f t="shared" ref="Z29:Z47" si="15">Q29</f>
        <v>111</v>
      </c>
      <c r="AA29" s="1572">
        <f t="shared" si="3"/>
        <v>1</v>
      </c>
      <c r="AB29" s="1572">
        <f t="shared" si="4"/>
        <v>1</v>
      </c>
      <c r="AC29" s="1572">
        <f t="shared" si="5"/>
        <v>1</v>
      </c>
    </row>
    <row r="30" spans="1:29" ht="15" hidden="1">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9"/>
      <c r="M30" s="2131"/>
      <c r="N30" s="2131"/>
      <c r="O30" s="2131"/>
      <c r="P30" s="3571"/>
      <c r="Q30" s="1568">
        <f t="shared" si="11"/>
        <v>111</v>
      </c>
      <c r="R30" s="1569" t="s">
        <v>8</v>
      </c>
      <c r="S30" s="1570">
        <f t="shared" si="12"/>
        <v>100</v>
      </c>
      <c r="T30" s="1569" t="s">
        <v>8</v>
      </c>
      <c r="U30" s="1570">
        <f t="shared" si="13"/>
        <v>100</v>
      </c>
      <c r="V30" s="1569" t="s">
        <v>8</v>
      </c>
      <c r="W30" s="1570">
        <f t="shared" si="14"/>
        <v>100</v>
      </c>
      <c r="X30" s="1563"/>
      <c r="Y30" s="3571"/>
      <c r="Z30" s="1571">
        <f t="shared" si="15"/>
        <v>111</v>
      </c>
      <c r="AA30" s="1572">
        <f t="shared" si="3"/>
        <v>1</v>
      </c>
      <c r="AB30" s="1572">
        <f t="shared" si="4"/>
        <v>1</v>
      </c>
      <c r="AC30" s="1572">
        <f t="shared" si="5"/>
        <v>1</v>
      </c>
    </row>
    <row r="31" spans="1:29" ht="15" hidden="1">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9"/>
      <c r="M31" s="2131"/>
      <c r="N31" s="2131"/>
      <c r="O31" s="2131"/>
      <c r="P31" s="3571"/>
      <c r="Q31" s="1568">
        <f t="shared" si="11"/>
        <v>111</v>
      </c>
      <c r="R31" s="1569" t="s">
        <v>8</v>
      </c>
      <c r="S31" s="1570">
        <f t="shared" si="12"/>
        <v>100</v>
      </c>
      <c r="T31" s="1569" t="s">
        <v>8</v>
      </c>
      <c r="U31" s="1570">
        <f t="shared" si="13"/>
        <v>100</v>
      </c>
      <c r="V31" s="1569" t="s">
        <v>8</v>
      </c>
      <c r="W31" s="1570">
        <f t="shared" si="14"/>
        <v>100</v>
      </c>
      <c r="X31" s="1563"/>
      <c r="Y31" s="3571"/>
      <c r="Z31" s="1571">
        <f t="shared" si="15"/>
        <v>111</v>
      </c>
      <c r="AA31" s="1572">
        <f t="shared" si="3"/>
        <v>1</v>
      </c>
      <c r="AB31" s="1572">
        <f t="shared" si="4"/>
        <v>1</v>
      </c>
      <c r="AC31" s="1572">
        <f t="shared" si="5"/>
        <v>1</v>
      </c>
    </row>
    <row r="32" spans="1:29" ht="15.75" hidden="1"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9"/>
      <c r="M32" s="2131"/>
      <c r="N32" s="2131"/>
      <c r="O32" s="2131"/>
      <c r="P32" s="3571"/>
      <c r="Q32" s="1568">
        <f t="shared" si="11"/>
        <v>111</v>
      </c>
      <c r="R32" s="1569" t="s">
        <v>8</v>
      </c>
      <c r="S32" s="1570">
        <f t="shared" si="12"/>
        <v>100</v>
      </c>
      <c r="T32" s="1569" t="s">
        <v>8</v>
      </c>
      <c r="U32" s="1570">
        <f t="shared" si="13"/>
        <v>100</v>
      </c>
      <c r="V32" s="1569" t="s">
        <v>8</v>
      </c>
      <c r="W32" s="1570">
        <f t="shared" si="14"/>
        <v>100</v>
      </c>
      <c r="X32" s="1563"/>
      <c r="Y32" s="3571"/>
      <c r="Z32" s="1571">
        <f t="shared" si="15"/>
        <v>111</v>
      </c>
      <c r="AA32" s="1572">
        <f t="shared" si="3"/>
        <v>1</v>
      </c>
      <c r="AB32" s="1572">
        <f t="shared" si="4"/>
        <v>1</v>
      </c>
      <c r="AC32" s="1572">
        <f t="shared" si="5"/>
        <v>1</v>
      </c>
    </row>
    <row r="33" spans="1:29" ht="15">
      <c r="A33" s="2904" t="s">
        <v>2750</v>
      </c>
      <c r="B33" s="171" t="s">
        <v>774</v>
      </c>
      <c r="C33" s="912" t="s">
        <v>3189</v>
      </c>
      <c r="D33" s="593">
        <v>100</v>
      </c>
      <c r="E33" s="912" t="s">
        <v>3189</v>
      </c>
      <c r="F33" s="571">
        <f>SUMIF(101:101,E33,102:102)-SUMIF(101:101,C33,102:102)+100</f>
        <v>100</v>
      </c>
      <c r="G33" s="912" t="s">
        <v>3189</v>
      </c>
      <c r="H33" s="536">
        <f>SUMIF(101:101,G33,102:102)-SUMIF(101:101,C33,102:102)+100</f>
        <v>100</v>
      </c>
      <c r="I33" s="912" t="s">
        <v>3189</v>
      </c>
      <c r="J33" s="593">
        <f>SUMIF(101:101,I33,102:102)-SUMIF(101:101,C33,102:102)+100</f>
        <v>100</v>
      </c>
      <c r="K33" s="580">
        <v>1</v>
      </c>
      <c r="L33" s="2139"/>
      <c r="M33" s="2131"/>
      <c r="N33" s="2131"/>
      <c r="O33" s="2131"/>
      <c r="P33" s="3572" t="s">
        <v>544</v>
      </c>
      <c r="Q33" s="1568" t="str">
        <f t="shared" si="11"/>
        <v>建筑类型</v>
      </c>
      <c r="R33" s="1569" t="s">
        <v>8</v>
      </c>
      <c r="S33" s="1570">
        <f t="shared" si="12"/>
        <v>100</v>
      </c>
      <c r="T33" s="1569" t="s">
        <v>8</v>
      </c>
      <c r="U33" s="1570">
        <f t="shared" si="13"/>
        <v>100</v>
      </c>
      <c r="V33" s="1569" t="s">
        <v>8</v>
      </c>
      <c r="W33" s="1570">
        <f t="shared" si="14"/>
        <v>100</v>
      </c>
      <c r="X33" s="1563"/>
      <c r="Y33" s="3573" t="s">
        <v>544</v>
      </c>
      <c r="Z33" s="1571" t="str">
        <f t="shared" si="15"/>
        <v>建筑类型</v>
      </c>
      <c r="AA33" s="1572">
        <f t="shared" si="3"/>
        <v>1</v>
      </c>
      <c r="AB33" s="1572">
        <f t="shared" si="4"/>
        <v>1</v>
      </c>
      <c r="AC33" s="1572">
        <f t="shared" si="5"/>
        <v>1</v>
      </c>
    </row>
    <row r="34" spans="1:29" s="1335" customFormat="1" ht="15" hidden="1">
      <c r="A34" s="599"/>
      <c r="B34" s="523" t="s">
        <v>720</v>
      </c>
      <c r="C34" s="876">
        <v>1</v>
      </c>
      <c r="D34" s="254">
        <v>100</v>
      </c>
      <c r="E34" s="530">
        <v>1</v>
      </c>
      <c r="F34" s="859">
        <f>LOOKUP(E34,104:104,105:105)-LOOKUP(C34,104:104,105:105)+100</f>
        <v>100</v>
      </c>
      <c r="G34" s="529">
        <v>1</v>
      </c>
      <c r="H34" s="254">
        <f>LOOKUP(G34,104:104,105:105)-LOOKUP(C34,104:104,105:105)+100</f>
        <v>100</v>
      </c>
      <c r="I34" s="529">
        <v>1</v>
      </c>
      <c r="J34" s="254">
        <f>LOOKUP(I34,104:104,105:105)-LOOKUP(C34,104:104,105:105)+100</f>
        <v>100</v>
      </c>
      <c r="K34" s="577"/>
      <c r="L34" s="2137"/>
      <c r="M34" s="2168"/>
      <c r="N34" s="2168"/>
      <c r="O34" s="2168"/>
      <c r="P34" s="3573"/>
      <c r="Q34" s="1601" t="str">
        <f t="shared" si="11"/>
        <v>项目建筑规模</v>
      </c>
      <c r="R34" s="1573" t="s">
        <v>8</v>
      </c>
      <c r="S34" s="1574">
        <f t="shared" si="12"/>
        <v>100</v>
      </c>
      <c r="T34" s="1573" t="s">
        <v>8</v>
      </c>
      <c r="U34" s="1574">
        <f t="shared" si="13"/>
        <v>100</v>
      </c>
      <c r="V34" s="1573" t="s">
        <v>8</v>
      </c>
      <c r="W34" s="1574">
        <f t="shared" si="14"/>
        <v>100</v>
      </c>
      <c r="X34" s="1575"/>
      <c r="Y34" s="3573"/>
      <c r="Z34" s="1576" t="str">
        <f t="shared" si="15"/>
        <v>项目建筑规模</v>
      </c>
      <c r="AA34" s="1572">
        <f t="shared" si="3"/>
        <v>1</v>
      </c>
      <c r="AB34" s="1572">
        <f t="shared" si="4"/>
        <v>1</v>
      </c>
      <c r="AC34" s="1572">
        <f t="shared" si="5"/>
        <v>1</v>
      </c>
    </row>
    <row r="35" spans="1:29" ht="15">
      <c r="A35" s="590"/>
      <c r="B35" s="523" t="s">
        <v>721</v>
      </c>
      <c r="C35" s="570" t="s">
        <v>3172</v>
      </c>
      <c r="D35" s="536">
        <v>100</v>
      </c>
      <c r="E35" s="570" t="s">
        <v>3172</v>
      </c>
      <c r="F35" s="571">
        <f>SUMIF(106:106,E35,107:107)-SUMIF(106:106,C35,107:107)+100</f>
        <v>100</v>
      </c>
      <c r="G35" s="570" t="s">
        <v>3172</v>
      </c>
      <c r="H35" s="536">
        <f>SUMIF(106:106,G35,107:107)-SUMIF(106:106,C35,107:107)+100</f>
        <v>100</v>
      </c>
      <c r="I35" s="570" t="s">
        <v>3172</v>
      </c>
      <c r="J35" s="536">
        <f>SUMIF(106:106,I35,107:107)-SUMIF(106:106,C35,107:107)+100</f>
        <v>100</v>
      </c>
      <c r="K35" s="580">
        <v>2</v>
      </c>
      <c r="L35" s="2139"/>
      <c r="M35" s="2131"/>
      <c r="N35" s="2131"/>
      <c r="O35" s="2131"/>
      <c r="P35" s="3573"/>
      <c r="Q35" s="1568" t="str">
        <f t="shared" si="11"/>
        <v>建筑结构</v>
      </c>
      <c r="R35" s="1569" t="s">
        <v>8</v>
      </c>
      <c r="S35" s="1570">
        <f t="shared" si="12"/>
        <v>100</v>
      </c>
      <c r="T35" s="1569" t="s">
        <v>8</v>
      </c>
      <c r="U35" s="1570">
        <f t="shared" si="13"/>
        <v>100</v>
      </c>
      <c r="V35" s="1569" t="s">
        <v>8</v>
      </c>
      <c r="W35" s="1570">
        <f t="shared" si="14"/>
        <v>100</v>
      </c>
      <c r="X35" s="1563"/>
      <c r="Y35" s="3573"/>
      <c r="Z35" s="1571" t="str">
        <f t="shared" si="15"/>
        <v>建筑结构</v>
      </c>
      <c r="AA35" s="1572">
        <f t="shared" si="3"/>
        <v>1</v>
      </c>
      <c r="AB35" s="1572">
        <f t="shared" si="4"/>
        <v>1</v>
      </c>
      <c r="AC35" s="1572">
        <f t="shared" si="5"/>
        <v>1</v>
      </c>
    </row>
    <row r="36" spans="1:29" ht="15">
      <c r="A36" s="590"/>
      <c r="B36" s="523" t="s">
        <v>757</v>
      </c>
      <c r="C36" s="570" t="s">
        <v>3151</v>
      </c>
      <c r="D36" s="536">
        <v>100</v>
      </c>
      <c r="E36" s="570" t="s">
        <v>3151</v>
      </c>
      <c r="F36" s="571">
        <f>SUMIF(108:108,E36,109:109)-SUMIF(108:108,C36,109:109)+100</f>
        <v>100</v>
      </c>
      <c r="G36" s="570" t="s">
        <v>3151</v>
      </c>
      <c r="H36" s="536">
        <f>SUMIF(108:108,G36,109:109)-SUMIF(108:108,C36,109:109)+100</f>
        <v>100</v>
      </c>
      <c r="I36" s="570" t="s">
        <v>3151</v>
      </c>
      <c r="J36" s="536">
        <f>SUMIF(108:108,I36,109:109)-SUMIF(108:108,C36,109:109)+100</f>
        <v>100</v>
      </c>
      <c r="K36" s="580">
        <v>2</v>
      </c>
      <c r="L36" s="2139"/>
      <c r="M36" s="2131"/>
      <c r="N36" s="2131"/>
      <c r="O36" s="2131"/>
      <c r="P36" s="3573"/>
      <c r="Q36" s="1568" t="str">
        <f t="shared" si="11"/>
        <v>公共部分装修</v>
      </c>
      <c r="R36" s="1569" t="s">
        <v>8</v>
      </c>
      <c r="S36" s="1570">
        <f t="shared" si="12"/>
        <v>100</v>
      </c>
      <c r="T36" s="1569" t="s">
        <v>8</v>
      </c>
      <c r="U36" s="1570">
        <f t="shared" si="13"/>
        <v>100</v>
      </c>
      <c r="V36" s="1569" t="s">
        <v>8</v>
      </c>
      <c r="W36" s="1570">
        <f t="shared" si="14"/>
        <v>100</v>
      </c>
      <c r="X36" s="1563"/>
      <c r="Y36" s="3573"/>
      <c r="Z36" s="1571" t="str">
        <f t="shared" si="15"/>
        <v>公共部分装修</v>
      </c>
      <c r="AA36" s="1572">
        <f t="shared" si="3"/>
        <v>1</v>
      </c>
      <c r="AB36" s="1572">
        <f t="shared" si="4"/>
        <v>1</v>
      </c>
      <c r="AC36" s="1572">
        <f t="shared" si="5"/>
        <v>1</v>
      </c>
    </row>
    <row r="37" spans="1:29" ht="15" hidden="1">
      <c r="A37" s="590"/>
      <c r="B37" s="523" t="s">
        <v>758</v>
      </c>
      <c r="C37" s="879">
        <v>1</v>
      </c>
      <c r="D37" s="536">
        <v>100</v>
      </c>
      <c r="E37" s="879">
        <v>1</v>
      </c>
      <c r="F37" s="571">
        <f>LOOKUP(E37,111:111,112:112)-LOOKUP(C37,111:111,112:112)+100</f>
        <v>100</v>
      </c>
      <c r="G37" s="879">
        <v>1</v>
      </c>
      <c r="H37" s="571">
        <f>LOOKUP(G37,111:111,112:112)-LOOKUP(C37,111:111,112:112)+100</f>
        <v>100</v>
      </c>
      <c r="I37" s="879">
        <v>1</v>
      </c>
      <c r="J37" s="536">
        <f>LOOKUP(I37,111:111,112:112)-LOOKUP(C37,111:111,112:112)+100</f>
        <v>100</v>
      </c>
      <c r="K37" s="580"/>
      <c r="L37" s="2139"/>
      <c r="M37" s="2131"/>
      <c r="N37" s="2131"/>
      <c r="O37" s="2131"/>
      <c r="P37" s="3573"/>
      <c r="Q37" s="1568" t="str">
        <f t="shared" si="11"/>
        <v>成新度</v>
      </c>
      <c r="R37" s="1569" t="s">
        <v>8</v>
      </c>
      <c r="S37" s="1570">
        <f t="shared" si="12"/>
        <v>100</v>
      </c>
      <c r="T37" s="1569" t="s">
        <v>8</v>
      </c>
      <c r="U37" s="1570">
        <f t="shared" si="13"/>
        <v>100</v>
      </c>
      <c r="V37" s="1569" t="s">
        <v>8</v>
      </c>
      <c r="W37" s="1570">
        <f t="shared" si="14"/>
        <v>100</v>
      </c>
      <c r="X37" s="1563"/>
      <c r="Y37" s="3573"/>
      <c r="Z37" s="1571" t="str">
        <f t="shared" si="15"/>
        <v>成新度</v>
      </c>
      <c r="AA37" s="1572">
        <f t="shared" si="3"/>
        <v>1</v>
      </c>
      <c r="AB37" s="1572">
        <f t="shared" si="4"/>
        <v>1</v>
      </c>
      <c r="AC37" s="1572">
        <f t="shared" si="5"/>
        <v>1</v>
      </c>
    </row>
    <row r="38" spans="1:29" s="1216" customFormat="1" ht="15" hidden="1">
      <c r="A38" s="596"/>
      <c r="B38" s="523" t="s">
        <v>775</v>
      </c>
      <c r="C38" s="570" t="s">
        <v>3185</v>
      </c>
      <c r="D38" s="254">
        <v>100</v>
      </c>
      <c r="E38" s="570" t="s">
        <v>3185</v>
      </c>
      <c r="F38" s="571">
        <f>SUMIF(113:113,E38,114:114)-SUMIF(113:113,C38,114:114)+100</f>
        <v>100</v>
      </c>
      <c r="G38" s="570" t="s">
        <v>3185</v>
      </c>
      <c r="H38" s="536">
        <f>SUMIF(113:113,G38,114:114)-SUMIF(113:113,C38,114:114)+100</f>
        <v>100</v>
      </c>
      <c r="I38" s="570" t="s">
        <v>3185</v>
      </c>
      <c r="J38" s="536">
        <f>SUMIF(113:113,I38,114:114)-SUMIF(113:113,C38,114:114)+100</f>
        <v>100</v>
      </c>
      <c r="K38" s="580">
        <v>2</v>
      </c>
      <c r="L38" s="2132"/>
      <c r="M38" s="2133"/>
      <c r="N38" s="2133"/>
      <c r="O38" s="2133"/>
      <c r="P38" s="3573"/>
      <c r="Q38" s="1147" t="str">
        <f t="shared" si="11"/>
        <v>写字楼等级</v>
      </c>
      <c r="R38" s="1564" t="s">
        <v>8</v>
      </c>
      <c r="S38" s="1565">
        <f t="shared" si="12"/>
        <v>100</v>
      </c>
      <c r="T38" s="1564" t="s">
        <v>8</v>
      </c>
      <c r="U38" s="1565">
        <f t="shared" si="13"/>
        <v>100</v>
      </c>
      <c r="V38" s="1564" t="s">
        <v>8</v>
      </c>
      <c r="W38" s="1565">
        <f t="shared" si="14"/>
        <v>100</v>
      </c>
      <c r="X38" s="1566"/>
      <c r="Y38" s="3573"/>
      <c r="Z38" s="1146" t="str">
        <f t="shared" si="15"/>
        <v>写字楼等级</v>
      </c>
      <c r="AA38" s="1567">
        <f t="shared" si="3"/>
        <v>1</v>
      </c>
      <c r="AB38" s="1567">
        <f t="shared" si="4"/>
        <v>1</v>
      </c>
      <c r="AC38" s="1567">
        <f t="shared" si="5"/>
        <v>1</v>
      </c>
    </row>
    <row r="39" spans="1:29" ht="15" hidden="1">
      <c r="A39" s="590"/>
      <c r="B39" s="523" t="s">
        <v>776</v>
      </c>
      <c r="C39" s="570" t="s">
        <v>3183</v>
      </c>
      <c r="D39" s="536">
        <v>100</v>
      </c>
      <c r="E39" s="570" t="s">
        <v>3183</v>
      </c>
      <c r="F39" s="571">
        <f>SUMIF(115:115,E39,116:116)-SUMIF(115:115,C39,116:116)+100</f>
        <v>100</v>
      </c>
      <c r="G39" s="570" t="s">
        <v>3183</v>
      </c>
      <c r="H39" s="536">
        <f>SUMIF(115:115,G39,116:116)-SUMIF(115:115,C39,116:116)+100</f>
        <v>100</v>
      </c>
      <c r="I39" s="570" t="s">
        <v>3183</v>
      </c>
      <c r="J39" s="536">
        <f>SUMIF(115:115,I39,116:116)-SUMIF(115:115,C39,116:116)+100</f>
        <v>100</v>
      </c>
      <c r="K39" s="580">
        <v>2</v>
      </c>
      <c r="L39" s="2139"/>
      <c r="M39" s="2131"/>
      <c r="N39" s="2131"/>
      <c r="O39" s="2131"/>
      <c r="P39" s="3573" t="s">
        <v>544</v>
      </c>
      <c r="Q39" s="1568" t="str">
        <f t="shared" si="11"/>
        <v>物业管理</v>
      </c>
      <c r="R39" s="1569" t="s">
        <v>8</v>
      </c>
      <c r="S39" s="1570">
        <f t="shared" si="12"/>
        <v>100</v>
      </c>
      <c r="T39" s="1569" t="s">
        <v>8</v>
      </c>
      <c r="U39" s="1570">
        <f t="shared" si="13"/>
        <v>100</v>
      </c>
      <c r="V39" s="1569" t="s">
        <v>8</v>
      </c>
      <c r="W39" s="1570">
        <f t="shared" si="14"/>
        <v>100</v>
      </c>
      <c r="X39" s="1563"/>
      <c r="Y39" s="3573" t="s">
        <v>544</v>
      </c>
      <c r="Z39" s="1571" t="str">
        <f t="shared" si="15"/>
        <v>物业管理</v>
      </c>
      <c r="AA39" s="1572">
        <f t="shared" si="3"/>
        <v>1</v>
      </c>
      <c r="AB39" s="1572">
        <f t="shared" si="4"/>
        <v>1</v>
      </c>
      <c r="AC39" s="1572">
        <f t="shared" si="5"/>
        <v>1</v>
      </c>
    </row>
    <row r="40" spans="1:29" ht="15" hidden="1">
      <c r="A40" s="590"/>
      <c r="B40" s="1892" t="s">
        <v>2560</v>
      </c>
      <c r="C40" s="570" t="s">
        <v>3104</v>
      </c>
      <c r="D40" s="536">
        <v>100</v>
      </c>
      <c r="E40" s="570" t="s">
        <v>3104</v>
      </c>
      <c r="F40" s="571">
        <f>SUMIF(117:117,E40,118:118)-SUMIF(117:117,C40,118:118)+100</f>
        <v>100</v>
      </c>
      <c r="G40" s="570" t="s">
        <v>3104</v>
      </c>
      <c r="H40" s="536">
        <f>SUMIF(117:117,G40,118:118)-SUMIF(117:117,C40,118:118)+100</f>
        <v>100</v>
      </c>
      <c r="I40" s="570" t="s">
        <v>3104</v>
      </c>
      <c r="J40" s="536">
        <f>SUMIF(117:117,I40,118:118)-SUMIF(117:117,C40,118:118)+100</f>
        <v>100</v>
      </c>
      <c r="K40" s="580"/>
      <c r="L40" s="2139"/>
      <c r="M40" s="2131"/>
      <c r="N40" s="2131"/>
      <c r="O40" s="2131"/>
      <c r="P40" s="3573"/>
      <c r="Q40" s="1568" t="str">
        <f t="shared" si="11"/>
        <v>市政基础设施</v>
      </c>
      <c r="R40" s="1569" t="s">
        <v>8</v>
      </c>
      <c r="S40" s="1570">
        <f t="shared" si="12"/>
        <v>100</v>
      </c>
      <c r="T40" s="1569" t="s">
        <v>8</v>
      </c>
      <c r="U40" s="1570">
        <f t="shared" si="13"/>
        <v>100</v>
      </c>
      <c r="V40" s="1569" t="s">
        <v>8</v>
      </c>
      <c r="W40" s="1570">
        <f t="shared" si="14"/>
        <v>100</v>
      </c>
      <c r="X40" s="1563"/>
      <c r="Y40" s="3573"/>
      <c r="Z40" s="1571" t="str">
        <f t="shared" si="15"/>
        <v>市政基础设施</v>
      </c>
      <c r="AA40" s="1572">
        <f t="shared" si="3"/>
        <v>1</v>
      </c>
      <c r="AB40" s="1572">
        <f t="shared" si="4"/>
        <v>1</v>
      </c>
      <c r="AC40" s="1572">
        <f t="shared" si="5"/>
        <v>1</v>
      </c>
    </row>
    <row r="41" spans="1:29" ht="15">
      <c r="A41" s="590"/>
      <c r="B41" s="523" t="s">
        <v>761</v>
      </c>
      <c r="C41" s="579" t="s">
        <v>3181</v>
      </c>
      <c r="D41" s="536">
        <v>100</v>
      </c>
      <c r="E41" s="579" t="s">
        <v>3181</v>
      </c>
      <c r="F41" s="571">
        <f>SUMIF(119:119,E41,120:120)-SUMIF(119:119,C41,120:120)+100</f>
        <v>100</v>
      </c>
      <c r="G41" s="579" t="s">
        <v>3181</v>
      </c>
      <c r="H41" s="536">
        <f>SUMIF(119:119,G41,120:120)-SUMIF(119:119,C41,120:120)+100</f>
        <v>100</v>
      </c>
      <c r="I41" s="579" t="s">
        <v>3181</v>
      </c>
      <c r="J41" s="536">
        <f>SUMIF(119:119,I41,120:120)-SUMIF(119:119,C41,120:120)+100</f>
        <v>100</v>
      </c>
      <c r="K41" s="580">
        <v>2</v>
      </c>
      <c r="L41" s="2139"/>
      <c r="M41" s="2131"/>
      <c r="N41" s="2131"/>
      <c r="O41" s="2131"/>
      <c r="P41" s="3573"/>
      <c r="Q41" s="1568" t="str">
        <f t="shared" si="11"/>
        <v>层高</v>
      </c>
      <c r="R41" s="1569" t="s">
        <v>8</v>
      </c>
      <c r="S41" s="1570">
        <f t="shared" si="12"/>
        <v>100</v>
      </c>
      <c r="T41" s="1569" t="s">
        <v>8</v>
      </c>
      <c r="U41" s="1570">
        <f t="shared" si="13"/>
        <v>100</v>
      </c>
      <c r="V41" s="1569" t="s">
        <v>8</v>
      </c>
      <c r="W41" s="1570">
        <f t="shared" si="14"/>
        <v>100</v>
      </c>
      <c r="X41" s="1563"/>
      <c r="Y41" s="3573"/>
      <c r="Z41" s="1571" t="str">
        <f t="shared" si="15"/>
        <v>层高</v>
      </c>
      <c r="AA41" s="1572">
        <f t="shared" si="3"/>
        <v>1</v>
      </c>
      <c r="AB41" s="1572">
        <f t="shared" si="4"/>
        <v>1</v>
      </c>
      <c r="AC41" s="1572">
        <f t="shared" si="5"/>
        <v>1</v>
      </c>
    </row>
    <row r="42" spans="1:29" s="1335" customFormat="1" ht="15" hidden="1">
      <c r="A42" s="599"/>
      <c r="B42" s="900" t="s">
        <v>777</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7"/>
      <c r="M42" s="2168"/>
      <c r="N42" s="2168"/>
      <c r="O42" s="2168"/>
      <c r="P42" s="3573"/>
      <c r="Q42" s="1601" t="str">
        <f t="shared" si="11"/>
        <v>单套建筑面积</v>
      </c>
      <c r="R42" s="1573" t="s">
        <v>8</v>
      </c>
      <c r="S42" s="1574">
        <f t="shared" si="12"/>
        <v>100</v>
      </c>
      <c r="T42" s="1573" t="s">
        <v>8</v>
      </c>
      <c r="U42" s="1574">
        <f t="shared" si="13"/>
        <v>100</v>
      </c>
      <c r="V42" s="1573" t="s">
        <v>8</v>
      </c>
      <c r="W42" s="1574">
        <f t="shared" si="14"/>
        <v>100</v>
      </c>
      <c r="X42" s="1575"/>
      <c r="Y42" s="3573"/>
      <c r="Z42" s="1576" t="str">
        <f t="shared" si="15"/>
        <v>单套建筑面积</v>
      </c>
      <c r="AA42" s="1572">
        <f t="shared" si="3"/>
        <v>1</v>
      </c>
      <c r="AB42" s="1572">
        <f t="shared" si="4"/>
        <v>1</v>
      </c>
      <c r="AC42" s="1572">
        <f t="shared" si="5"/>
        <v>1</v>
      </c>
    </row>
    <row r="43" spans="1:29" ht="15">
      <c r="A43" s="590"/>
      <c r="B43" s="523" t="s">
        <v>764</v>
      </c>
      <c r="C43" s="570" t="s">
        <v>3151</v>
      </c>
      <c r="D43" s="536">
        <v>100</v>
      </c>
      <c r="E43" s="570" t="s">
        <v>3151</v>
      </c>
      <c r="F43" s="571">
        <f>SUMIF(123:123,E43,124:124)-SUMIF(123:123,C43,124:124)+100</f>
        <v>100</v>
      </c>
      <c r="G43" s="570" t="s">
        <v>3151</v>
      </c>
      <c r="H43" s="536">
        <f>SUMIF(123:123,G43,124:124)-SUMIF(123:123,C43,124:124)+100</f>
        <v>100</v>
      </c>
      <c r="I43" s="570" t="s">
        <v>3151</v>
      </c>
      <c r="J43" s="536">
        <f>SUMIF(123:123,I43,124:124)-SUMIF(123:123,C43,124:124)+100</f>
        <v>100</v>
      </c>
      <c r="K43" s="580">
        <v>2</v>
      </c>
      <c r="L43" s="2139"/>
      <c r="M43" s="2131"/>
      <c r="N43" s="2131"/>
      <c r="O43" s="2131"/>
      <c r="P43" s="3573"/>
      <c r="Q43" s="1568" t="str">
        <f t="shared" si="11"/>
        <v>内部装修</v>
      </c>
      <c r="R43" s="1569" t="s">
        <v>8</v>
      </c>
      <c r="S43" s="1570">
        <f t="shared" si="12"/>
        <v>100</v>
      </c>
      <c r="T43" s="1569" t="s">
        <v>8</v>
      </c>
      <c r="U43" s="1570">
        <f t="shared" si="13"/>
        <v>100</v>
      </c>
      <c r="V43" s="1569" t="s">
        <v>8</v>
      </c>
      <c r="W43" s="1570">
        <f t="shared" si="14"/>
        <v>100</v>
      </c>
      <c r="X43" s="1563"/>
      <c r="Y43" s="3573"/>
      <c r="Z43" s="1571" t="str">
        <f t="shared" si="15"/>
        <v>内部装修</v>
      </c>
      <c r="AA43" s="1572">
        <f t="shared" si="3"/>
        <v>1</v>
      </c>
      <c r="AB43" s="1572">
        <f t="shared" si="4"/>
        <v>1</v>
      </c>
      <c r="AC43" s="1572">
        <f t="shared" si="5"/>
        <v>1</v>
      </c>
    </row>
    <row r="44" spans="1:29" ht="27" hidden="1">
      <c r="A44" s="590"/>
      <c r="B44" s="523" t="s">
        <v>729</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9"/>
      <c r="M44" s="2131"/>
      <c r="N44" s="2131"/>
      <c r="O44" s="2131"/>
      <c r="P44" s="3573"/>
      <c r="Q44" s="1568" t="str">
        <f t="shared" si="11"/>
        <v>内部装修维护情况</v>
      </c>
      <c r="R44" s="1569" t="s">
        <v>8</v>
      </c>
      <c r="S44" s="1570">
        <f t="shared" si="12"/>
        <v>100</v>
      </c>
      <c r="T44" s="1569" t="s">
        <v>8</v>
      </c>
      <c r="U44" s="1570">
        <f t="shared" si="13"/>
        <v>100</v>
      </c>
      <c r="V44" s="1569" t="s">
        <v>8</v>
      </c>
      <c r="W44" s="1570">
        <f t="shared" si="14"/>
        <v>100</v>
      </c>
      <c r="X44" s="1563"/>
      <c r="Y44" s="3573"/>
      <c r="Z44" s="1571" t="str">
        <f t="shared" si="15"/>
        <v>内部装修维护情况</v>
      </c>
      <c r="AA44" s="1572">
        <f t="shared" si="3"/>
        <v>1</v>
      </c>
      <c r="AB44" s="1572">
        <f t="shared" si="4"/>
        <v>1</v>
      </c>
      <c r="AC44" s="1572">
        <f t="shared" si="5"/>
        <v>1</v>
      </c>
    </row>
    <row r="45" spans="1:29" s="1216" customFormat="1" ht="15" hidden="1">
      <c r="A45" s="596"/>
      <c r="B45" s="3259" t="s">
        <v>3177</v>
      </c>
      <c r="C45" s="3270" t="s">
        <v>3188</v>
      </c>
      <c r="D45" s="254">
        <v>100</v>
      </c>
      <c r="E45" s="3270" t="s">
        <v>3188</v>
      </c>
      <c r="F45" s="859">
        <f>SUMIF(127:127,E45,128:128)-SUMIF(127:127,C45,128:128)+100</f>
        <v>100</v>
      </c>
      <c r="G45" s="3270" t="s">
        <v>3188</v>
      </c>
      <c r="H45" s="254">
        <f>SUMIF(127:127,G45,128:128)-SUMIF(127:127,C45,128:128)+100</f>
        <v>100</v>
      </c>
      <c r="I45" s="3270" t="s">
        <v>3188</v>
      </c>
      <c r="J45" s="254">
        <f>SUMIF(127:127,I45,128:128)-SUMIF(127:127,C45,128:128)+100</f>
        <v>100</v>
      </c>
      <c r="K45" s="577"/>
      <c r="L45" s="2132"/>
      <c r="M45" s="2133"/>
      <c r="N45" s="2133"/>
      <c r="O45" s="2133"/>
      <c r="P45" s="3573"/>
      <c r="Q45" s="1147" t="str">
        <f t="shared" si="11"/>
        <v>交房时间</v>
      </c>
      <c r="R45" s="1564" t="s">
        <v>8</v>
      </c>
      <c r="S45" s="1565">
        <f t="shared" si="12"/>
        <v>100</v>
      </c>
      <c r="T45" s="1564" t="s">
        <v>8</v>
      </c>
      <c r="U45" s="1565">
        <f t="shared" si="13"/>
        <v>100</v>
      </c>
      <c r="V45" s="1564" t="s">
        <v>8</v>
      </c>
      <c r="W45" s="1565">
        <f t="shared" si="14"/>
        <v>100</v>
      </c>
      <c r="X45" s="1566"/>
      <c r="Y45" s="3573"/>
      <c r="Z45" s="1146" t="str">
        <f t="shared" si="15"/>
        <v>交房时间</v>
      </c>
      <c r="AA45" s="1567">
        <f t="shared" si="3"/>
        <v>1</v>
      </c>
      <c r="AB45" s="1567">
        <f t="shared" si="4"/>
        <v>1</v>
      </c>
      <c r="AC45" s="1567">
        <f t="shared" si="5"/>
        <v>1</v>
      </c>
    </row>
    <row r="46" spans="1:29" ht="15">
      <c r="A46" s="590"/>
      <c r="B46" s="3259" t="s">
        <v>3178</v>
      </c>
      <c r="C46" s="535">
        <f>'数据-汇总表'!E21</f>
        <v>13877</v>
      </c>
      <c r="D46" s="536">
        <v>100</v>
      </c>
      <c r="E46" s="524">
        <v>300</v>
      </c>
      <c r="F46" s="571">
        <f>SUMIF(129:129,E46,130:130)-SUMIF(129:129,C46,130:130)+100</f>
        <v>104</v>
      </c>
      <c r="G46" s="524">
        <v>116</v>
      </c>
      <c r="H46" s="536">
        <f>SUMIF(129:129,G46,130:130)-SUMIF(129:129,C46,130:130)+100</f>
        <v>104</v>
      </c>
      <c r="I46" s="524">
        <v>3000</v>
      </c>
      <c r="J46" s="536">
        <f>SUMIF(129:129,I46,130:130)-SUMIF(129:129,C46,130:130)+100</f>
        <v>102</v>
      </c>
      <c r="K46" s="577"/>
      <c r="L46" s="2139"/>
      <c r="M46" s="2131"/>
      <c r="N46" s="2131"/>
      <c r="O46" s="2131"/>
      <c r="P46" s="3573"/>
      <c r="Q46" s="1568" t="str">
        <f t="shared" si="11"/>
        <v>建筑面积</v>
      </c>
      <c r="R46" s="1569" t="s">
        <v>8</v>
      </c>
      <c r="S46" s="1570">
        <f t="shared" si="12"/>
        <v>104</v>
      </c>
      <c r="T46" s="1569" t="s">
        <v>8</v>
      </c>
      <c r="U46" s="1570">
        <f t="shared" si="13"/>
        <v>104</v>
      </c>
      <c r="V46" s="1569" t="s">
        <v>8</v>
      </c>
      <c r="W46" s="1570">
        <f t="shared" si="14"/>
        <v>102</v>
      </c>
      <c r="X46" s="1563"/>
      <c r="Y46" s="3573"/>
      <c r="Z46" s="1571" t="str">
        <f t="shared" si="15"/>
        <v>建筑面积</v>
      </c>
      <c r="AA46" s="1572">
        <f t="shared" si="3"/>
        <v>0.96153846153846156</v>
      </c>
      <c r="AB46" s="1572">
        <f t="shared" si="4"/>
        <v>0.96153846153846156</v>
      </c>
      <c r="AC46" s="1572">
        <f t="shared" si="5"/>
        <v>0.98039215686274506</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9"/>
      <c r="M47" s="2131"/>
      <c r="N47" s="2131"/>
      <c r="O47" s="2131"/>
      <c r="P47" s="3574"/>
      <c r="Q47" s="1568">
        <f t="shared" si="11"/>
        <v>111</v>
      </c>
      <c r="R47" s="1569" t="s">
        <v>8</v>
      </c>
      <c r="S47" s="1570">
        <f t="shared" si="12"/>
        <v>100</v>
      </c>
      <c r="T47" s="1569" t="s">
        <v>8</v>
      </c>
      <c r="U47" s="1570">
        <f t="shared" si="13"/>
        <v>100</v>
      </c>
      <c r="V47" s="1569" t="s">
        <v>8</v>
      </c>
      <c r="W47" s="1570">
        <f t="shared" si="14"/>
        <v>100</v>
      </c>
      <c r="X47" s="1563"/>
      <c r="Y47" s="3574"/>
      <c r="Z47" s="1571">
        <f t="shared" si="15"/>
        <v>111</v>
      </c>
      <c r="AA47" s="1572">
        <f t="shared" si="3"/>
        <v>1</v>
      </c>
      <c r="AB47" s="1572">
        <f t="shared" si="4"/>
        <v>1</v>
      </c>
      <c r="AC47" s="1572">
        <f t="shared" si="5"/>
        <v>1</v>
      </c>
    </row>
    <row r="48" spans="1:29" ht="15">
      <c r="A48" s="603" t="s">
        <v>730</v>
      </c>
      <c r="B48" s="883"/>
      <c r="C48" s="2624" t="s">
        <v>1</v>
      </c>
      <c r="D48" s="2625"/>
      <c r="E48" s="2626">
        <v>3.5</v>
      </c>
      <c r="F48" s="2627"/>
      <c r="G48" s="2628">
        <v>2.82</v>
      </c>
      <c r="H48" s="2629"/>
      <c r="I48" s="2626">
        <v>3.2</v>
      </c>
      <c r="J48" s="2629"/>
      <c r="K48" s="1607"/>
      <c r="L48" s="2141"/>
      <c r="M48" s="2131"/>
      <c r="N48" s="2131"/>
      <c r="O48" s="2131"/>
      <c r="P48" s="3567" t="str">
        <f>A48</f>
        <v>成交单价（元/平方米）</v>
      </c>
      <c r="Q48" s="3551"/>
      <c r="R48" s="3569">
        <f>E48</f>
        <v>3.5</v>
      </c>
      <c r="S48" s="3569"/>
      <c r="T48" s="3569">
        <f>G48</f>
        <v>2.82</v>
      </c>
      <c r="U48" s="3569"/>
      <c r="V48" s="3569">
        <f>I48</f>
        <v>3.2</v>
      </c>
      <c r="W48" s="3569"/>
      <c r="X48" s="1555"/>
      <c r="Y48" s="1577"/>
      <c r="Z48" s="1555"/>
      <c r="AA48" s="1555"/>
      <c r="AB48" s="1555"/>
      <c r="AC48" s="1555"/>
    </row>
    <row r="49" spans="1:29" ht="15.75" thickBot="1">
      <c r="A49" s="611" t="s">
        <v>2755</v>
      </c>
      <c r="B49" s="884"/>
      <c r="C49" s="2630">
        <f>R50</f>
        <v>3</v>
      </c>
      <c r="D49" s="2631"/>
      <c r="E49" s="2632">
        <f>R49</f>
        <v>3</v>
      </c>
      <c r="F49" s="2632"/>
      <c r="G49" s="2630">
        <f>T49</f>
        <v>3</v>
      </c>
      <c r="H49" s="2631"/>
      <c r="I49" s="2632">
        <f>V49</f>
        <v>3</v>
      </c>
      <c r="J49" s="2631"/>
      <c r="K49" s="1608"/>
      <c r="L49" s="2141"/>
      <c r="M49" s="2131"/>
      <c r="N49" s="2131"/>
      <c r="O49" s="2131"/>
      <c r="P49" s="3567" t="str">
        <f>A49</f>
        <v>比较价格（元/平方米）</v>
      </c>
      <c r="Q49" s="3551"/>
      <c r="R49" s="3569">
        <f>IF(F1="售价",ROUND(PRODUCT(R48,AA7:AA47),0),ROUND(PRODUCT(R48,AA7:AA47),1))</f>
        <v>3</v>
      </c>
      <c r="S49" s="3569"/>
      <c r="T49" s="3569">
        <f>IF(F1="售价",ROUND(PRODUCT(T48,AB7:AB47),0),ROUND(PRODUCT(T48,AB7:AB47),1))</f>
        <v>3</v>
      </c>
      <c r="U49" s="3569"/>
      <c r="V49" s="3569">
        <f>IF(F1="售价",ROUND(PRODUCT(V48,AC7:AC47),0),ROUND(PRODUCT(V48,AC7:AC47),1))</f>
        <v>3</v>
      </c>
      <c r="W49" s="3569"/>
      <c r="X49" s="1555"/>
      <c r="Y49" s="1555"/>
      <c r="Z49" s="1555"/>
      <c r="AA49" s="1555"/>
      <c r="AB49" s="1555"/>
      <c r="AC49" s="1555"/>
    </row>
    <row r="50" spans="1:29" ht="15.75" thickBot="1">
      <c r="A50" s="617" t="s">
        <v>2931</v>
      </c>
      <c r="B50" s="618"/>
      <c r="C50" s="2633">
        <f>R50</f>
        <v>3</v>
      </c>
      <c r="D50" s="2633"/>
      <c r="E50" s="2633"/>
      <c r="F50" s="2633"/>
      <c r="G50" s="2633"/>
      <c r="H50" s="2633"/>
      <c r="I50" s="2633"/>
      <c r="J50" s="2633"/>
      <c r="K50" s="1609"/>
      <c r="L50" s="2141"/>
      <c r="M50" s="2131"/>
      <c r="N50" s="2131"/>
      <c r="O50" s="2131"/>
      <c r="P50" s="3608" t="str">
        <f>A50</f>
        <v>估价对象XX用房的比较价格（楼面单价，元/平方米）</v>
      </c>
      <c r="Q50" s="3567"/>
      <c r="R50" s="3568">
        <f>IF(F1="售价",ROUND(AVERAGE(R49:V49),0),ROUND(AVERAGE(R49:V49),1))</f>
        <v>3</v>
      </c>
      <c r="S50" s="3568"/>
      <c r="T50" s="3568"/>
      <c r="U50" s="3568"/>
      <c r="V50" s="3568"/>
      <c r="W50" s="356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0" t="s">
        <v>551</v>
      </c>
      <c r="D53" s="621"/>
      <c r="E53" s="622">
        <f>IF(E48&lt;E49,E49/E48-1,E48/E49-1)</f>
        <v>0.16666666666666674</v>
      </c>
      <c r="F53" s="623" t="str">
        <f>IF(OR(E53&gt;=0.3,E53&lt;=-0.3),"超过30%","")</f>
        <v/>
      </c>
      <c r="G53" s="622">
        <f>IF(G48&lt;G49,G49/G48-1,G48/G49-1)</f>
        <v>6.3829787234042534E-2</v>
      </c>
      <c r="H53" s="623" t="str">
        <f>IF(OR(G53&gt;=0.3,G53&lt;=-0.3),"超过30%","")</f>
        <v/>
      </c>
      <c r="I53" s="622">
        <f>IF(I48&lt;I49,I49/I48-1,I48/I49-1)</f>
        <v>6.6666666666666652E-2</v>
      </c>
      <c r="J53" s="623" t="str">
        <f>IF(OR(I53&gt;=0.3,I53&lt;=-0.3),"超过30%","")</f>
        <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0" t="s">
        <v>552</v>
      </c>
      <c r="D54" s="624"/>
      <c r="E54" s="622">
        <f>IF(E49&lt;G49,G49/E49-1,E49/G49-1)</f>
        <v>0</v>
      </c>
      <c r="F54" s="623" t="str">
        <f>IF(OR(E54&gt;=0.2,E54&lt;=-0.2),"超过20%","")</f>
        <v/>
      </c>
      <c r="G54" s="622">
        <f>IF(G49&lt;I49,I49/G49-1,G49/I49-1)</f>
        <v>0</v>
      </c>
      <c r="H54" s="623" t="str">
        <f>IF(OR(G54&gt;=0.2,G54&lt;=-0.2),"超过20%","")</f>
        <v/>
      </c>
      <c r="I54" s="622">
        <f>IF(I49&lt;E49,E49/I49-1,I49/E49-1)</f>
        <v>0</v>
      </c>
      <c r="J54" s="623" t="str">
        <f>IF(OR(I54&gt;=0.2,I54&lt;=-0.2),"超过20%","")</f>
        <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0" t="s">
        <v>553</v>
      </c>
      <c r="D55" s="624"/>
      <c r="E55" s="622">
        <f>IF(E48&lt;G48,G48/E48-1,E48/G48-1)</f>
        <v>0.24113475177304977</v>
      </c>
      <c r="F55" s="623" t="str">
        <f>IF(OR(E55&gt;=0.3,E55&lt;=-0.3),"超过30%","")</f>
        <v/>
      </c>
      <c r="G55" s="622">
        <f>IF(G48&lt;I48,I48/G48-1,G48/I48-1)</f>
        <v>0.13475177304964547</v>
      </c>
      <c r="H55" s="623" t="str">
        <f>IF(OR(G55&gt;=0.3,G55&lt;=-0.3),"超过30%","")</f>
        <v/>
      </c>
      <c r="I55" s="622">
        <f>IF(I48&lt;E48,E48/I48-1,I48/E48-1)</f>
        <v>9.375E-2</v>
      </c>
      <c r="J55" s="623" t="str">
        <f>IF(OR(I55&gt;=0.3,I55&lt;=-0.3),"超过30%","")</f>
        <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568</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5">
      <c r="A59" s="641" t="s">
        <v>523</v>
      </c>
      <c r="B59" s="642"/>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6" customFormat="1" ht="15">
      <c r="A60" s="643"/>
      <c r="B60" s="644"/>
      <c r="C60" s="645">
        <v>100</v>
      </c>
      <c r="D60" s="646"/>
      <c r="E60" s="646"/>
      <c r="F60" s="646"/>
      <c r="G60" s="646"/>
      <c r="H60" s="646"/>
      <c r="I60" s="646"/>
      <c r="J60" s="646"/>
      <c r="K60" s="646"/>
      <c r="L60" s="646"/>
      <c r="M60" s="647"/>
      <c r="N60" s="646"/>
      <c r="O60" s="647"/>
      <c r="P60" s="2209"/>
      <c r="Q60" s="1990"/>
      <c r="R60" s="1990"/>
      <c r="S60" s="1990"/>
      <c r="T60" s="1990"/>
      <c r="U60" s="1990"/>
      <c r="V60" s="1990"/>
      <c r="W60" s="1990"/>
      <c r="X60" s="1990"/>
      <c r="Y60" s="1990"/>
      <c r="Z60" s="1990"/>
      <c r="AA60" s="1990"/>
      <c r="AB60" s="1990"/>
      <c r="AC60" s="1990"/>
    </row>
    <row r="61" spans="1:29" s="1216" customFormat="1" ht="15.75" thickBot="1">
      <c r="A61" s="649" t="s">
        <v>569</v>
      </c>
      <c r="B61" s="650"/>
      <c r="C61" s="651"/>
      <c r="D61" s="652"/>
      <c r="E61" s="652"/>
      <c r="F61" s="652"/>
      <c r="G61" s="652"/>
      <c r="H61" s="652"/>
      <c r="I61" s="652"/>
      <c r="J61" s="652"/>
      <c r="K61" s="652"/>
      <c r="L61" s="652"/>
      <c r="M61" s="653"/>
      <c r="N61" s="652"/>
      <c r="O61" s="653"/>
      <c r="P61" s="2209"/>
      <c r="Q61" s="2155"/>
      <c r="R61" s="1990"/>
      <c r="S61" s="1990"/>
      <c r="T61" s="1990"/>
      <c r="U61" s="1990"/>
      <c r="V61" s="1990"/>
      <c r="W61" s="1990"/>
      <c r="X61" s="1990"/>
      <c r="Y61" s="1990"/>
      <c r="Z61" s="1990"/>
      <c r="AA61" s="1990"/>
      <c r="AB61" s="1990"/>
      <c r="AC61" s="1990"/>
    </row>
    <row r="62" spans="1:29" s="1216" customFormat="1" ht="15">
      <c r="A62" s="655" t="s">
        <v>525</v>
      </c>
      <c r="B62" s="644"/>
      <c r="C62" s="656" t="s">
        <v>570</v>
      </c>
      <c r="D62" s="3257" t="s">
        <v>3179</v>
      </c>
      <c r="E62" s="657"/>
      <c r="F62" s="657"/>
      <c r="G62" s="657"/>
      <c r="H62" s="657"/>
      <c r="I62" s="657"/>
      <c r="J62" s="657"/>
      <c r="K62" s="657"/>
      <c r="L62" s="658"/>
      <c r="M62" s="659"/>
      <c r="N62" s="2159"/>
      <c r="O62" s="2159"/>
      <c r="P62" s="2210"/>
      <c r="Q62" s="2155"/>
      <c r="R62" s="1990"/>
      <c r="S62" s="1990"/>
      <c r="T62" s="1990"/>
      <c r="U62" s="1990"/>
      <c r="V62" s="1990"/>
      <c r="W62" s="1990"/>
      <c r="X62" s="1990"/>
      <c r="Y62" s="1990"/>
      <c r="Z62" s="1990"/>
      <c r="AA62" s="1990"/>
      <c r="AB62" s="1990"/>
      <c r="AC62" s="1990"/>
    </row>
    <row r="63" spans="1:29" s="1216" customFormat="1" ht="15.75" thickBot="1">
      <c r="A63" s="655"/>
      <c r="B63" s="644"/>
      <c r="C63" s="885">
        <v>100</v>
      </c>
      <c r="D63" s="646">
        <v>102</v>
      </c>
      <c r="E63" s="646"/>
      <c r="F63" s="646"/>
      <c r="G63" s="646"/>
      <c r="H63" s="646"/>
      <c r="I63" s="646"/>
      <c r="J63" s="646"/>
      <c r="K63" s="646"/>
      <c r="L63" s="646"/>
      <c r="M63" s="648"/>
      <c r="N63" s="2159"/>
      <c r="O63" s="2159"/>
      <c r="P63" s="2209"/>
      <c r="Q63" s="2155"/>
      <c r="R63" s="1990"/>
      <c r="S63" s="1990"/>
      <c r="T63" s="1990"/>
      <c r="U63" s="1990"/>
      <c r="V63" s="1990"/>
      <c r="W63" s="1990"/>
      <c r="X63" s="1990"/>
      <c r="Y63" s="1990"/>
      <c r="Z63" s="1990"/>
      <c r="AA63" s="1990"/>
      <c r="AB63" s="1990"/>
      <c r="AC63" s="1990"/>
    </row>
    <row r="64" spans="1:29">
      <c r="A64" s="660" t="s">
        <v>571</v>
      </c>
      <c r="B64" s="661" t="s">
        <v>528</v>
      </c>
      <c r="C64" s="700" t="str">
        <f>C9</f>
        <v>办公</v>
      </c>
      <c r="D64" s="594"/>
      <c r="E64" s="594"/>
      <c r="F64" s="594"/>
      <c r="G64" s="594"/>
      <c r="H64" s="594"/>
      <c r="I64" s="594"/>
      <c r="J64" s="594"/>
      <c r="K64" s="662"/>
      <c r="L64" s="663"/>
      <c r="M64" s="664"/>
      <c r="N64" s="2161"/>
      <c r="O64" s="2161"/>
      <c r="P64" s="2211"/>
      <c r="Q64" s="2155"/>
      <c r="R64" s="2142"/>
      <c r="S64" s="2142"/>
      <c r="T64" s="2142"/>
      <c r="U64" s="2142"/>
      <c r="V64" s="2142"/>
      <c r="W64" s="2142"/>
      <c r="X64" s="2142"/>
      <c r="Y64" s="2142"/>
      <c r="Z64" s="2142"/>
      <c r="AA64" s="2142"/>
      <c r="AB64" s="2142"/>
      <c r="AC64" s="2142"/>
    </row>
    <row r="65" spans="1:29" ht="15.75" thickBot="1">
      <c r="A65" s="665"/>
      <c r="B65" s="666"/>
      <c r="C65" s="667"/>
      <c r="D65" s="667"/>
      <c r="E65" s="667"/>
      <c r="F65" s="667"/>
      <c r="G65" s="667"/>
      <c r="H65" s="667"/>
      <c r="I65" s="667"/>
      <c r="J65" s="667"/>
      <c r="K65" s="667"/>
      <c r="L65" s="667"/>
      <c r="M65" s="668"/>
      <c r="N65" s="2163"/>
      <c r="O65" s="2163"/>
      <c r="P65" s="2211"/>
      <c r="Q65" s="2155"/>
      <c r="R65" s="2142"/>
      <c r="S65" s="2142"/>
      <c r="T65" s="2142"/>
      <c r="U65" s="2142"/>
      <c r="V65" s="2142"/>
      <c r="W65" s="2142"/>
      <c r="X65" s="2142"/>
      <c r="Y65" s="2142"/>
      <c r="Z65" s="2142"/>
      <c r="AA65" s="2142"/>
      <c r="AB65" s="2142"/>
      <c r="AC65" s="2142"/>
    </row>
    <row r="66" spans="1:29" ht="27.75" thickTop="1">
      <c r="A66" s="665"/>
      <c r="B66" s="669" t="s">
        <v>531</v>
      </c>
      <c r="C66" s="670" t="s">
        <v>731</v>
      </c>
      <c r="D66" s="670" t="s">
        <v>732</v>
      </c>
      <c r="E66" s="670" t="s">
        <v>733</v>
      </c>
      <c r="F66" s="670" t="s">
        <v>734</v>
      </c>
      <c r="G66" s="670" t="s">
        <v>735</v>
      </c>
      <c r="H66" s="670" t="s">
        <v>736</v>
      </c>
      <c r="I66" s="670" t="s">
        <v>737</v>
      </c>
      <c r="J66" s="670"/>
      <c r="K66" s="671"/>
      <c r="L66" s="672"/>
      <c r="M66" s="673"/>
      <c r="N66" s="2161"/>
      <c r="O66" s="2161"/>
      <c r="P66" s="2211"/>
      <c r="Q66" s="2155"/>
      <c r="R66" s="2142"/>
      <c r="S66" s="2142"/>
      <c r="T66" s="2142"/>
      <c r="U66" s="2142"/>
      <c r="V66" s="2142"/>
      <c r="W66" s="2142"/>
      <c r="X66" s="2142"/>
      <c r="Y66" s="2142"/>
      <c r="Z66" s="2142"/>
      <c r="AA66" s="2142"/>
      <c r="AB66" s="2142"/>
      <c r="AC66" s="2142"/>
    </row>
    <row r="67" spans="1:29" ht="15.75" thickBot="1">
      <c r="A67" s="665"/>
      <c r="B67" s="674"/>
      <c r="C67" s="675" t="s">
        <v>14</v>
      </c>
      <c r="D67" s="675" t="s">
        <v>15</v>
      </c>
      <c r="E67" s="675">
        <v>100</v>
      </c>
      <c r="F67" s="675">
        <f>E67-$K10</f>
        <v>99</v>
      </c>
      <c r="G67" s="675">
        <f>F67-$K10</f>
        <v>98</v>
      </c>
      <c r="H67" s="675">
        <f>G67-$K10</f>
        <v>97</v>
      </c>
      <c r="I67" s="675">
        <f>H67-$K10</f>
        <v>96</v>
      </c>
      <c r="J67" s="675"/>
      <c r="K67" s="675"/>
      <c r="L67" s="675"/>
      <c r="M67" s="676"/>
      <c r="N67" s="2163"/>
      <c r="O67" s="2163"/>
      <c r="P67" s="2211"/>
      <c r="Q67" s="2155"/>
      <c r="R67" s="2142"/>
      <c r="S67" s="2142"/>
      <c r="T67" s="2142"/>
      <c r="U67" s="2142"/>
      <c r="V67" s="2142"/>
      <c r="W67" s="2142"/>
      <c r="X67" s="2142"/>
      <c r="Y67" s="2142"/>
      <c r="Z67" s="2142"/>
      <c r="AA67" s="2142"/>
      <c r="AB67" s="2142"/>
      <c r="AC67" s="2142"/>
    </row>
    <row r="68" spans="1:29" ht="15.75" hidden="1" thickTop="1">
      <c r="A68" s="665"/>
      <c r="B68" s="677" t="s">
        <v>532</v>
      </c>
      <c r="C68" s="678" t="str">
        <f>C69&amp;"（含）"&amp;"-"&amp;D69</f>
        <v>1（含）-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3"/>
      <c r="O68" s="2163"/>
      <c r="P68" s="2211"/>
      <c r="Q68" s="2155"/>
      <c r="R68" s="2142"/>
      <c r="S68" s="2142"/>
      <c r="T68" s="2142"/>
      <c r="U68" s="2142"/>
      <c r="V68" s="2142"/>
      <c r="W68" s="2142"/>
      <c r="X68" s="2142"/>
      <c r="Y68" s="2142"/>
      <c r="Z68" s="2142"/>
      <c r="AA68" s="2142"/>
      <c r="AB68" s="2142"/>
      <c r="AC68" s="2142"/>
    </row>
    <row r="69" spans="1:29" ht="15" hidden="1">
      <c r="A69" s="665"/>
      <c r="B69" s="679"/>
      <c r="C69" s="537">
        <v>1</v>
      </c>
      <c r="D69" s="537"/>
      <c r="E69" s="537"/>
      <c r="F69" s="537"/>
      <c r="G69" s="537"/>
      <c r="H69" s="537"/>
      <c r="I69" s="537"/>
      <c r="J69" s="537"/>
      <c r="K69" s="680"/>
      <c r="L69" s="681"/>
      <c r="M69" s="682"/>
      <c r="N69" s="2161"/>
      <c r="O69" s="2161"/>
      <c r="P69" s="2211"/>
      <c r="Q69" s="2155"/>
      <c r="R69" s="2142"/>
      <c r="S69" s="2142"/>
      <c r="T69" s="2142"/>
      <c r="U69" s="2142"/>
      <c r="V69" s="2142"/>
      <c r="W69" s="2142"/>
      <c r="X69" s="2142"/>
      <c r="Y69" s="2142"/>
      <c r="Z69" s="2142"/>
      <c r="AA69" s="2142"/>
      <c r="AB69" s="2142"/>
      <c r="AC69" s="2142"/>
    </row>
    <row r="70" spans="1:29" ht="15.75" hidden="1" thickBot="1">
      <c r="A70" s="665"/>
      <c r="B70" s="666"/>
      <c r="C70" s="675">
        <v>100</v>
      </c>
      <c r="D70" s="675">
        <f t="shared" ref="D70:M70" si="18">C70-$K11</f>
        <v>99</v>
      </c>
      <c r="E70" s="675">
        <f t="shared" si="18"/>
        <v>98</v>
      </c>
      <c r="F70" s="675">
        <f t="shared" si="18"/>
        <v>97</v>
      </c>
      <c r="G70" s="675">
        <f t="shared" si="18"/>
        <v>96</v>
      </c>
      <c r="H70" s="675">
        <f t="shared" si="18"/>
        <v>95</v>
      </c>
      <c r="I70" s="675">
        <f t="shared" si="18"/>
        <v>94</v>
      </c>
      <c r="J70" s="675">
        <f t="shared" si="18"/>
        <v>93</v>
      </c>
      <c r="K70" s="675">
        <f t="shared" si="18"/>
        <v>92</v>
      </c>
      <c r="L70" s="675">
        <f t="shared" si="18"/>
        <v>91</v>
      </c>
      <c r="M70" s="676">
        <f t="shared" si="18"/>
        <v>90</v>
      </c>
      <c r="N70" s="2163"/>
      <c r="O70" s="2163"/>
      <c r="P70" s="2211"/>
      <c r="Q70" s="2155"/>
      <c r="R70" s="2142"/>
      <c r="S70" s="2142"/>
      <c r="T70" s="2142"/>
      <c r="U70" s="2142"/>
      <c r="V70" s="2142"/>
      <c r="W70" s="2142"/>
      <c r="X70" s="2142"/>
      <c r="Y70" s="2142"/>
      <c r="Z70" s="2142"/>
      <c r="AA70" s="2142"/>
      <c r="AB70" s="2142"/>
      <c r="AC70" s="2142"/>
    </row>
    <row r="71" spans="1:29" s="1335" customFormat="1" ht="15.75" hidden="1" thickTop="1">
      <c r="A71" s="683"/>
      <c r="B71" s="669">
        <f>B12</f>
        <v>111</v>
      </c>
      <c r="C71" s="684"/>
      <c r="D71" s="684"/>
      <c r="E71" s="684"/>
      <c r="F71" s="684"/>
      <c r="G71" s="684"/>
      <c r="H71" s="685"/>
      <c r="I71" s="685"/>
      <c r="J71" s="685"/>
      <c r="K71" s="685"/>
      <c r="L71" s="686"/>
      <c r="M71" s="687"/>
      <c r="N71" s="2164"/>
      <c r="O71" s="2164"/>
      <c r="P71" s="2212"/>
      <c r="Q71" s="2166"/>
      <c r="R71" s="2167"/>
      <c r="S71" s="2167"/>
      <c r="T71" s="2167"/>
      <c r="U71" s="2167"/>
      <c r="V71" s="2167"/>
      <c r="W71" s="2167"/>
      <c r="X71" s="2167"/>
      <c r="Y71" s="2167"/>
      <c r="Z71" s="2167"/>
      <c r="AA71" s="2167"/>
      <c r="AB71" s="2167"/>
      <c r="AC71" s="2167"/>
    </row>
    <row r="72" spans="1:29" s="1335" customFormat="1" ht="15.75" hidden="1" thickBot="1">
      <c r="A72" s="683"/>
      <c r="B72" s="674"/>
      <c r="C72" s="688"/>
      <c r="D72" s="667"/>
      <c r="E72" s="667"/>
      <c r="F72" s="667"/>
      <c r="G72" s="667"/>
      <c r="H72" s="667"/>
      <c r="I72" s="667"/>
      <c r="J72" s="667"/>
      <c r="K72" s="667"/>
      <c r="L72" s="667"/>
      <c r="M72" s="668"/>
      <c r="N72" s="2163"/>
      <c r="O72" s="2163"/>
      <c r="P72" s="2212"/>
      <c r="Q72" s="2166"/>
      <c r="R72" s="2167"/>
      <c r="S72" s="2167"/>
      <c r="T72" s="2167"/>
      <c r="U72" s="2167"/>
      <c r="V72" s="2167"/>
      <c r="W72" s="2167"/>
      <c r="X72" s="2167"/>
      <c r="Y72" s="2167"/>
      <c r="Z72" s="2167"/>
      <c r="AA72" s="2167"/>
      <c r="AB72" s="2167"/>
      <c r="AC72" s="2167"/>
    </row>
    <row r="73" spans="1:29" s="1335" customFormat="1" ht="15.75" hidden="1" thickTop="1">
      <c r="A73" s="683"/>
      <c r="B73" s="669">
        <f>B13</f>
        <v>111</v>
      </c>
      <c r="C73" s="684"/>
      <c r="D73" s="684"/>
      <c r="E73" s="684"/>
      <c r="F73" s="684"/>
      <c r="G73" s="684"/>
      <c r="H73" s="685"/>
      <c r="I73" s="685"/>
      <c r="J73" s="685"/>
      <c r="K73" s="685"/>
      <c r="L73" s="686"/>
      <c r="M73" s="687"/>
      <c r="N73" s="2164"/>
      <c r="O73" s="2164"/>
      <c r="P73" s="2213"/>
      <c r="Q73" s="2169"/>
      <c r="R73" s="2167"/>
      <c r="S73" s="2167"/>
      <c r="T73" s="2167"/>
      <c r="U73" s="2167"/>
      <c r="V73" s="2167"/>
      <c r="W73" s="2167"/>
      <c r="X73" s="2167"/>
      <c r="Y73" s="2167"/>
      <c r="Z73" s="2167"/>
      <c r="AA73" s="2167"/>
      <c r="AB73" s="2167"/>
      <c r="AC73" s="2167"/>
    </row>
    <row r="74" spans="1:29" s="1335" customFormat="1" ht="15.75" hidden="1" thickBot="1">
      <c r="A74" s="683"/>
      <c r="B74" s="674"/>
      <c r="C74" s="688"/>
      <c r="D74" s="688"/>
      <c r="E74" s="688"/>
      <c r="F74" s="688"/>
      <c r="G74" s="688"/>
      <c r="H74" s="689"/>
      <c r="I74" s="689"/>
      <c r="J74" s="689"/>
      <c r="K74" s="689"/>
      <c r="L74" s="689"/>
      <c r="M74" s="690"/>
      <c r="N74" s="2164"/>
      <c r="O74" s="2164"/>
      <c r="P74" s="2212"/>
      <c r="Q74" s="2166"/>
      <c r="R74" s="2167"/>
      <c r="S74" s="2167"/>
      <c r="T74" s="2167"/>
      <c r="U74" s="2167"/>
      <c r="V74" s="2167"/>
      <c r="W74" s="2167"/>
      <c r="X74" s="2167"/>
      <c r="Y74" s="2167"/>
      <c r="Z74" s="2167"/>
      <c r="AA74" s="2167"/>
      <c r="AB74" s="2167"/>
      <c r="AC74" s="2167"/>
    </row>
    <row r="75" spans="1:29" s="1335" customFormat="1" ht="15.75" hidden="1" thickTop="1">
      <c r="A75" s="683"/>
      <c r="B75" s="677">
        <f>B14</f>
        <v>111</v>
      </c>
      <c r="C75" s="657"/>
      <c r="D75" s="657"/>
      <c r="E75" s="657"/>
      <c r="F75" s="657"/>
      <c r="G75" s="657"/>
      <c r="H75" s="691"/>
      <c r="I75" s="691"/>
      <c r="J75" s="691"/>
      <c r="K75" s="691"/>
      <c r="L75" s="692"/>
      <c r="M75" s="693"/>
      <c r="N75" s="2164"/>
      <c r="O75" s="2164"/>
      <c r="P75" s="2214"/>
      <c r="Q75" s="2166"/>
      <c r="R75" s="2167"/>
      <c r="S75" s="2167"/>
      <c r="T75" s="2167"/>
      <c r="U75" s="2167"/>
      <c r="V75" s="2167"/>
      <c r="W75" s="2167"/>
      <c r="X75" s="2167"/>
      <c r="Y75" s="2167"/>
      <c r="Z75" s="2167"/>
      <c r="AA75" s="2167"/>
      <c r="AB75" s="2167"/>
      <c r="AC75" s="2167"/>
    </row>
    <row r="76" spans="1:29" s="1335" customFormat="1" ht="15.75" hidden="1" thickBot="1">
      <c r="A76" s="694"/>
      <c r="B76" s="695"/>
      <c r="C76" s="696"/>
      <c r="D76" s="696"/>
      <c r="E76" s="696"/>
      <c r="F76" s="696"/>
      <c r="G76" s="696"/>
      <c r="H76" s="697"/>
      <c r="I76" s="697"/>
      <c r="J76" s="697"/>
      <c r="K76" s="697"/>
      <c r="L76" s="697"/>
      <c r="M76" s="698"/>
      <c r="N76" s="2164"/>
      <c r="O76" s="2164"/>
      <c r="P76" s="2212"/>
      <c r="Q76" s="2166"/>
      <c r="R76" s="2167"/>
      <c r="S76" s="2167"/>
      <c r="T76" s="2167"/>
      <c r="U76" s="2167"/>
      <c r="V76" s="2167"/>
      <c r="W76" s="2167"/>
      <c r="X76" s="2167"/>
      <c r="Y76" s="2167"/>
      <c r="Z76" s="2167"/>
      <c r="AA76" s="2167"/>
      <c r="AB76" s="2167"/>
      <c r="AC76" s="2167"/>
    </row>
    <row r="77" spans="1:29" ht="15" thickTop="1">
      <c r="A77" s="660" t="s">
        <v>533</v>
      </c>
      <c r="B77" s="661" t="s">
        <v>579</v>
      </c>
      <c r="C77" s="699" t="s">
        <v>573</v>
      </c>
      <c r="D77" s="699" t="s">
        <v>574</v>
      </c>
      <c r="E77" s="699" t="s">
        <v>575</v>
      </c>
      <c r="F77" s="699" t="s">
        <v>576</v>
      </c>
      <c r="G77" s="699" t="s">
        <v>577</v>
      </c>
      <c r="H77" s="700"/>
      <c r="I77" s="700"/>
      <c r="J77" s="700"/>
      <c r="K77" s="701"/>
      <c r="L77" s="702"/>
      <c r="M77" s="703"/>
      <c r="N77" s="2161"/>
      <c r="O77" s="2161"/>
      <c r="P77" s="2215"/>
      <c r="Q77" s="2155"/>
      <c r="R77" s="2142"/>
      <c r="S77" s="2142"/>
      <c r="T77" s="2142"/>
      <c r="U77" s="2142"/>
      <c r="V77" s="2142"/>
      <c r="W77" s="2142"/>
      <c r="X77" s="2142"/>
      <c r="Y77" s="2142"/>
      <c r="Z77" s="2142"/>
      <c r="AA77" s="2142"/>
      <c r="AB77" s="2142"/>
      <c r="AC77" s="2142"/>
    </row>
    <row r="78" spans="1:29" ht="15.75" thickBot="1">
      <c r="A78" s="665"/>
      <c r="B78" s="674"/>
      <c r="C78" s="675">
        <v>100</v>
      </c>
      <c r="D78" s="675">
        <f>C78-$K15</f>
        <v>98</v>
      </c>
      <c r="E78" s="675">
        <f>D78-$K15</f>
        <v>96</v>
      </c>
      <c r="F78" s="675">
        <f>E78-$K15</f>
        <v>94</v>
      </c>
      <c r="G78" s="675">
        <f>F78-$K15</f>
        <v>92</v>
      </c>
      <c r="H78" s="675"/>
      <c r="I78" s="675"/>
      <c r="J78" s="675"/>
      <c r="K78" s="675"/>
      <c r="L78" s="675"/>
      <c r="M78" s="676"/>
      <c r="N78" s="2163"/>
      <c r="O78" s="2163"/>
      <c r="P78" s="2211"/>
      <c r="Q78" s="2155"/>
      <c r="R78" s="2142"/>
      <c r="S78" s="2142"/>
      <c r="T78" s="2142"/>
      <c r="U78" s="2142"/>
      <c r="V78" s="2142"/>
      <c r="W78" s="2142"/>
      <c r="X78" s="2142"/>
      <c r="Y78" s="2142"/>
      <c r="Z78" s="2142"/>
      <c r="AA78" s="2142"/>
      <c r="AB78" s="2142"/>
      <c r="AC78" s="2142"/>
    </row>
    <row r="79" spans="1:29" ht="15.75" thickTop="1">
      <c r="A79" s="665"/>
      <c r="B79" s="669" t="s">
        <v>580</v>
      </c>
      <c r="C79" s="704" t="s">
        <v>573</v>
      </c>
      <c r="D79" s="704" t="s">
        <v>574</v>
      </c>
      <c r="E79" s="704" t="s">
        <v>575</v>
      </c>
      <c r="F79" s="704" t="s">
        <v>576</v>
      </c>
      <c r="G79" s="704" t="s">
        <v>577</v>
      </c>
      <c r="H79" s="670"/>
      <c r="I79" s="670"/>
      <c r="J79" s="670"/>
      <c r="K79" s="671"/>
      <c r="L79" s="672"/>
      <c r="M79" s="673"/>
      <c r="N79" s="2161"/>
      <c r="O79" s="2161"/>
      <c r="P79" s="2211"/>
      <c r="Q79" s="2155"/>
      <c r="R79" s="2142"/>
      <c r="S79" s="2142"/>
      <c r="T79" s="2142"/>
      <c r="U79" s="2142"/>
      <c r="V79" s="2142"/>
      <c r="W79" s="2142"/>
      <c r="X79" s="2142"/>
      <c r="Y79" s="2142"/>
      <c r="Z79" s="2142"/>
      <c r="AA79" s="2142"/>
      <c r="AB79" s="2142"/>
      <c r="AC79" s="2142"/>
    </row>
    <row r="80" spans="1:29" ht="15.75" thickBot="1">
      <c r="A80" s="665"/>
      <c r="B80" s="674"/>
      <c r="C80" s="675">
        <v>100</v>
      </c>
      <c r="D80" s="675">
        <f>C80-$K17</f>
        <v>98</v>
      </c>
      <c r="E80" s="675">
        <f>D80-$K17</f>
        <v>96</v>
      </c>
      <c r="F80" s="675">
        <f>E80-$K17</f>
        <v>94</v>
      </c>
      <c r="G80" s="675">
        <f>F80-$K17</f>
        <v>92</v>
      </c>
      <c r="H80" s="675"/>
      <c r="I80" s="675"/>
      <c r="J80" s="675"/>
      <c r="K80" s="675"/>
      <c r="L80" s="675"/>
      <c r="M80" s="676"/>
      <c r="N80" s="2163"/>
      <c r="O80" s="2163"/>
      <c r="P80" s="2211"/>
      <c r="Q80" s="2155"/>
      <c r="R80" s="2142"/>
      <c r="S80" s="2142"/>
      <c r="T80" s="2142"/>
      <c r="U80" s="2142"/>
      <c r="V80" s="2142"/>
      <c r="W80" s="2142"/>
      <c r="X80" s="2142"/>
      <c r="Y80" s="2142"/>
      <c r="Z80" s="2142"/>
      <c r="AA80" s="2142"/>
      <c r="AB80" s="2142"/>
      <c r="AC80" s="2142"/>
    </row>
    <row r="81" spans="1:29" ht="15.75" thickTop="1">
      <c r="A81" s="665"/>
      <c r="B81" s="1893" t="s">
        <v>2552</v>
      </c>
      <c r="C81" s="704" t="s">
        <v>573</v>
      </c>
      <c r="D81" s="704" t="s">
        <v>574</v>
      </c>
      <c r="E81" s="704" t="s">
        <v>575</v>
      </c>
      <c r="F81" s="704" t="s">
        <v>576</v>
      </c>
      <c r="G81" s="704" t="s">
        <v>577</v>
      </c>
      <c r="H81" s="670"/>
      <c r="I81" s="670"/>
      <c r="J81" s="670"/>
      <c r="K81" s="671"/>
      <c r="L81" s="672"/>
      <c r="M81" s="673"/>
      <c r="N81" s="2161"/>
      <c r="O81" s="2161"/>
      <c r="P81" s="2211"/>
      <c r="Q81" s="2155"/>
      <c r="R81" s="2142"/>
      <c r="S81" s="2142"/>
      <c r="T81" s="2142"/>
      <c r="U81" s="2142"/>
      <c r="V81" s="2142"/>
      <c r="W81" s="2142"/>
      <c r="X81" s="2142"/>
      <c r="Y81" s="2142"/>
      <c r="Z81" s="2142"/>
      <c r="AA81" s="2142"/>
      <c r="AB81" s="2142"/>
      <c r="AC81" s="2142"/>
    </row>
    <row r="82" spans="1:29" ht="15.75" thickBot="1">
      <c r="A82" s="665"/>
      <c r="B82" s="674"/>
      <c r="C82" s="675">
        <v>100</v>
      </c>
      <c r="D82" s="675">
        <f>C82-$K19</f>
        <v>98</v>
      </c>
      <c r="E82" s="675">
        <f>D82-$K19</f>
        <v>96</v>
      </c>
      <c r="F82" s="675">
        <f>E82-$K19</f>
        <v>94</v>
      </c>
      <c r="G82" s="675">
        <f>F82-$K19</f>
        <v>92</v>
      </c>
      <c r="H82" s="675"/>
      <c r="I82" s="675"/>
      <c r="J82" s="675"/>
      <c r="K82" s="675"/>
      <c r="L82" s="675"/>
      <c r="M82" s="676"/>
      <c r="N82" s="2163"/>
      <c r="O82" s="2163"/>
      <c r="P82" s="2211"/>
      <c r="Q82" s="2155"/>
      <c r="R82" s="2142"/>
      <c r="S82" s="2142"/>
      <c r="T82" s="2142"/>
      <c r="U82" s="2142"/>
      <c r="V82" s="2142"/>
      <c r="W82" s="2142"/>
      <c r="X82" s="2142"/>
      <c r="Y82" s="2142"/>
      <c r="Z82" s="2142"/>
      <c r="AA82" s="2142"/>
      <c r="AB82" s="2142"/>
      <c r="AC82" s="2142"/>
    </row>
    <row r="83" spans="1:29" ht="15.75" thickTop="1">
      <c r="A83" s="665"/>
      <c r="B83" s="2594" t="s">
        <v>2553</v>
      </c>
      <c r="C83" s="2595" t="s">
        <v>2554</v>
      </c>
      <c r="D83" s="2595" t="s">
        <v>2555</v>
      </c>
      <c r="E83" s="2595" t="s">
        <v>2556</v>
      </c>
      <c r="F83" s="2595" t="s">
        <v>2557</v>
      </c>
      <c r="G83" s="2595" t="s">
        <v>2558</v>
      </c>
      <c r="H83" s="670"/>
      <c r="I83" s="670"/>
      <c r="J83" s="670"/>
      <c r="K83" s="670"/>
      <c r="L83" s="670"/>
      <c r="M83" s="2598"/>
      <c r="N83" s="2163"/>
      <c r="O83" s="2163"/>
      <c r="P83" s="2211"/>
      <c r="Q83" s="2155"/>
      <c r="R83" s="2142"/>
      <c r="S83" s="2142"/>
      <c r="T83" s="2142"/>
      <c r="U83" s="2142"/>
      <c r="V83" s="2142"/>
      <c r="W83" s="2142"/>
      <c r="X83" s="2142"/>
      <c r="Y83" s="2142"/>
      <c r="Z83" s="2142"/>
      <c r="AA83" s="2142"/>
      <c r="AB83" s="2142"/>
      <c r="AC83" s="2142"/>
    </row>
    <row r="84" spans="1:29" ht="15.75" thickBot="1">
      <c r="A84" s="665"/>
      <c r="B84" s="677"/>
      <c r="C84" s="675">
        <v>100</v>
      </c>
      <c r="D84" s="675">
        <f>C84-$K21</f>
        <v>99</v>
      </c>
      <c r="E84" s="675">
        <f>D84-$K21</f>
        <v>98</v>
      </c>
      <c r="F84" s="675">
        <f>E84-$K21</f>
        <v>97</v>
      </c>
      <c r="G84" s="675">
        <f>F84-$K21</f>
        <v>96</v>
      </c>
      <c r="H84" s="931"/>
      <c r="I84" s="931"/>
      <c r="J84" s="931"/>
      <c r="K84" s="931"/>
      <c r="L84" s="931"/>
      <c r="M84" s="555"/>
      <c r="N84" s="2163"/>
      <c r="O84" s="2163"/>
      <c r="P84" s="2211"/>
      <c r="Q84" s="2155"/>
      <c r="R84" s="2142"/>
      <c r="S84" s="2142"/>
      <c r="T84" s="2142"/>
      <c r="U84" s="2142"/>
      <c r="V84" s="2142"/>
      <c r="W84" s="2142"/>
      <c r="X84" s="2142"/>
      <c r="Y84" s="2142"/>
      <c r="Z84" s="2142"/>
      <c r="AA84" s="2142"/>
      <c r="AB84" s="2142"/>
      <c r="AC84" s="2142"/>
    </row>
    <row r="85" spans="1:29" ht="15.75" thickTop="1">
      <c r="A85" s="665"/>
      <c r="B85" s="669" t="s">
        <v>778</v>
      </c>
      <c r="C85" s="704" t="s">
        <v>573</v>
      </c>
      <c r="D85" s="704" t="s">
        <v>574</v>
      </c>
      <c r="E85" s="704" t="s">
        <v>575</v>
      </c>
      <c r="F85" s="704" t="s">
        <v>576</v>
      </c>
      <c r="G85" s="704" t="s">
        <v>577</v>
      </c>
      <c r="H85" s="670"/>
      <c r="I85" s="670"/>
      <c r="J85" s="670"/>
      <c r="K85" s="671"/>
      <c r="L85" s="672"/>
      <c r="M85" s="673"/>
      <c r="N85" s="2161"/>
      <c r="O85" s="2161"/>
      <c r="P85" s="2211"/>
      <c r="Q85" s="2155"/>
      <c r="R85" s="2142"/>
      <c r="S85" s="2142"/>
      <c r="T85" s="2142"/>
      <c r="U85" s="2142"/>
      <c r="V85" s="2142"/>
      <c r="W85" s="2142"/>
      <c r="X85" s="2142"/>
      <c r="Y85" s="2142"/>
      <c r="Z85" s="2142"/>
      <c r="AA85" s="2142"/>
      <c r="AB85" s="2142"/>
      <c r="AC85" s="2142"/>
    </row>
    <row r="86" spans="1:29" ht="15.75" thickBot="1">
      <c r="A86" s="665"/>
      <c r="B86" s="674"/>
      <c r="C86" s="675">
        <v>100</v>
      </c>
      <c r="D86" s="675">
        <f>C86-$K23</f>
        <v>99</v>
      </c>
      <c r="E86" s="675">
        <f>D86-$K23</f>
        <v>98</v>
      </c>
      <c r="F86" s="675">
        <f>E86-$K23</f>
        <v>97</v>
      </c>
      <c r="G86" s="675">
        <f>F86-$K23</f>
        <v>96</v>
      </c>
      <c r="H86" s="675"/>
      <c r="I86" s="675"/>
      <c r="J86" s="675"/>
      <c r="K86" s="675"/>
      <c r="L86" s="675"/>
      <c r="M86" s="676"/>
      <c r="N86" s="2163"/>
      <c r="O86" s="2163"/>
      <c r="P86" s="2211"/>
      <c r="Q86" s="2155"/>
      <c r="R86" s="2142"/>
      <c r="S86" s="2142"/>
      <c r="T86" s="2142"/>
      <c r="U86" s="2142"/>
      <c r="V86" s="2142"/>
      <c r="W86" s="2142"/>
      <c r="X86" s="2142"/>
      <c r="Y86" s="2142"/>
      <c r="Z86" s="2142"/>
      <c r="AA86" s="2142"/>
      <c r="AB86" s="2142"/>
      <c r="AC86" s="2142"/>
    </row>
    <row r="87" spans="1:29" s="1216" customFormat="1" ht="27.75" thickTop="1">
      <c r="A87" s="705"/>
      <c r="B87" s="669" t="s">
        <v>779</v>
      </c>
      <c r="C87" s="3262" t="s">
        <v>3106</v>
      </c>
      <c r="D87" s="3262" t="s">
        <v>3107</v>
      </c>
      <c r="E87" s="3262" t="s">
        <v>3108</v>
      </c>
      <c r="F87" s="3262" t="s">
        <v>3109</v>
      </c>
      <c r="G87" s="3262" t="s">
        <v>3110</v>
      </c>
      <c r="H87" s="684"/>
      <c r="I87" s="684"/>
      <c r="J87" s="684"/>
      <c r="K87" s="684"/>
      <c r="L87" s="886"/>
      <c r="M87" s="887"/>
      <c r="N87" s="2159"/>
      <c r="O87" s="2159"/>
      <c r="P87" s="2211"/>
      <c r="Q87" s="2155"/>
      <c r="R87" s="1990"/>
      <c r="S87" s="1990"/>
      <c r="T87" s="1990"/>
      <c r="U87" s="1990"/>
      <c r="V87" s="1990"/>
      <c r="W87" s="1990"/>
      <c r="X87" s="1990"/>
      <c r="Y87" s="1990"/>
      <c r="Z87" s="1990"/>
      <c r="AA87" s="1990"/>
      <c r="AB87" s="1990"/>
      <c r="AC87" s="1990"/>
    </row>
    <row r="88" spans="1:29" s="1216" customFormat="1" ht="15.75" thickBot="1">
      <c r="A88" s="705"/>
      <c r="B88" s="674"/>
      <c r="C88" s="708">
        <v>100</v>
      </c>
      <c r="D88" s="675">
        <f t="shared" ref="D88:M88" si="19">C88-$K25</f>
        <v>98</v>
      </c>
      <c r="E88" s="675">
        <f t="shared" si="19"/>
        <v>96</v>
      </c>
      <c r="F88" s="675">
        <f t="shared" si="19"/>
        <v>94</v>
      </c>
      <c r="G88" s="675">
        <f t="shared" si="19"/>
        <v>92</v>
      </c>
      <c r="H88" s="675">
        <f t="shared" si="19"/>
        <v>90</v>
      </c>
      <c r="I88" s="675">
        <f t="shared" si="19"/>
        <v>88</v>
      </c>
      <c r="J88" s="675">
        <f t="shared" si="19"/>
        <v>86</v>
      </c>
      <c r="K88" s="675">
        <f t="shared" si="19"/>
        <v>84</v>
      </c>
      <c r="L88" s="675">
        <f t="shared" si="19"/>
        <v>82</v>
      </c>
      <c r="M88" s="675">
        <f t="shared" si="19"/>
        <v>80</v>
      </c>
      <c r="N88" s="2163"/>
      <c r="O88" s="2163"/>
      <c r="P88" s="2211"/>
      <c r="Q88" s="2155"/>
      <c r="R88" s="1990"/>
      <c r="S88" s="1990"/>
      <c r="T88" s="1990"/>
      <c r="U88" s="1990"/>
      <c r="V88" s="1990"/>
      <c r="W88" s="1990"/>
      <c r="X88" s="1990"/>
      <c r="Y88" s="1990"/>
      <c r="Z88" s="1990"/>
      <c r="AA88" s="1990"/>
      <c r="AB88" s="1990"/>
      <c r="AC88" s="1990"/>
    </row>
    <row r="89" spans="1:29" s="1216" customFormat="1" ht="15.75" hidden="1" thickTop="1">
      <c r="A89" s="705"/>
      <c r="B89" s="669" t="str">
        <f>B27</f>
        <v>楼层</v>
      </c>
      <c r="C89" s="684"/>
      <c r="D89" s="684"/>
      <c r="E89" s="684"/>
      <c r="F89" s="888"/>
      <c r="G89" s="684"/>
      <c r="H89" s="684"/>
      <c r="I89" s="684"/>
      <c r="J89" s="684"/>
      <c r="K89" s="684"/>
      <c r="L89" s="684"/>
      <c r="M89" s="887"/>
      <c r="N89" s="2159"/>
      <c r="O89" s="2159"/>
      <c r="P89" s="2211"/>
      <c r="Q89" s="2155"/>
      <c r="R89" s="1990"/>
      <c r="S89" s="1990"/>
      <c r="T89" s="1990"/>
      <c r="U89" s="1990"/>
      <c r="V89" s="1990"/>
      <c r="W89" s="1990"/>
      <c r="X89" s="1990"/>
      <c r="Y89" s="1990"/>
      <c r="Z89" s="1990"/>
      <c r="AA89" s="1990"/>
      <c r="AB89" s="1990"/>
      <c r="AC89" s="1990"/>
    </row>
    <row r="90" spans="1:29" s="1216" customFormat="1" ht="15.75" hidden="1"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3"/>
      <c r="O90" s="2163"/>
      <c r="P90" s="2211"/>
      <c r="Q90" s="2155"/>
      <c r="R90" s="1990"/>
      <c r="S90" s="1990"/>
      <c r="T90" s="1990"/>
      <c r="U90" s="1990"/>
      <c r="V90" s="1990"/>
      <c r="W90" s="1990"/>
      <c r="X90" s="1990"/>
      <c r="Y90" s="1990"/>
      <c r="Z90" s="1990"/>
      <c r="AA90" s="1990"/>
      <c r="AB90" s="1990"/>
      <c r="AC90" s="1990"/>
    </row>
    <row r="91" spans="1:29" s="1335" customFormat="1" ht="15.75" hidden="1" thickTop="1">
      <c r="A91" s="683"/>
      <c r="B91" s="669" t="str">
        <f>B28</f>
        <v>朝向</v>
      </c>
      <c r="C91" s="684"/>
      <c r="D91" s="684"/>
      <c r="E91" s="684"/>
      <c r="F91" s="684"/>
      <c r="G91" s="684"/>
      <c r="H91" s="685"/>
      <c r="I91" s="685"/>
      <c r="J91" s="685"/>
      <c r="K91" s="685"/>
      <c r="L91" s="686"/>
      <c r="M91" s="687"/>
      <c r="N91" s="2164"/>
      <c r="O91" s="2164"/>
      <c r="P91" s="2212"/>
      <c r="Q91" s="2166"/>
      <c r="R91" s="2167"/>
      <c r="S91" s="2167"/>
      <c r="T91" s="2167"/>
      <c r="U91" s="2167"/>
      <c r="V91" s="2167"/>
      <c r="W91" s="2167"/>
      <c r="X91" s="2167"/>
      <c r="Y91" s="2167"/>
      <c r="Z91" s="2167"/>
      <c r="AA91" s="2167"/>
      <c r="AB91" s="2167"/>
      <c r="AC91" s="2167"/>
    </row>
    <row r="92" spans="1:29" s="1335" customFormat="1" ht="15.75" hidden="1"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4"/>
      <c r="O92" s="2164"/>
      <c r="P92" s="2212"/>
      <c r="Q92" s="2166"/>
      <c r="R92" s="2167"/>
      <c r="S92" s="2167"/>
      <c r="T92" s="2167"/>
      <c r="U92" s="2167"/>
      <c r="V92" s="2167"/>
      <c r="W92" s="2167"/>
      <c r="X92" s="2167"/>
      <c r="Y92" s="2167"/>
      <c r="Z92" s="2167"/>
      <c r="AA92" s="2167"/>
      <c r="AB92" s="2167"/>
      <c r="AC92" s="2167"/>
    </row>
    <row r="93" spans="1:29" ht="15.75" hidden="1" thickTop="1">
      <c r="A93" s="665"/>
      <c r="B93" s="669">
        <f>B29</f>
        <v>111</v>
      </c>
      <c r="C93" s="684"/>
      <c r="D93" s="684"/>
      <c r="E93" s="684"/>
      <c r="F93" s="684"/>
      <c r="G93" s="684"/>
      <c r="H93" s="684"/>
      <c r="I93" s="684"/>
      <c r="J93" s="684"/>
      <c r="K93" s="684"/>
      <c r="L93" s="886"/>
      <c r="M93" s="887"/>
      <c r="N93" s="2161"/>
      <c r="O93" s="2161"/>
      <c r="P93" s="2211"/>
      <c r="Q93" s="2155"/>
      <c r="R93" s="2142"/>
      <c r="S93" s="2142"/>
      <c r="T93" s="2142"/>
      <c r="U93" s="2142"/>
      <c r="V93" s="2142"/>
      <c r="W93" s="2142"/>
      <c r="X93" s="2142"/>
      <c r="Y93" s="2142"/>
      <c r="Z93" s="2142"/>
      <c r="AA93" s="2142"/>
      <c r="AB93" s="2142"/>
      <c r="AC93" s="2142"/>
    </row>
    <row r="94" spans="1:29" ht="15.75" hidden="1" thickBot="1">
      <c r="A94" s="665"/>
      <c r="B94" s="674"/>
      <c r="C94" s="688"/>
      <c r="D94" s="667"/>
      <c r="E94" s="667"/>
      <c r="F94" s="667"/>
      <c r="G94" s="667"/>
      <c r="H94" s="667"/>
      <c r="I94" s="667"/>
      <c r="J94" s="667"/>
      <c r="K94" s="667"/>
      <c r="L94" s="667"/>
      <c r="M94" s="668"/>
      <c r="N94" s="2163"/>
      <c r="O94" s="2163"/>
      <c r="P94" s="2211"/>
      <c r="Q94" s="2155"/>
      <c r="R94" s="2142"/>
      <c r="S94" s="2142"/>
      <c r="T94" s="2142"/>
      <c r="U94" s="2142"/>
      <c r="V94" s="2142"/>
      <c r="W94" s="2142"/>
      <c r="X94" s="2142"/>
      <c r="Y94" s="2142"/>
      <c r="Z94" s="2142"/>
      <c r="AA94" s="2142"/>
      <c r="AB94" s="2142"/>
      <c r="AC94" s="2142"/>
    </row>
    <row r="95" spans="1:29" ht="15.75" hidden="1" thickTop="1">
      <c r="A95" s="665"/>
      <c r="B95" s="669">
        <f>B30</f>
        <v>111</v>
      </c>
      <c r="C95" s="684"/>
      <c r="D95" s="684"/>
      <c r="E95" s="684"/>
      <c r="F95" s="684"/>
      <c r="G95" s="714"/>
      <c r="H95" s="714"/>
      <c r="I95" s="714"/>
      <c r="J95" s="714"/>
      <c r="K95" s="715"/>
      <c r="L95" s="716"/>
      <c r="M95" s="717"/>
      <c r="N95" s="2161"/>
      <c r="O95" s="2161"/>
      <c r="P95" s="2211"/>
      <c r="Q95" s="2155"/>
      <c r="R95" s="2142"/>
      <c r="S95" s="2142"/>
      <c r="T95" s="2142"/>
      <c r="U95" s="2142"/>
      <c r="V95" s="2142"/>
      <c r="W95" s="2142"/>
      <c r="X95" s="2142"/>
      <c r="Y95" s="2142"/>
      <c r="Z95" s="2142"/>
      <c r="AA95" s="2142"/>
      <c r="AB95" s="2142"/>
      <c r="AC95" s="2142"/>
    </row>
    <row r="96" spans="1:29" ht="15.75" hidden="1" thickBot="1">
      <c r="A96" s="665"/>
      <c r="B96" s="674"/>
      <c r="C96" s="688"/>
      <c r="D96" s="688"/>
      <c r="E96" s="688"/>
      <c r="F96" s="688"/>
      <c r="G96" s="667"/>
      <c r="H96" s="667"/>
      <c r="I96" s="667"/>
      <c r="J96" s="667"/>
      <c r="K96" s="667"/>
      <c r="L96" s="667"/>
      <c r="M96" s="668"/>
      <c r="N96" s="2163"/>
      <c r="O96" s="2163"/>
      <c r="P96" s="2211"/>
      <c r="Q96" s="2155"/>
      <c r="R96" s="2142"/>
      <c r="S96" s="2142"/>
      <c r="T96" s="2142"/>
      <c r="U96" s="2142"/>
      <c r="V96" s="2142"/>
      <c r="W96" s="2142"/>
      <c r="X96" s="2142"/>
      <c r="Y96" s="2142"/>
      <c r="Z96" s="2142"/>
      <c r="AA96" s="2142"/>
      <c r="AB96" s="2142"/>
      <c r="AC96" s="2142"/>
    </row>
    <row r="97" spans="1:29" ht="15.75" hidden="1" thickTop="1">
      <c r="A97" s="665"/>
      <c r="B97" s="669">
        <f>B31</f>
        <v>111</v>
      </c>
      <c r="C97" s="684"/>
      <c r="D97" s="684"/>
      <c r="E97" s="684"/>
      <c r="F97" s="684"/>
      <c r="G97" s="714"/>
      <c r="H97" s="714"/>
      <c r="I97" s="714"/>
      <c r="J97" s="714"/>
      <c r="K97" s="715"/>
      <c r="L97" s="716"/>
      <c r="M97" s="717"/>
      <c r="N97" s="2161"/>
      <c r="O97" s="2161"/>
      <c r="P97" s="2211"/>
      <c r="Q97" s="2155"/>
      <c r="R97" s="2142"/>
      <c r="S97" s="2142"/>
      <c r="T97" s="2142"/>
      <c r="U97" s="2142"/>
      <c r="V97" s="2142"/>
      <c r="W97" s="2142"/>
      <c r="X97" s="2142"/>
      <c r="Y97" s="2142"/>
      <c r="Z97" s="2142"/>
      <c r="AA97" s="2142"/>
      <c r="AB97" s="2142"/>
      <c r="AC97" s="2142"/>
    </row>
    <row r="98" spans="1:29" ht="15.75" hidden="1" thickBot="1">
      <c r="A98" s="665"/>
      <c r="B98" s="674"/>
      <c r="C98" s="688"/>
      <c r="D98" s="667"/>
      <c r="E98" s="667"/>
      <c r="F98" s="667"/>
      <c r="G98" s="667"/>
      <c r="H98" s="667"/>
      <c r="I98" s="667"/>
      <c r="J98" s="667"/>
      <c r="K98" s="667"/>
      <c r="L98" s="667"/>
      <c r="M98" s="668"/>
      <c r="N98" s="2163"/>
      <c r="O98" s="2163"/>
      <c r="P98" s="2211"/>
      <c r="Q98" s="2155"/>
      <c r="R98" s="2142"/>
      <c r="S98" s="2142"/>
      <c r="T98" s="2142"/>
      <c r="U98" s="2142"/>
      <c r="V98" s="2142"/>
      <c r="W98" s="2142"/>
      <c r="X98" s="2142"/>
      <c r="Y98" s="2142"/>
      <c r="Z98" s="2142"/>
      <c r="AA98" s="2142"/>
      <c r="AB98" s="2142"/>
      <c r="AC98" s="2142"/>
    </row>
    <row r="99" spans="1:29" ht="15.75" hidden="1" thickTop="1">
      <c r="A99" s="665"/>
      <c r="B99" s="677">
        <f>B32</f>
        <v>111</v>
      </c>
      <c r="C99" s="657"/>
      <c r="D99" s="657"/>
      <c r="E99" s="657"/>
      <c r="F99" s="657"/>
      <c r="G99" s="718"/>
      <c r="H99" s="718"/>
      <c r="I99" s="718"/>
      <c r="J99" s="718"/>
      <c r="K99" s="719"/>
      <c r="L99" s="720"/>
      <c r="M99" s="721"/>
      <c r="N99" s="2161"/>
      <c r="O99" s="2161"/>
      <c r="P99" s="2211"/>
      <c r="Q99" s="2155"/>
      <c r="R99" s="2142"/>
      <c r="S99" s="2142"/>
      <c r="T99" s="2142"/>
      <c r="U99" s="2142"/>
      <c r="V99" s="2142"/>
      <c r="W99" s="2142"/>
      <c r="X99" s="2142"/>
      <c r="Y99" s="2142"/>
      <c r="Z99" s="2142"/>
      <c r="AA99" s="2142"/>
      <c r="AB99" s="2142"/>
      <c r="AC99" s="2142"/>
    </row>
    <row r="100" spans="1:29" ht="15.75" hidden="1" thickBot="1">
      <c r="A100" s="889"/>
      <c r="B100" s="695"/>
      <c r="C100" s="696"/>
      <c r="D100" s="696"/>
      <c r="E100" s="696"/>
      <c r="F100" s="696"/>
      <c r="G100" s="722"/>
      <c r="H100" s="722"/>
      <c r="I100" s="722"/>
      <c r="J100" s="722"/>
      <c r="K100" s="722"/>
      <c r="L100" s="722"/>
      <c r="M100" s="723"/>
      <c r="N100" s="2163"/>
      <c r="O100" s="2163"/>
      <c r="P100" s="2211"/>
      <c r="Q100" s="2155"/>
      <c r="R100" s="2142"/>
      <c r="S100" s="2142"/>
      <c r="T100" s="2142"/>
      <c r="U100" s="2142"/>
      <c r="V100" s="2142"/>
      <c r="W100" s="2142"/>
      <c r="X100" s="2142"/>
      <c r="Y100" s="2142"/>
      <c r="Z100" s="2142"/>
      <c r="AA100" s="2142"/>
      <c r="AB100" s="2142"/>
      <c r="AC100" s="2142"/>
    </row>
    <row r="101" spans="1:29" ht="15" thickTop="1">
      <c r="A101" s="660" t="s">
        <v>545</v>
      </c>
      <c r="B101" s="661" t="s">
        <v>741</v>
      </c>
      <c r="C101" s="3264" t="s">
        <v>3190</v>
      </c>
      <c r="D101" s="594"/>
      <c r="E101" s="594"/>
      <c r="F101" s="594"/>
      <c r="G101" s="594"/>
      <c r="H101" s="594"/>
      <c r="I101" s="594"/>
      <c r="J101" s="594"/>
      <c r="K101" s="662"/>
      <c r="L101" s="663"/>
      <c r="M101" s="664"/>
      <c r="N101" s="2161"/>
      <c r="O101" s="2161"/>
      <c r="P101" s="2211"/>
      <c r="Q101" s="2155"/>
      <c r="R101" s="2142"/>
      <c r="S101" s="2142"/>
      <c r="T101" s="2142"/>
      <c r="U101" s="2142"/>
      <c r="V101" s="2142"/>
      <c r="W101" s="2142"/>
      <c r="X101" s="2142"/>
      <c r="Y101" s="2142"/>
      <c r="Z101" s="2142"/>
      <c r="AA101" s="2142"/>
      <c r="AB101" s="2142"/>
      <c r="AC101" s="2142"/>
    </row>
    <row r="102" spans="1:29" ht="15.75" thickBot="1">
      <c r="A102" s="665"/>
      <c r="B102" s="674"/>
      <c r="C102" s="675">
        <v>100</v>
      </c>
      <c r="D102" s="675">
        <f t="shared" ref="D102:M102" si="22">C102-$K33</f>
        <v>99</v>
      </c>
      <c r="E102" s="675">
        <f t="shared" si="22"/>
        <v>98</v>
      </c>
      <c r="F102" s="675">
        <f t="shared" si="22"/>
        <v>97</v>
      </c>
      <c r="G102" s="675">
        <f t="shared" si="22"/>
        <v>96</v>
      </c>
      <c r="H102" s="675">
        <f t="shared" si="22"/>
        <v>95</v>
      </c>
      <c r="I102" s="675">
        <f t="shared" si="22"/>
        <v>94</v>
      </c>
      <c r="J102" s="675">
        <f t="shared" si="22"/>
        <v>93</v>
      </c>
      <c r="K102" s="675">
        <f t="shared" si="22"/>
        <v>92</v>
      </c>
      <c r="L102" s="675">
        <f t="shared" si="22"/>
        <v>91</v>
      </c>
      <c r="M102" s="676">
        <f t="shared" si="22"/>
        <v>90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5"/>
      <c r="B103" s="669" t="s">
        <v>742</v>
      </c>
      <c r="C103" s="704" t="str">
        <f>C104&amp;"(含)"&amp;"-"&amp;D104</f>
        <v>1(含)-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4"/>
      <c r="B104" s="725"/>
      <c r="C104" s="726">
        <v>1</v>
      </c>
      <c r="D104" s="726"/>
      <c r="E104" s="726"/>
      <c r="F104" s="726"/>
      <c r="G104" s="726"/>
      <c r="H104" s="726"/>
      <c r="I104" s="726"/>
      <c r="J104" s="727"/>
      <c r="K104" s="727"/>
      <c r="L104" s="728"/>
      <c r="M104" s="729"/>
      <c r="N104" s="2164"/>
      <c r="O104" s="2164"/>
      <c r="P104" s="2212"/>
      <c r="Q104" s="2166"/>
      <c r="R104" s="2167"/>
      <c r="S104" s="2167"/>
      <c r="T104" s="2167"/>
      <c r="U104" s="2167"/>
      <c r="V104" s="2167"/>
      <c r="W104" s="2167"/>
      <c r="X104" s="2167"/>
      <c r="Y104" s="2167"/>
      <c r="Z104" s="2167"/>
      <c r="AA104" s="2167"/>
      <c r="AB104" s="2167"/>
      <c r="AC104" s="2167"/>
    </row>
    <row r="105" spans="1:29" s="1335" customFormat="1" ht="15.75" thickBot="1">
      <c r="A105" s="683"/>
      <c r="B105" s="674"/>
      <c r="C105" s="688">
        <v>100</v>
      </c>
      <c r="D105" s="667"/>
      <c r="E105" s="667"/>
      <c r="F105" s="667"/>
      <c r="G105" s="667"/>
      <c r="H105" s="667"/>
      <c r="I105" s="667"/>
      <c r="J105" s="667"/>
      <c r="K105" s="667"/>
      <c r="L105" s="667"/>
      <c r="M105" s="668"/>
      <c r="N105" s="2163"/>
      <c r="O105" s="2163"/>
      <c r="P105" s="2212"/>
      <c r="Q105" s="2166"/>
      <c r="R105" s="2167"/>
      <c r="S105" s="2167"/>
      <c r="T105" s="2167"/>
      <c r="U105" s="2167"/>
      <c r="V105" s="2167"/>
      <c r="W105" s="2167"/>
      <c r="X105" s="2167"/>
      <c r="Y105" s="2167"/>
      <c r="Z105" s="2167"/>
      <c r="AA105" s="2167"/>
      <c r="AB105" s="2167"/>
      <c r="AC105" s="2167"/>
    </row>
    <row r="106" spans="1:29" ht="15" thickTop="1">
      <c r="A106" s="731"/>
      <c r="B106" s="669" t="s">
        <v>743</v>
      </c>
      <c r="C106" s="3261" t="s">
        <v>3173</v>
      </c>
      <c r="D106" s="3261" t="s">
        <v>3174</v>
      </c>
      <c r="E106" s="714"/>
      <c r="F106" s="714"/>
      <c r="G106" s="714"/>
      <c r="H106" s="714"/>
      <c r="I106" s="714"/>
      <c r="J106" s="714"/>
      <c r="K106" s="715"/>
      <c r="L106" s="716"/>
      <c r="M106" s="717"/>
      <c r="N106" s="2161"/>
      <c r="O106" s="2161"/>
      <c r="P106" s="2211"/>
      <c r="Q106" s="2155"/>
      <c r="R106" s="2142"/>
      <c r="S106" s="2142"/>
      <c r="T106" s="2142"/>
      <c r="U106" s="2142"/>
      <c r="V106" s="2142"/>
      <c r="W106" s="2142"/>
      <c r="X106" s="2142"/>
      <c r="Y106" s="2142"/>
      <c r="Z106" s="2142"/>
      <c r="AA106" s="2142"/>
      <c r="AB106" s="2142"/>
      <c r="AC106" s="2142"/>
    </row>
    <row r="107" spans="1:29" ht="15.75" thickBot="1">
      <c r="A107" s="665"/>
      <c r="B107" s="674"/>
      <c r="C107" s="675">
        <v>100</v>
      </c>
      <c r="D107" s="675">
        <f t="shared" ref="D107:M107" si="24">C107-$K35</f>
        <v>98</v>
      </c>
      <c r="E107" s="675">
        <f t="shared" si="24"/>
        <v>96</v>
      </c>
      <c r="F107" s="675">
        <f t="shared" si="24"/>
        <v>94</v>
      </c>
      <c r="G107" s="675">
        <f t="shared" si="24"/>
        <v>92</v>
      </c>
      <c r="H107" s="675">
        <f t="shared" si="24"/>
        <v>90</v>
      </c>
      <c r="I107" s="675">
        <f t="shared" si="24"/>
        <v>88</v>
      </c>
      <c r="J107" s="675">
        <f t="shared" si="24"/>
        <v>86</v>
      </c>
      <c r="K107" s="675">
        <f t="shared" si="24"/>
        <v>84</v>
      </c>
      <c r="L107" s="675">
        <f t="shared" si="24"/>
        <v>82</v>
      </c>
      <c r="M107" s="676">
        <f t="shared" si="24"/>
        <v>80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1"/>
      <c r="B108" s="669" t="s">
        <v>745</v>
      </c>
      <c r="C108" s="3262" t="s">
        <v>3118</v>
      </c>
      <c r="D108" s="3262" t="s">
        <v>3119</v>
      </c>
      <c r="E108" s="3262" t="s">
        <v>3120</v>
      </c>
      <c r="F108" s="3265" t="s">
        <v>3121</v>
      </c>
      <c r="G108" s="714"/>
      <c r="H108" s="714"/>
      <c r="I108" s="714"/>
      <c r="J108" s="714"/>
      <c r="K108" s="715"/>
      <c r="L108" s="716"/>
      <c r="M108" s="717"/>
      <c r="N108" s="2161"/>
      <c r="O108" s="2161"/>
      <c r="P108" s="2211"/>
      <c r="Q108" s="2155"/>
      <c r="R108" s="2142"/>
      <c r="S108" s="2142"/>
      <c r="T108" s="2142"/>
      <c r="U108" s="2142"/>
      <c r="V108" s="2142"/>
      <c r="W108" s="2142"/>
      <c r="X108" s="2142"/>
      <c r="Y108" s="2142"/>
      <c r="Z108" s="2142"/>
      <c r="AA108" s="2142"/>
      <c r="AB108" s="2142"/>
      <c r="AC108" s="2142"/>
    </row>
    <row r="109" spans="1:29" ht="15.75" thickBot="1">
      <c r="A109" s="665"/>
      <c r="B109" s="674"/>
      <c r="C109" s="675">
        <v>100</v>
      </c>
      <c r="D109" s="675">
        <f t="shared" ref="D109:M109" si="25">C109-$K36</f>
        <v>98</v>
      </c>
      <c r="E109" s="675">
        <f t="shared" si="25"/>
        <v>96</v>
      </c>
      <c r="F109" s="675">
        <f t="shared" si="25"/>
        <v>94</v>
      </c>
      <c r="G109" s="675">
        <f t="shared" si="25"/>
        <v>92</v>
      </c>
      <c r="H109" s="675">
        <f t="shared" si="25"/>
        <v>90</v>
      </c>
      <c r="I109" s="675">
        <f t="shared" si="25"/>
        <v>88</v>
      </c>
      <c r="J109" s="675">
        <f t="shared" si="25"/>
        <v>86</v>
      </c>
      <c r="K109" s="675">
        <f t="shared" si="25"/>
        <v>84</v>
      </c>
      <c r="L109" s="675">
        <f t="shared" si="25"/>
        <v>82</v>
      </c>
      <c r="M109" s="676">
        <f t="shared" si="25"/>
        <v>80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1"/>
      <c r="B110" s="669" t="s">
        <v>746</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1"/>
      <c r="O110" s="2161"/>
      <c r="P110" s="2211"/>
      <c r="Q110" s="2155"/>
      <c r="R110" s="2142"/>
      <c r="S110" s="2142"/>
      <c r="T110" s="2142"/>
      <c r="U110" s="2142"/>
      <c r="V110" s="2142"/>
      <c r="W110" s="2142"/>
      <c r="X110" s="2142"/>
      <c r="Y110" s="2142"/>
      <c r="Z110" s="2142"/>
      <c r="AA110" s="2142"/>
      <c r="AB110" s="2142"/>
      <c r="AC110" s="2142"/>
    </row>
    <row r="111" spans="1:29">
      <c r="A111" s="731"/>
      <c r="B111" s="677"/>
      <c r="C111" s="890">
        <v>0.5</v>
      </c>
      <c r="D111" s="890">
        <v>0.6</v>
      </c>
      <c r="E111" s="890">
        <v>0.7</v>
      </c>
      <c r="F111" s="890">
        <v>0.8</v>
      </c>
      <c r="G111" s="890">
        <v>0.9</v>
      </c>
      <c r="H111" s="890">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4"/>
      <c r="B113" s="669" t="s">
        <v>780</v>
      </c>
      <c r="C113" s="3261" t="s">
        <v>3186</v>
      </c>
      <c r="D113" s="684"/>
      <c r="E113" s="684"/>
      <c r="F113" s="684"/>
      <c r="G113" s="684"/>
      <c r="H113" s="714"/>
      <c r="I113" s="714"/>
      <c r="J113" s="714"/>
      <c r="K113" s="715"/>
      <c r="L113" s="716"/>
      <c r="M113" s="717"/>
      <c r="N113" s="2164"/>
      <c r="O113" s="2164"/>
      <c r="P113" s="2212"/>
      <c r="Q113" s="2166"/>
      <c r="R113" s="2167"/>
      <c r="S113" s="2167"/>
      <c r="T113" s="2167"/>
      <c r="U113" s="2167"/>
      <c r="V113" s="2167"/>
      <c r="W113" s="2167"/>
      <c r="X113" s="2167"/>
      <c r="Y113" s="2167"/>
      <c r="Z113" s="2167"/>
      <c r="AA113" s="2167"/>
      <c r="AB113" s="2167"/>
      <c r="AC113" s="2167"/>
    </row>
    <row r="114" spans="1:29" s="1335" customFormat="1" ht="15.75" thickBot="1">
      <c r="A114" s="683"/>
      <c r="B114" s="674"/>
      <c r="C114" s="675">
        <v>100</v>
      </c>
      <c r="D114" s="675">
        <f>C114-$K38</f>
        <v>98</v>
      </c>
      <c r="E114" s="675">
        <f t="shared" ref="E114:M114" si="27">D114-$K38</f>
        <v>96</v>
      </c>
      <c r="F114" s="675">
        <f t="shared" si="27"/>
        <v>94</v>
      </c>
      <c r="G114" s="675">
        <f t="shared" si="27"/>
        <v>92</v>
      </c>
      <c r="H114" s="675">
        <f t="shared" si="27"/>
        <v>90</v>
      </c>
      <c r="I114" s="675">
        <f t="shared" si="27"/>
        <v>88</v>
      </c>
      <c r="J114" s="675">
        <f t="shared" si="27"/>
        <v>86</v>
      </c>
      <c r="K114" s="675">
        <f t="shared" si="27"/>
        <v>84</v>
      </c>
      <c r="L114" s="675">
        <f t="shared" si="27"/>
        <v>82</v>
      </c>
      <c r="M114" s="675">
        <f t="shared" si="27"/>
        <v>80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1"/>
      <c r="B115" s="669" t="s">
        <v>747</v>
      </c>
      <c r="C115" s="3261" t="s">
        <v>3184</v>
      </c>
      <c r="D115" s="684"/>
      <c r="E115" s="714"/>
      <c r="F115" s="714"/>
      <c r="G115" s="714"/>
      <c r="H115" s="714"/>
      <c r="I115" s="714"/>
      <c r="J115" s="714"/>
      <c r="K115" s="715"/>
      <c r="L115" s="716"/>
      <c r="M115" s="717"/>
      <c r="N115" s="2161"/>
      <c r="O115" s="2161"/>
      <c r="P115" s="2211"/>
      <c r="Q115" s="2155"/>
      <c r="R115" s="2142"/>
      <c r="S115" s="2142"/>
      <c r="T115" s="2142"/>
      <c r="U115" s="2142"/>
      <c r="V115" s="2142"/>
      <c r="W115" s="2142"/>
      <c r="X115" s="2142"/>
      <c r="Y115" s="2142"/>
      <c r="Z115" s="2142"/>
      <c r="AA115" s="2142"/>
      <c r="AB115" s="2142"/>
      <c r="AC115" s="2142"/>
    </row>
    <row r="116" spans="1:29" ht="15.75" thickBot="1">
      <c r="A116" s="665"/>
      <c r="B116" s="674"/>
      <c r="C116" s="675">
        <v>100</v>
      </c>
      <c r="D116" s="675">
        <f t="shared" ref="D116:M116" si="28">C116-$K39</f>
        <v>98</v>
      </c>
      <c r="E116" s="675">
        <f t="shared" si="28"/>
        <v>96</v>
      </c>
      <c r="F116" s="675">
        <f t="shared" si="28"/>
        <v>94</v>
      </c>
      <c r="G116" s="675">
        <f t="shared" si="28"/>
        <v>92</v>
      </c>
      <c r="H116" s="675">
        <f t="shared" si="28"/>
        <v>90</v>
      </c>
      <c r="I116" s="675">
        <f t="shared" si="28"/>
        <v>88</v>
      </c>
      <c r="J116" s="675">
        <f t="shared" si="28"/>
        <v>86</v>
      </c>
      <c r="K116" s="675">
        <f t="shared" si="28"/>
        <v>84</v>
      </c>
      <c r="L116" s="675">
        <f t="shared" si="28"/>
        <v>82</v>
      </c>
      <c r="M116" s="676">
        <f t="shared" si="28"/>
        <v>80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1"/>
      <c r="B117" s="1893" t="s">
        <v>2551</v>
      </c>
      <c r="C117" s="3262" t="s">
        <v>3126</v>
      </c>
      <c r="D117" s="3262" t="s">
        <v>3127</v>
      </c>
      <c r="E117" s="3262" t="s">
        <v>3128</v>
      </c>
      <c r="F117" s="3262" t="s">
        <v>3129</v>
      </c>
      <c r="G117" s="3262" t="s">
        <v>3130</v>
      </c>
      <c r="H117" s="714"/>
      <c r="I117" s="714"/>
      <c r="J117" s="714"/>
      <c r="K117" s="715"/>
      <c r="L117" s="716"/>
      <c r="M117" s="717"/>
      <c r="N117" s="2161"/>
      <c r="O117" s="2161"/>
      <c r="P117" s="2211"/>
      <c r="Q117" s="2155"/>
      <c r="R117" s="2142"/>
      <c r="S117" s="2142"/>
      <c r="T117" s="2142"/>
      <c r="U117" s="2142"/>
      <c r="V117" s="2142"/>
      <c r="W117" s="2142"/>
      <c r="X117" s="2142"/>
      <c r="Y117" s="2142"/>
      <c r="Z117" s="2142"/>
      <c r="AA117" s="2142"/>
      <c r="AB117" s="2142"/>
      <c r="AC117" s="2142"/>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3"/>
      <c r="O118" s="2163"/>
      <c r="P118" s="2211"/>
      <c r="Q118" s="2155"/>
      <c r="R118" s="2142"/>
      <c r="S118" s="2142"/>
      <c r="T118" s="2142"/>
      <c r="U118" s="2142"/>
      <c r="V118" s="2142"/>
      <c r="W118" s="2142"/>
      <c r="X118" s="2142"/>
      <c r="Y118" s="2142"/>
      <c r="Z118" s="2142"/>
      <c r="AA118" s="2142"/>
      <c r="AB118" s="2142"/>
      <c r="AC118" s="2142"/>
    </row>
    <row r="119" spans="1:29" ht="15" thickTop="1">
      <c r="A119" s="731"/>
      <c r="B119" s="913" t="s">
        <v>781</v>
      </c>
      <c r="C119" s="3266" t="s">
        <v>3182</v>
      </c>
      <c r="D119" s="714"/>
      <c r="E119" s="714"/>
      <c r="F119" s="714"/>
      <c r="G119" s="714"/>
      <c r="H119" s="714"/>
      <c r="I119" s="714"/>
      <c r="J119" s="714"/>
      <c r="K119" s="714"/>
      <c r="L119" s="914"/>
      <c r="M119" s="915"/>
      <c r="N119" s="2163"/>
      <c r="O119" s="2163"/>
      <c r="P119" s="2216"/>
      <c r="Q119" s="2203"/>
      <c r="R119" s="2142"/>
      <c r="S119" s="2142"/>
      <c r="T119" s="2142"/>
      <c r="U119" s="2142"/>
      <c r="V119" s="2142"/>
      <c r="W119" s="2142"/>
      <c r="X119" s="2142"/>
      <c r="Y119" s="2142"/>
      <c r="Z119" s="2142"/>
      <c r="AA119" s="2142"/>
      <c r="AB119" s="2142"/>
      <c r="AC119" s="2142"/>
    </row>
    <row r="120" spans="1:29" ht="15.75" thickBot="1">
      <c r="A120" s="665"/>
      <c r="B120" s="674"/>
      <c r="C120" s="708">
        <v>100</v>
      </c>
      <c r="D120" s="675">
        <f>C120-$K41</f>
        <v>98</v>
      </c>
      <c r="E120" s="675">
        <f t="shared" ref="E120:M120" si="29">D120-$K41</f>
        <v>96</v>
      </c>
      <c r="F120" s="675">
        <f t="shared" si="29"/>
        <v>94</v>
      </c>
      <c r="G120" s="675">
        <f t="shared" si="29"/>
        <v>92</v>
      </c>
      <c r="H120" s="675">
        <f t="shared" si="29"/>
        <v>90</v>
      </c>
      <c r="I120" s="675">
        <f t="shared" si="29"/>
        <v>88</v>
      </c>
      <c r="J120" s="675">
        <f t="shared" si="29"/>
        <v>86</v>
      </c>
      <c r="K120" s="675">
        <f t="shared" si="29"/>
        <v>84</v>
      </c>
      <c r="L120" s="675">
        <f t="shared" si="29"/>
        <v>82</v>
      </c>
      <c r="M120" s="675">
        <f t="shared" si="29"/>
        <v>80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4"/>
      <c r="B121" s="669" t="s">
        <v>769</v>
      </c>
      <c r="C121" s="684"/>
      <c r="D121" s="684"/>
      <c r="E121" s="684"/>
      <c r="F121" s="714"/>
      <c r="G121" s="685"/>
      <c r="H121" s="685"/>
      <c r="I121" s="685"/>
      <c r="J121" s="685"/>
      <c r="K121" s="685"/>
      <c r="L121" s="686"/>
      <c r="M121" s="687"/>
      <c r="N121" s="2164"/>
      <c r="O121" s="2164"/>
      <c r="P121" s="2212"/>
      <c r="Q121" s="2166"/>
      <c r="R121" s="2167"/>
      <c r="S121" s="2167"/>
      <c r="T121" s="2167"/>
      <c r="U121" s="2167"/>
      <c r="V121" s="2167"/>
      <c r="W121" s="2167"/>
      <c r="X121" s="2167"/>
      <c r="Y121" s="2167"/>
      <c r="Z121" s="2167"/>
      <c r="AA121" s="2167"/>
      <c r="AB121" s="2167"/>
      <c r="AC121" s="2167"/>
    </row>
    <row r="122" spans="1:29" s="1335" customFormat="1" ht="15.75" thickBot="1">
      <c r="A122" s="683"/>
      <c r="B122" s="666"/>
      <c r="C122" s="688"/>
      <c r="D122" s="688"/>
      <c r="E122" s="688"/>
      <c r="F122" s="688"/>
      <c r="G122" s="688"/>
      <c r="H122" s="688"/>
      <c r="I122" s="688"/>
      <c r="J122" s="688"/>
      <c r="K122" s="688"/>
      <c r="L122" s="688"/>
      <c r="M122" s="688"/>
      <c r="N122" s="2164"/>
      <c r="O122" s="2164"/>
      <c r="P122" s="2212"/>
      <c r="Q122" s="2166"/>
      <c r="R122" s="2167"/>
      <c r="S122" s="2167"/>
      <c r="T122" s="2167"/>
      <c r="U122" s="2167"/>
      <c r="V122" s="2167"/>
      <c r="W122" s="2167"/>
      <c r="X122" s="2167"/>
      <c r="Y122" s="2167"/>
      <c r="Z122" s="2167"/>
      <c r="AA122" s="2167"/>
      <c r="AB122" s="2167"/>
      <c r="AC122" s="2167"/>
    </row>
    <row r="123" spans="1:29" ht="15" thickTop="1">
      <c r="A123" s="731"/>
      <c r="B123" s="669" t="s">
        <v>749</v>
      </c>
      <c r="C123" s="3262" t="s">
        <v>3118</v>
      </c>
      <c r="D123" s="3262" t="s">
        <v>3119</v>
      </c>
      <c r="E123" s="3262" t="s">
        <v>3120</v>
      </c>
      <c r="F123" s="3265" t="s">
        <v>3121</v>
      </c>
      <c r="G123" s="714"/>
      <c r="H123" s="714"/>
      <c r="I123" s="714"/>
      <c r="J123" s="714"/>
      <c r="K123" s="715"/>
      <c r="L123" s="716"/>
      <c r="M123" s="717"/>
      <c r="N123" s="2161"/>
      <c r="O123" s="2161"/>
      <c r="P123" s="2211"/>
      <c r="Q123" s="2155"/>
      <c r="R123" s="2142"/>
      <c r="S123" s="2142"/>
      <c r="T123" s="2142"/>
      <c r="U123" s="2142"/>
      <c r="V123" s="2142"/>
      <c r="W123" s="2142"/>
      <c r="X123" s="2142"/>
      <c r="Y123" s="2142"/>
      <c r="Z123" s="2142"/>
      <c r="AA123" s="2142"/>
      <c r="AB123" s="2142"/>
      <c r="AC123" s="2142"/>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1"/>
      <c r="B125" s="669" t="s">
        <v>750</v>
      </c>
      <c r="C125" s="704" t="s">
        <v>573</v>
      </c>
      <c r="D125" s="704" t="s">
        <v>574</v>
      </c>
      <c r="E125" s="704" t="s">
        <v>575</v>
      </c>
      <c r="F125" s="704" t="s">
        <v>576</v>
      </c>
      <c r="G125" s="704" t="s">
        <v>577</v>
      </c>
      <c r="H125" s="670"/>
      <c r="I125" s="670"/>
      <c r="J125" s="670"/>
      <c r="K125" s="671"/>
      <c r="L125" s="672"/>
      <c r="M125" s="673"/>
      <c r="N125" s="2161"/>
      <c r="O125" s="2161"/>
      <c r="P125" s="2212"/>
      <c r="Q125" s="2155"/>
      <c r="R125" s="2142"/>
      <c r="S125" s="2142"/>
      <c r="T125" s="2142"/>
      <c r="U125" s="2142"/>
      <c r="V125" s="2142"/>
      <c r="W125" s="2142"/>
      <c r="X125" s="2142"/>
      <c r="Y125" s="2142"/>
      <c r="Z125" s="2142"/>
      <c r="AA125" s="2142"/>
      <c r="AB125" s="2142"/>
      <c r="AC125" s="2142"/>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3"/>
      <c r="O126" s="2163"/>
      <c r="P126" s="2211"/>
      <c r="Q126" s="2155"/>
      <c r="R126" s="2142"/>
      <c r="S126" s="2142"/>
      <c r="T126" s="2142"/>
      <c r="U126" s="2142"/>
      <c r="V126" s="2142"/>
      <c r="W126" s="2142"/>
      <c r="X126" s="2142"/>
      <c r="Y126" s="2142"/>
      <c r="Z126" s="2142"/>
      <c r="AA126" s="2142"/>
      <c r="AB126" s="2142"/>
      <c r="AC126" s="2142"/>
    </row>
    <row r="127" spans="1:29" s="1335" customFormat="1" ht="15" thickTop="1">
      <c r="A127" s="724"/>
      <c r="B127" s="669" t="str">
        <f>B45</f>
        <v>交房时间</v>
      </c>
      <c r="C127" s="684" t="s">
        <v>3187</v>
      </c>
      <c r="D127" s="3261" t="s">
        <v>3188</v>
      </c>
      <c r="E127" s="684"/>
      <c r="F127" s="684"/>
      <c r="G127" s="684"/>
      <c r="H127" s="685"/>
      <c r="I127" s="685"/>
      <c r="J127" s="685"/>
      <c r="K127" s="685"/>
      <c r="L127" s="686"/>
      <c r="M127" s="687"/>
      <c r="N127" s="2164"/>
      <c r="O127" s="2164"/>
      <c r="P127" s="2212"/>
      <c r="Q127" s="2166"/>
      <c r="R127" s="2167"/>
      <c r="S127" s="2167"/>
      <c r="T127" s="2167"/>
      <c r="U127" s="2167"/>
      <c r="V127" s="2167"/>
      <c r="W127" s="2167"/>
      <c r="X127" s="2167"/>
      <c r="Y127" s="2167"/>
      <c r="Z127" s="2167"/>
      <c r="AA127" s="2167"/>
      <c r="AB127" s="2167"/>
      <c r="AC127" s="2167"/>
    </row>
    <row r="128" spans="1:29" s="1335" customFormat="1" ht="15.75" thickBot="1">
      <c r="A128" s="683"/>
      <c r="B128" s="674"/>
      <c r="C128" s="688">
        <v>100</v>
      </c>
      <c r="D128" s="667">
        <v>105</v>
      </c>
      <c r="E128" s="667"/>
      <c r="F128" s="667"/>
      <c r="G128" s="688"/>
      <c r="H128" s="689"/>
      <c r="I128" s="689"/>
      <c r="J128" s="689"/>
      <c r="K128" s="689"/>
      <c r="L128" s="689"/>
      <c r="M128" s="690"/>
      <c r="N128" s="2164"/>
      <c r="O128" s="2164"/>
      <c r="P128" s="2212"/>
      <c r="Q128" s="2166"/>
      <c r="R128" s="2167"/>
      <c r="S128" s="2167"/>
      <c r="T128" s="2167"/>
      <c r="U128" s="2167"/>
      <c r="V128" s="2167"/>
      <c r="W128" s="2167"/>
      <c r="X128" s="2167"/>
      <c r="Y128" s="2167"/>
      <c r="Z128" s="2167"/>
      <c r="AA128" s="2167"/>
      <c r="AB128" s="2167"/>
      <c r="AC128" s="2167"/>
    </row>
    <row r="129" spans="1:29" ht="15" thickTop="1">
      <c r="A129" s="731"/>
      <c r="B129" s="669" t="str">
        <f>B46</f>
        <v>建筑面积</v>
      </c>
      <c r="C129" s="684">
        <f>C46</f>
        <v>13877</v>
      </c>
      <c r="D129" s="684">
        <f>E46</f>
        <v>300</v>
      </c>
      <c r="E129" s="684">
        <f>G46</f>
        <v>116</v>
      </c>
      <c r="F129" s="684">
        <f>I46</f>
        <v>3000</v>
      </c>
      <c r="G129" s="714"/>
      <c r="H129" s="714"/>
      <c r="I129" s="714"/>
      <c r="J129" s="714"/>
      <c r="K129" s="715"/>
      <c r="L129" s="716"/>
      <c r="M129" s="717"/>
      <c r="N129" s="2161"/>
      <c r="O129" s="2161"/>
      <c r="P129" s="2211"/>
      <c r="Q129" s="2155"/>
      <c r="R129" s="2142"/>
      <c r="S129" s="2142"/>
      <c r="T129" s="2142"/>
      <c r="U129" s="2142"/>
      <c r="V129" s="2142"/>
      <c r="W129" s="2142"/>
      <c r="X129" s="2142"/>
      <c r="Y129" s="2142"/>
      <c r="Z129" s="2142"/>
      <c r="AA129" s="2142"/>
      <c r="AB129" s="2142"/>
      <c r="AC129" s="2142"/>
    </row>
    <row r="130" spans="1:29" ht="15.75" thickBot="1">
      <c r="A130" s="665"/>
      <c r="B130" s="674"/>
      <c r="C130" s="688">
        <v>100</v>
      </c>
      <c r="D130" s="688">
        <v>104</v>
      </c>
      <c r="E130" s="688">
        <v>104</v>
      </c>
      <c r="F130" s="688">
        <v>102</v>
      </c>
      <c r="G130" s="667"/>
      <c r="H130" s="667"/>
      <c r="I130" s="667"/>
      <c r="J130" s="667"/>
      <c r="K130" s="667"/>
      <c r="L130" s="667"/>
      <c r="M130" s="668"/>
      <c r="N130" s="2163"/>
      <c r="O130" s="2163"/>
      <c r="P130" s="2211"/>
      <c r="Q130" s="2155"/>
      <c r="R130" s="2142"/>
      <c r="S130" s="2142"/>
      <c r="T130" s="2142"/>
      <c r="U130" s="2142"/>
      <c r="V130" s="2142"/>
      <c r="W130" s="2142"/>
      <c r="X130" s="2142"/>
      <c r="Y130" s="2142"/>
      <c r="Z130" s="2142"/>
      <c r="AA130" s="2142"/>
      <c r="AB130" s="2142"/>
      <c r="AC130" s="2142"/>
    </row>
    <row r="131" spans="1:29" ht="15" thickTop="1">
      <c r="A131" s="731"/>
      <c r="B131" s="677">
        <f>B47</f>
        <v>111</v>
      </c>
      <c r="C131" s="657"/>
      <c r="D131" s="657"/>
      <c r="E131" s="657"/>
      <c r="F131" s="657"/>
      <c r="G131" s="718"/>
      <c r="H131" s="718"/>
      <c r="I131" s="718"/>
      <c r="J131" s="718"/>
      <c r="K131" s="657"/>
      <c r="L131" s="658"/>
      <c r="M131" s="721"/>
      <c r="N131" s="2161"/>
      <c r="O131" s="2161"/>
      <c r="P131" s="2211"/>
      <c r="Q131" s="2155"/>
      <c r="R131" s="2142"/>
      <c r="S131" s="2142"/>
      <c r="T131" s="2142"/>
      <c r="U131" s="2142"/>
      <c r="V131" s="2142"/>
      <c r="W131" s="2142"/>
      <c r="X131" s="2142"/>
      <c r="Y131" s="2142"/>
      <c r="Z131" s="2142"/>
      <c r="AA131" s="2142"/>
      <c r="AB131" s="2142"/>
      <c r="AC131" s="2142"/>
    </row>
    <row r="132" spans="1:29" ht="15.75" thickBot="1">
      <c r="A132" s="889"/>
      <c r="B132" s="695"/>
      <c r="C132" s="696"/>
      <c r="D132" s="696"/>
      <c r="E132" s="696"/>
      <c r="F132" s="696"/>
      <c r="G132" s="722"/>
      <c r="H132" s="722"/>
      <c r="I132" s="722"/>
      <c r="J132" s="722"/>
      <c r="K132" s="722"/>
      <c r="L132" s="722"/>
      <c r="M132" s="723"/>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9" workbookViewId="0">
      <selection activeCell="M24" sqref="M24"/>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2033</v>
      </c>
      <c r="B1" s="3312"/>
      <c r="C1" s="3312"/>
      <c r="D1" s="3312"/>
      <c r="E1" s="3312"/>
      <c r="F1" s="3312"/>
      <c r="G1" s="3312"/>
      <c r="H1" s="3312"/>
      <c r="I1" s="3312"/>
      <c r="J1" s="3312"/>
      <c r="K1" s="3312"/>
      <c r="L1" s="3312"/>
      <c r="M1" s="3312"/>
      <c r="N1" s="3312"/>
      <c r="O1" s="3312"/>
      <c r="P1" s="3312"/>
      <c r="Q1" s="3312"/>
      <c r="R1" s="3312"/>
    </row>
    <row r="2" spans="1:18">
      <c r="A2" s="1804" t="s">
        <v>2035</v>
      </c>
      <c r="B2" s="1804"/>
      <c r="C2" s="1804"/>
      <c r="D2" s="1804"/>
      <c r="E2" s="1804"/>
      <c r="F2" s="1804"/>
      <c r="G2" s="1804"/>
      <c r="H2" s="1804"/>
      <c r="I2" s="1805"/>
      <c r="J2" s="1805"/>
      <c r="K2" s="1806" t="str">
        <f>"估价期日："&amp;TEXT(项目基本情况!D3,"yyyy年m月d日;;")</f>
        <v>估价期日：2018年10月15日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313" t="s">
        <v>2024</v>
      </c>
      <c r="B3" s="3313" t="s">
        <v>2726</v>
      </c>
      <c r="C3" s="3314" t="s">
        <v>2025</v>
      </c>
      <c r="D3" s="3313" t="s">
        <v>2730</v>
      </c>
      <c r="E3" s="3316" t="s">
        <v>2026</v>
      </c>
      <c r="F3" s="3316"/>
      <c r="G3" s="3316"/>
      <c r="H3" s="3316" t="s">
        <v>2027</v>
      </c>
      <c r="I3" s="3316"/>
      <c r="J3" s="3316"/>
      <c r="K3" s="3314" t="s">
        <v>2028</v>
      </c>
      <c r="L3" s="3314" t="s">
        <v>2029</v>
      </c>
      <c r="M3" s="3313" t="s">
        <v>2727</v>
      </c>
      <c r="N3" s="3315" t="str">
        <f>"（分摊）"&amp;项目基本情况!B16&amp;"国有建设用地使用权面积/㎡"</f>
        <v>（分摊）出让国有建设用地使用权面积/㎡</v>
      </c>
      <c r="O3" s="3313" t="s">
        <v>2058</v>
      </c>
      <c r="P3" s="3314" t="s">
        <v>2038</v>
      </c>
      <c r="Q3" s="3314" t="s">
        <v>2059</v>
      </c>
      <c r="R3" s="3314" t="s">
        <v>2030</v>
      </c>
    </row>
    <row r="4" spans="1:18" ht="36.75" customHeight="1">
      <c r="A4" s="3313"/>
      <c r="B4" s="3313"/>
      <c r="C4" s="3314"/>
      <c r="D4" s="3313"/>
      <c r="E4" s="2646" t="s">
        <v>2037</v>
      </c>
      <c r="F4" s="2646" t="s">
        <v>2739</v>
      </c>
      <c r="G4" s="2646" t="s">
        <v>2031</v>
      </c>
      <c r="H4" s="2646" t="s">
        <v>2032</v>
      </c>
      <c r="I4" s="2646" t="s">
        <v>2740</v>
      </c>
      <c r="J4" s="2646" t="s">
        <v>2031</v>
      </c>
      <c r="K4" s="3314"/>
      <c r="L4" s="3314"/>
      <c r="M4" s="3313"/>
      <c r="N4" s="3315"/>
      <c r="O4" s="3313"/>
      <c r="P4" s="3314"/>
      <c r="Q4" s="3314"/>
      <c r="R4" s="3314"/>
    </row>
    <row r="5" spans="1:18" ht="135" customHeight="1">
      <c r="A5" s="1940" t="s">
        <v>2650</v>
      </c>
      <c r="B5" s="2864" t="s">
        <v>2648</v>
      </c>
      <c r="C5" s="2645">
        <v>22</v>
      </c>
      <c r="D5" s="2644" t="s">
        <v>2649</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183040.85</v>
      </c>
      <c r="O5" s="1807">
        <f>项目基本情况!C21</f>
        <v>709912</v>
      </c>
      <c r="P5" s="1807">
        <f ca="1">'结果表-住宅'!E42</f>
        <v>29242</v>
      </c>
      <c r="Q5" s="1807">
        <f ca="1">'结果表-住宅'!D42</f>
        <v>7540</v>
      </c>
      <c r="R5" s="1808">
        <f ca="1">'结果表-住宅'!C42</f>
        <v>535247</v>
      </c>
    </row>
    <row r="6" spans="1:18">
      <c r="A6" s="3317" t="str">
        <f>IF(项目基本情况!B9="市场价格","——","抵押价格")</f>
        <v>——</v>
      </c>
      <c r="B6" s="3318"/>
      <c r="C6" s="3318"/>
      <c r="D6" s="3318"/>
      <c r="E6" s="3318"/>
      <c r="F6" s="3318"/>
      <c r="G6" s="3318"/>
      <c r="H6" s="3318"/>
      <c r="I6" s="3318"/>
      <c r="J6" s="3318"/>
      <c r="K6" s="3318"/>
      <c r="L6" s="3318"/>
      <c r="M6" s="3318"/>
      <c r="N6" s="3318"/>
      <c r="O6" s="3318"/>
      <c r="P6" s="3318"/>
      <c r="Q6" s="3319"/>
      <c r="R6" s="1809" t="str">
        <f>'结果表-住宅'!O39</f>
        <v>——</v>
      </c>
    </row>
    <row r="7" spans="1:18">
      <c r="A7" s="3317" t="str">
        <f>IF(项目基本情况!B9="市场价格","——",IF(项目基本情况!E8="已注销及未注销","抵押担保权已注销时的抵押价格","——"))</f>
        <v>——</v>
      </c>
      <c r="B7" s="3318"/>
      <c r="C7" s="3318"/>
      <c r="D7" s="3318"/>
      <c r="E7" s="3318"/>
      <c r="F7" s="3318"/>
      <c r="G7" s="3318"/>
      <c r="H7" s="3318"/>
      <c r="I7" s="3318"/>
      <c r="J7" s="3318"/>
      <c r="K7" s="3318"/>
      <c r="L7" s="3318"/>
      <c r="M7" s="3318"/>
      <c r="N7" s="3318"/>
      <c r="O7" s="3318"/>
      <c r="P7" s="3318"/>
      <c r="Q7" s="3319"/>
      <c r="R7" s="1809" t="str">
        <f>'结果表-住宅'!O40</f>
        <v>——</v>
      </c>
    </row>
    <row r="8" spans="1:18">
      <c r="A8" s="3317" t="str">
        <f>IF(项目基本情况!B9="市场价格","——",项目基本情况!E9)</f>
        <v>——</v>
      </c>
      <c r="B8" s="3318"/>
      <c r="C8" s="3318"/>
      <c r="D8" s="3318"/>
      <c r="E8" s="3318"/>
      <c r="F8" s="3318"/>
      <c r="G8" s="3318"/>
      <c r="H8" s="3318"/>
      <c r="I8" s="3318"/>
      <c r="J8" s="3318"/>
      <c r="K8" s="3318"/>
      <c r="L8" s="3318"/>
      <c r="M8" s="3318"/>
      <c r="N8" s="3318"/>
      <c r="O8" s="3318"/>
      <c r="P8" s="3318"/>
      <c r="Q8" s="3319"/>
      <c r="R8" s="1809" t="str">
        <f>'结果表-住宅'!O41</f>
        <v>——</v>
      </c>
    </row>
    <row r="9" spans="1:18">
      <c r="A9" s="1810" t="s">
        <v>2036</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2023</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G1" zoomScale="80" zoomScaleNormal="80" workbookViewId="0">
      <selection activeCell="AB6" sqref="AB6"/>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611" t="s">
        <v>2571</v>
      </c>
      <c r="C1" s="3611"/>
      <c r="D1" s="3611"/>
      <c r="E1" s="3611"/>
      <c r="F1" s="3611"/>
      <c r="G1" s="3610" t="s">
        <v>2572</v>
      </c>
      <c r="H1" s="3610"/>
      <c r="I1" s="3610"/>
      <c r="J1" s="3610"/>
      <c r="K1" s="3610"/>
      <c r="L1" s="3610"/>
      <c r="N1" s="3610" t="s">
        <v>2573</v>
      </c>
      <c r="O1" s="3610"/>
      <c r="P1" s="3610"/>
      <c r="Q1" s="3610"/>
      <c r="R1" s="2651"/>
      <c r="S1" s="3610" t="s">
        <v>2574</v>
      </c>
      <c r="T1" s="3610"/>
      <c r="U1" s="3610"/>
      <c r="V1" s="3610"/>
      <c r="X1" s="3609" t="s">
        <v>2634</v>
      </c>
      <c r="Y1" s="3610"/>
      <c r="Z1" s="3610"/>
      <c r="AA1" s="3610"/>
      <c r="AB1" s="3610"/>
      <c r="AD1" s="3609" t="s">
        <v>2638</v>
      </c>
      <c r="AE1" s="3610"/>
      <c r="AF1" s="3610"/>
      <c r="AG1" s="3610"/>
      <c r="AH1" s="3610"/>
    </row>
    <row r="2" spans="1:34" s="2753" customFormat="1" ht="14.25" thickBot="1">
      <c r="B2" s="2761" t="s">
        <v>2575</v>
      </c>
      <c r="C2" s="2761" t="s">
        <v>2636</v>
      </c>
      <c r="D2" s="2754" t="s">
        <v>1639</v>
      </c>
      <c r="E2" s="2754" t="s">
        <v>1944</v>
      </c>
      <c r="F2" s="2761" t="s">
        <v>2637</v>
      </c>
      <c r="G2" s="2757"/>
      <c r="H2" s="2756"/>
      <c r="I2" s="2761" t="s">
        <v>2953</v>
      </c>
      <c r="J2" s="2754" t="s">
        <v>2955</v>
      </c>
      <c r="K2" s="2754" t="s">
        <v>2956</v>
      </c>
      <c r="L2" s="2761" t="s">
        <v>2957</v>
      </c>
      <c r="N2" s="2761" t="s">
        <v>2575</v>
      </c>
      <c r="O2" s="2754" t="s">
        <v>2954</v>
      </c>
      <c r="P2" s="2754" t="s">
        <v>1944</v>
      </c>
      <c r="Q2" s="2761" t="s">
        <v>2637</v>
      </c>
      <c r="R2" s="2755"/>
      <c r="S2" s="2761" t="s">
        <v>2575</v>
      </c>
      <c r="T2" s="2754" t="s">
        <v>2954</v>
      </c>
      <c r="U2" s="2754" t="s">
        <v>1944</v>
      </c>
      <c r="V2" s="2761" t="s">
        <v>2637</v>
      </c>
      <c r="X2" s="2761" t="s">
        <v>2575</v>
      </c>
      <c r="Y2" s="2761" t="s">
        <v>2636</v>
      </c>
      <c r="Z2" s="2754" t="s">
        <v>1639</v>
      </c>
      <c r="AA2" s="2754" t="s">
        <v>1944</v>
      </c>
      <c r="AB2" s="2761" t="s">
        <v>2637</v>
      </c>
      <c r="AD2" s="2761" t="s">
        <v>2575</v>
      </c>
      <c r="AE2" s="2761" t="s">
        <v>2636</v>
      </c>
      <c r="AF2" s="2754" t="s">
        <v>1639</v>
      </c>
      <c r="AG2" s="2754" t="s">
        <v>1944</v>
      </c>
      <c r="AH2" s="2761" t="s">
        <v>2637</v>
      </c>
    </row>
    <row r="3" spans="1:34" s="3129" customFormat="1" ht="14.25">
      <c r="A3" s="3141" t="s">
        <v>2966</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6" customFormat="1" ht="14.25">
      <c r="B4" s="2747"/>
      <c r="C4" s="2747"/>
      <c r="D4" s="2748"/>
      <c r="E4" s="2748"/>
      <c r="F4" s="2747"/>
      <c r="G4" s="2752"/>
      <c r="H4" s="2749"/>
      <c r="I4" s="3122"/>
      <c r="J4" s="3122"/>
      <c r="K4" s="3122"/>
      <c r="L4" s="3122"/>
      <c r="N4" s="2752"/>
      <c r="O4" s="2750"/>
      <c r="P4" s="2750"/>
      <c r="Q4" s="2750"/>
      <c r="R4" s="2750"/>
      <c r="S4" s="2752"/>
      <c r="T4" s="2750"/>
      <c r="U4" s="2750"/>
      <c r="V4" s="2750"/>
      <c r="W4" s="3138"/>
      <c r="X4" s="2751"/>
      <c r="Y4" s="2751"/>
      <c r="Z4" s="2751"/>
      <c r="AA4" s="2751"/>
      <c r="AB4" s="2751"/>
      <c r="AD4" s="2671"/>
      <c r="AE4" s="2671"/>
      <c r="AF4" s="2671"/>
      <c r="AG4" s="2671"/>
      <c r="AH4" s="2671"/>
    </row>
    <row r="5" spans="1:34" s="3110" customFormat="1">
      <c r="A5" s="3108" t="s">
        <v>2979</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9">
        <v>4</v>
      </c>
      <c r="I5" s="3123">
        <v>0</v>
      </c>
      <c r="J5" s="3123">
        <v>0</v>
      </c>
      <c r="K5" s="3123">
        <v>0</v>
      </c>
      <c r="L5" s="3123">
        <v>0</v>
      </c>
      <c r="N5" s="2759">
        <f t="shared" ref="N5" si="6">I5/100</f>
        <v>0</v>
      </c>
      <c r="O5" s="2759">
        <f t="shared" ref="O5" si="7">J5/100</f>
        <v>0</v>
      </c>
      <c r="P5" s="2759">
        <f t="shared" ref="P5" si="8">K5/100</f>
        <v>0</v>
      </c>
      <c r="Q5" s="2759">
        <f t="shared" ref="Q5" si="9">L5/100</f>
        <v>0</v>
      </c>
      <c r="R5" s="3111"/>
      <c r="S5" s="3112"/>
      <c r="T5" s="3111"/>
      <c r="U5" s="3111"/>
      <c r="V5" s="3111"/>
      <c r="W5" s="3139" t="s">
        <v>2967</v>
      </c>
      <c r="X5" s="3113">
        <f>ROUND(SUMPRODUCT(PRODUCT(1+N5:N$24)),4)</f>
        <v>1.54</v>
      </c>
      <c r="Y5" s="3113">
        <f>ROUND(SUMPRODUCT(PRODUCT(1+O5:O$24)),4)</f>
        <v>1.3547</v>
      </c>
      <c r="Z5" s="3113">
        <f t="shared" ref="Z5" si="10">Y5</f>
        <v>1.3547</v>
      </c>
      <c r="AA5" s="3113">
        <f>ROUND(SUMPRODUCT(PRODUCT(1+P5:P$24)),4)</f>
        <v>1.605</v>
      </c>
      <c r="AB5" s="3113">
        <f>ROUND(SUMPRODUCT(PRODUCT(1+Q5:Q$24)),4)</f>
        <v>1.3265</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58" customFormat="1" ht="13.5" thickBot="1">
      <c r="A6" s="2652" t="s">
        <v>2977</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8"/>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2978</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8"/>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2973</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8"/>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2964</v>
      </c>
      <c r="B9" s="3143">
        <v>439</v>
      </c>
      <c r="C9" s="3143">
        <v>327</v>
      </c>
      <c r="D9" s="3143">
        <f t="shared" si="33"/>
        <v>327</v>
      </c>
      <c r="E9" s="3143">
        <v>627</v>
      </c>
      <c r="F9" s="3144">
        <v>283</v>
      </c>
      <c r="G9" s="3126">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2968</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8"/>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2576</v>
      </c>
      <c r="B11" s="2666">
        <f t="shared" si="45"/>
        <v>419.31181600000002</v>
      </c>
      <c r="C11" s="2666">
        <f t="shared" si="45"/>
        <v>313.95436800000004</v>
      </c>
      <c r="D11" s="2666">
        <f t="shared" si="33"/>
        <v>313.95436800000004</v>
      </c>
      <c r="E11" s="2666">
        <f t="shared" si="46"/>
        <v>596.63028431999999</v>
      </c>
      <c r="F11" s="2666">
        <f t="shared" si="46"/>
        <v>274.74220703999998</v>
      </c>
      <c r="G11" s="3127"/>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2577</v>
      </c>
      <c r="B12" s="2666">
        <f t="shared" si="45"/>
        <v>405.524</v>
      </c>
      <c r="C12" s="2666">
        <f t="shared" si="45"/>
        <v>307.79840000000002</v>
      </c>
      <c r="D12" s="2666">
        <f t="shared" si="33"/>
        <v>307.79840000000002</v>
      </c>
      <c r="E12" s="2666">
        <f t="shared" si="46"/>
        <v>574.67759999999998</v>
      </c>
      <c r="F12" s="2666">
        <f t="shared" si="46"/>
        <v>270.20280000000002</v>
      </c>
      <c r="G12" s="3128"/>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965</v>
      </c>
      <c r="B13" s="2658">
        <v>392</v>
      </c>
      <c r="C13" s="2658">
        <v>302</v>
      </c>
      <c r="D13" s="2658">
        <f t="shared" si="33"/>
        <v>302</v>
      </c>
      <c r="E13" s="2658">
        <v>553</v>
      </c>
      <c r="F13" s="2659">
        <v>266</v>
      </c>
      <c r="G13" s="3618">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964</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613"/>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954</v>
      </c>
      <c r="B15" s="2666">
        <f t="shared" si="54"/>
        <v>360.06949782209392</v>
      </c>
      <c r="C15" s="2666">
        <f t="shared" si="54"/>
        <v>289.84672674747821</v>
      </c>
      <c r="D15" s="2666">
        <f t="shared" si="55"/>
        <v>289.84672674747821</v>
      </c>
      <c r="E15" s="2666">
        <f t="shared" si="56"/>
        <v>501.06543001181495</v>
      </c>
      <c r="F15" s="2666">
        <f t="shared" si="56"/>
        <v>256.82882500744967</v>
      </c>
      <c r="G15" s="3613"/>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963</v>
      </c>
      <c r="B16" s="2666">
        <f t="shared" si="54"/>
        <v>346.720748986128</v>
      </c>
      <c r="C16" s="2666">
        <f t="shared" si="54"/>
        <v>284.30282172386285</v>
      </c>
      <c r="D16" s="2666">
        <f t="shared" si="55"/>
        <v>284.30282172386285</v>
      </c>
      <c r="E16" s="2666">
        <f t="shared" si="56"/>
        <v>479.58023546306947</v>
      </c>
      <c r="F16" s="2666">
        <f t="shared" si="56"/>
        <v>253.25788877571213</v>
      </c>
      <c r="G16" s="3614"/>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962</v>
      </c>
      <c r="B17" s="2658">
        <v>333</v>
      </c>
      <c r="C17" s="2658">
        <v>277</v>
      </c>
      <c r="D17" s="2658">
        <f t="shared" si="55"/>
        <v>277</v>
      </c>
      <c r="E17" s="2658">
        <v>459</v>
      </c>
      <c r="F17" s="2659">
        <v>249</v>
      </c>
      <c r="G17" s="3612">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961</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613"/>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960</v>
      </c>
      <c r="B19" s="2666">
        <f t="shared" si="58"/>
        <v>322.34053690220776</v>
      </c>
      <c r="C19" s="2666">
        <f t="shared" si="58"/>
        <v>271.46160770422546</v>
      </c>
      <c r="D19" s="2666">
        <f t="shared" si="55"/>
        <v>271.46160770422546</v>
      </c>
      <c r="E19" s="2666">
        <f t="shared" si="59"/>
        <v>442.69434542172456</v>
      </c>
      <c r="F19" s="2666">
        <f t="shared" si="59"/>
        <v>241.34030753190925</v>
      </c>
      <c r="G19" s="3613"/>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959</v>
      </c>
      <c r="B20" s="2666">
        <f t="shared" si="58"/>
        <v>319.87748030386797</v>
      </c>
      <c r="C20" s="2666">
        <f t="shared" si="58"/>
        <v>269.60135833173649</v>
      </c>
      <c r="D20" s="2666">
        <f t="shared" si="55"/>
        <v>269.60135833173649</v>
      </c>
      <c r="E20" s="2666">
        <f t="shared" si="59"/>
        <v>439.18089823583784</v>
      </c>
      <c r="F20" s="2666">
        <f t="shared" si="59"/>
        <v>239.23503918706311</v>
      </c>
      <c r="G20" s="3614"/>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958</v>
      </c>
      <c r="B21" s="2680">
        <v>318</v>
      </c>
      <c r="C21" s="2680">
        <v>268</v>
      </c>
      <c r="D21" s="2680">
        <f t="shared" si="55"/>
        <v>268</v>
      </c>
      <c r="E21" s="2680">
        <v>437</v>
      </c>
      <c r="F21" s="2681">
        <v>237</v>
      </c>
      <c r="G21" s="3612">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957</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613"/>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956</v>
      </c>
      <c r="B23" s="2666">
        <f t="shared" si="60"/>
        <v>314.72141172386546</v>
      </c>
      <c r="C23" s="2666">
        <f t="shared" si="60"/>
        <v>263.03901319069001</v>
      </c>
      <c r="D23" s="2666">
        <f t="shared" si="55"/>
        <v>263.03901319069001</v>
      </c>
      <c r="E23" s="2666">
        <f t="shared" si="61"/>
        <v>433.65745506782821</v>
      </c>
      <c r="F23" s="2666">
        <f t="shared" si="61"/>
        <v>233.23005080045735</v>
      </c>
      <c r="G23" s="3613"/>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955</v>
      </c>
      <c r="B24" s="2685">
        <f t="shared" si="60"/>
        <v>307.34512863658733</v>
      </c>
      <c r="C24" s="2685">
        <f t="shared" si="60"/>
        <v>257.80556031626975</v>
      </c>
      <c r="D24" s="2685">
        <f t="shared" si="55"/>
        <v>257.80556031626975</v>
      </c>
      <c r="E24" s="2685">
        <f t="shared" si="61"/>
        <v>422.70928459677179</v>
      </c>
      <c r="F24" s="2685">
        <f t="shared" si="61"/>
        <v>229.73803270336617</v>
      </c>
      <c r="G24" s="3614"/>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2635</v>
      </c>
      <c r="X24" s="2762">
        <v>1</v>
      </c>
      <c r="Y24" s="2762">
        <v>1</v>
      </c>
      <c r="Z24" s="2762">
        <v>1</v>
      </c>
      <c r="AA24" s="2762">
        <v>1</v>
      </c>
      <c r="AB24" s="2762">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2" t="s">
        <v>2578</v>
      </c>
      <c r="B25" s="2658">
        <v>299</v>
      </c>
      <c r="C25" s="2658">
        <v>252</v>
      </c>
      <c r="D25" s="2658">
        <f t="shared" si="55"/>
        <v>252</v>
      </c>
      <c r="E25" s="2658">
        <v>409</v>
      </c>
      <c r="F25" s="2659">
        <v>227</v>
      </c>
      <c r="G25" s="3615">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2579</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616"/>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2580</v>
      </c>
      <c r="B27" s="2666">
        <f t="shared" si="64"/>
        <v>288.2649053828776</v>
      </c>
      <c r="C27" s="2666">
        <f t="shared" si="64"/>
        <v>243.64564425013293</v>
      </c>
      <c r="D27" s="2666">
        <f t="shared" si="55"/>
        <v>243.64564425013293</v>
      </c>
      <c r="E27" s="2666">
        <f t="shared" si="65"/>
        <v>393.31080825986544</v>
      </c>
      <c r="F27" s="2666">
        <f t="shared" si="65"/>
        <v>223.07903790551154</v>
      </c>
      <c r="G27" s="3616"/>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2581</v>
      </c>
      <c r="B28" s="2666">
        <f t="shared" si="64"/>
        <v>282.50186729015837</v>
      </c>
      <c r="C28" s="2666">
        <f t="shared" si="64"/>
        <v>238.09796174155468</v>
      </c>
      <c r="D28" s="2666">
        <f t="shared" si="55"/>
        <v>238.09796174155468</v>
      </c>
      <c r="E28" s="2666">
        <f t="shared" si="65"/>
        <v>385.33438646014054</v>
      </c>
      <c r="F28" s="2666">
        <f t="shared" si="65"/>
        <v>221.55034055567739</v>
      </c>
      <c r="G28" s="3617"/>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2582</v>
      </c>
      <c r="B29" s="2696">
        <v>278</v>
      </c>
      <c r="C29" s="2696">
        <v>234</v>
      </c>
      <c r="D29" s="2696">
        <f t="shared" si="55"/>
        <v>234</v>
      </c>
      <c r="E29" s="2696">
        <v>379</v>
      </c>
      <c r="F29" s="2697">
        <v>220</v>
      </c>
      <c r="G29" s="3612">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2583</v>
      </c>
      <c r="B30" s="2666">
        <f>B29/(1+N29)</f>
        <v>275.49301357645425</v>
      </c>
      <c r="C30" s="2666">
        <f>C29/(1+O29)</f>
        <v>232.41954707985698</v>
      </c>
      <c r="D30" s="2666">
        <f t="shared" si="55"/>
        <v>232.41954707985698</v>
      </c>
      <c r="E30" s="2666">
        <f t="shared" ref="E30:F32" si="66">E29/(1+P29)</f>
        <v>375.32184591008121</v>
      </c>
      <c r="F30" s="2666">
        <f t="shared" si="66"/>
        <v>218.03766105054513</v>
      </c>
      <c r="G30" s="3613"/>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2584</v>
      </c>
      <c r="B31" s="2666">
        <f>B30/(1+N30)</f>
        <v>275.24529281292263</v>
      </c>
      <c r="C31" s="2666">
        <f>C30/(1+O30)</f>
        <v>231.74747938962707</v>
      </c>
      <c r="D31" s="2666">
        <f t="shared" si="55"/>
        <v>231.74747938962707</v>
      </c>
      <c r="E31" s="2666">
        <f t="shared" si="66"/>
        <v>375.35938184826603</v>
      </c>
      <c r="F31" s="2666">
        <f t="shared" si="66"/>
        <v>216.78033510692495</v>
      </c>
      <c r="G31" s="3613"/>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2585</v>
      </c>
      <c r="B32" s="2666">
        <f>B31/(1+N31)</f>
        <v>275.19025476197027</v>
      </c>
      <c r="C32" s="2698">
        <v>232</v>
      </c>
      <c r="D32" s="2698">
        <f t="shared" si="55"/>
        <v>232</v>
      </c>
      <c r="E32" s="2666">
        <f t="shared" si="66"/>
        <v>375.65990977608692</v>
      </c>
      <c r="F32" s="2666">
        <f t="shared" si="66"/>
        <v>214.12518283971252</v>
      </c>
      <c r="G32" s="3614"/>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2586</v>
      </c>
      <c r="B33" s="2658">
        <v>275</v>
      </c>
      <c r="C33" s="2658">
        <v>232</v>
      </c>
      <c r="D33" s="2658">
        <f t="shared" si="55"/>
        <v>232</v>
      </c>
      <c r="E33" s="2658">
        <v>376</v>
      </c>
      <c r="F33" s="2659">
        <v>213</v>
      </c>
      <c r="G33" s="3612">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2587</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613">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2588</v>
      </c>
      <c r="B35" s="2666">
        <f t="shared" si="67"/>
        <v>275.19335084830601</v>
      </c>
      <c r="C35" s="2666">
        <f t="shared" si="67"/>
        <v>230.18088050139744</v>
      </c>
      <c r="D35" s="2666">
        <f t="shared" si="55"/>
        <v>230.18088050139744</v>
      </c>
      <c r="E35" s="2666">
        <f t="shared" si="68"/>
        <v>377.58482925212331</v>
      </c>
      <c r="F35" s="2666">
        <f t="shared" si="68"/>
        <v>210.90687997847917</v>
      </c>
      <c r="G35" s="3613">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2589</v>
      </c>
      <c r="B36" s="2666">
        <f t="shared" si="67"/>
        <v>276.29854502841971</v>
      </c>
      <c r="C36" s="2666">
        <f t="shared" si="67"/>
        <v>229.79023709833027</v>
      </c>
      <c r="D36" s="2666">
        <f t="shared" si="55"/>
        <v>229.79023709833027</v>
      </c>
      <c r="E36" s="2666">
        <f t="shared" si="68"/>
        <v>379.78759731655936</v>
      </c>
      <c r="F36" s="2666">
        <f t="shared" si="68"/>
        <v>211.32953905659235</v>
      </c>
      <c r="G36" s="3614">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2590</v>
      </c>
      <c r="B37" s="2658">
        <v>269</v>
      </c>
      <c r="C37" s="2658">
        <v>221</v>
      </c>
      <c r="D37" s="2658">
        <f t="shared" si="55"/>
        <v>221</v>
      </c>
      <c r="E37" s="2658">
        <v>373</v>
      </c>
      <c r="F37" s="2659">
        <v>196</v>
      </c>
      <c r="G37" s="3612">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2591</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613">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2592</v>
      </c>
      <c r="B39" s="2666">
        <f t="shared" si="69"/>
        <v>242.95398227588385</v>
      </c>
      <c r="C39" s="2666">
        <f t="shared" si="69"/>
        <v>199.59137053614126</v>
      </c>
      <c r="D39" s="2666">
        <f t="shared" si="55"/>
        <v>199.59137053614126</v>
      </c>
      <c r="E39" s="2666">
        <f t="shared" si="70"/>
        <v>335.92189522342125</v>
      </c>
      <c r="F39" s="2666">
        <f t="shared" si="70"/>
        <v>183.10139991109489</v>
      </c>
      <c r="G39" s="3613">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2593</v>
      </c>
      <c r="B40" s="2666">
        <f t="shared" si="69"/>
        <v>232.06990378821649</v>
      </c>
      <c r="C40" s="2666">
        <f t="shared" si="69"/>
        <v>192.74878854286936</v>
      </c>
      <c r="D40" s="2666">
        <f t="shared" si="55"/>
        <v>192.74878854286936</v>
      </c>
      <c r="E40" s="2666">
        <f t="shared" si="70"/>
        <v>319.71247284992984</v>
      </c>
      <c r="F40" s="2666">
        <f t="shared" si="70"/>
        <v>175.67053622862409</v>
      </c>
      <c r="G40" s="3614">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2594</v>
      </c>
      <c r="B41" s="2658">
        <v>220</v>
      </c>
      <c r="C41" s="2658">
        <v>187</v>
      </c>
      <c r="D41" s="2658">
        <f t="shared" si="55"/>
        <v>187</v>
      </c>
      <c r="E41" s="2658">
        <v>301</v>
      </c>
      <c r="F41" s="2659">
        <v>168</v>
      </c>
      <c r="G41" s="3612">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2595</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613">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2596</v>
      </c>
      <c r="B43" s="2666">
        <f t="shared" si="71"/>
        <v>210.630522469011</v>
      </c>
      <c r="C43" s="2666">
        <f t="shared" si="71"/>
        <v>181.69567812247232</v>
      </c>
      <c r="D43" s="2666">
        <f t="shared" si="55"/>
        <v>181.69567812247232</v>
      </c>
      <c r="E43" s="2666">
        <f t="shared" si="72"/>
        <v>286.13517466736738</v>
      </c>
      <c r="F43" s="2666">
        <f t="shared" si="72"/>
        <v>165.47535084591149</v>
      </c>
      <c r="G43" s="3613">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2597</v>
      </c>
      <c r="B44" s="2666">
        <f t="shared" si="71"/>
        <v>208.83454537875372</v>
      </c>
      <c r="C44" s="2666">
        <f t="shared" si="71"/>
        <v>183.77230517090351</v>
      </c>
      <c r="D44" s="2666">
        <f t="shared" si="55"/>
        <v>183.77230517090351</v>
      </c>
      <c r="E44" s="2666">
        <f t="shared" si="72"/>
        <v>281.10342338870947</v>
      </c>
      <c r="F44" s="2666">
        <f t="shared" si="72"/>
        <v>168.97309388942256</v>
      </c>
      <c r="G44" s="3614">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2598</v>
      </c>
      <c r="B45" s="2696">
        <v>214</v>
      </c>
      <c r="C45" s="2696">
        <v>188</v>
      </c>
      <c r="D45" s="2696">
        <f t="shared" si="55"/>
        <v>188</v>
      </c>
      <c r="E45" s="2696">
        <v>289</v>
      </c>
      <c r="F45" s="2697">
        <v>166</v>
      </c>
      <c r="G45" s="3612">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2599</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613">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2600</v>
      </c>
      <c r="B47" s="2666">
        <f t="shared" si="73"/>
        <v>206.31694671589116</v>
      </c>
      <c r="C47" s="2666">
        <f t="shared" si="73"/>
        <v>183.61041121036101</v>
      </c>
      <c r="D47" s="2666">
        <f t="shared" si="55"/>
        <v>183.61041121036101</v>
      </c>
      <c r="E47" s="2666">
        <f t="shared" si="74"/>
        <v>276.66850301795557</v>
      </c>
      <c r="F47" s="2666">
        <f t="shared" si="74"/>
        <v>165.1360938278614</v>
      </c>
      <c r="G47" s="3613">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2601</v>
      </c>
      <c r="B48" s="2699">
        <f t="shared" si="73"/>
        <v>196.62341248059772</v>
      </c>
      <c r="C48" s="2699">
        <f t="shared" si="73"/>
        <v>170.99125648199012</v>
      </c>
      <c r="D48" s="2699">
        <f t="shared" si="55"/>
        <v>170.99125648199012</v>
      </c>
      <c r="E48" s="2699">
        <f t="shared" si="74"/>
        <v>266.07857570490052</v>
      </c>
      <c r="F48" s="2699">
        <f t="shared" si="74"/>
        <v>154.53499328828505</v>
      </c>
      <c r="G48" s="3614">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2602</v>
      </c>
      <c r="B49" s="2658">
        <v>188</v>
      </c>
      <c r="C49" s="2658">
        <v>165</v>
      </c>
      <c r="D49" s="2658">
        <f t="shared" si="55"/>
        <v>165</v>
      </c>
      <c r="E49" s="2658">
        <v>254</v>
      </c>
      <c r="F49" s="2659">
        <v>148</v>
      </c>
      <c r="G49" s="3612">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2603</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613">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2604</v>
      </c>
      <c r="B51" s="2666">
        <f t="shared" si="77"/>
        <v>168.82017748715555</v>
      </c>
      <c r="C51" s="2666">
        <f t="shared" si="77"/>
        <v>148.06267029972753</v>
      </c>
      <c r="D51" s="2666">
        <f t="shared" si="55"/>
        <v>148.06267029972753</v>
      </c>
      <c r="E51" s="2666">
        <f t="shared" si="78"/>
        <v>216.46288379323747</v>
      </c>
      <c r="F51" s="2666">
        <f t="shared" si="78"/>
        <v>134.23529411764704</v>
      </c>
      <c r="G51" s="3613">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2605</v>
      </c>
      <c r="B52" s="2666">
        <f t="shared" si="77"/>
        <v>163.84913591779542</v>
      </c>
      <c r="C52" s="2666">
        <f t="shared" si="77"/>
        <v>145.0283378746594</v>
      </c>
      <c r="D52" s="2666">
        <f t="shared" si="55"/>
        <v>145.0283378746594</v>
      </c>
      <c r="E52" s="2666">
        <f t="shared" si="78"/>
        <v>204.95180722891567</v>
      </c>
      <c r="F52" s="2666">
        <f t="shared" si="78"/>
        <v>125.95920303605313</v>
      </c>
      <c r="G52" s="3614">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2606</v>
      </c>
      <c r="B53" s="2680">
        <v>159</v>
      </c>
      <c r="C53" s="2680">
        <v>141</v>
      </c>
      <c r="D53" s="2680">
        <f t="shared" si="55"/>
        <v>141</v>
      </c>
      <c r="E53" s="2680">
        <v>195</v>
      </c>
      <c r="F53" s="2681">
        <v>122</v>
      </c>
      <c r="G53" s="3612">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2607</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613">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2608</v>
      </c>
      <c r="B55" s="2666">
        <f t="shared" si="81"/>
        <v>146.57412060301507</v>
      </c>
      <c r="C55" s="2666">
        <f t="shared" si="81"/>
        <v>136.46831955922866</v>
      </c>
      <c r="D55" s="2666">
        <f t="shared" si="55"/>
        <v>136.46831955922866</v>
      </c>
      <c r="E55" s="2666">
        <f t="shared" si="82"/>
        <v>166.73864894795128</v>
      </c>
      <c r="F55" s="2666">
        <f t="shared" si="82"/>
        <v>115.05882352941177</v>
      </c>
      <c r="G55" s="3613">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2609</v>
      </c>
      <c r="B56" s="2666">
        <f t="shared" si="81"/>
        <v>144.04145728643215</v>
      </c>
      <c r="C56" s="2666">
        <f t="shared" si="81"/>
        <v>136.12396694214877</v>
      </c>
      <c r="D56" s="2666">
        <f t="shared" si="55"/>
        <v>136.12396694214877</v>
      </c>
      <c r="E56" s="2666">
        <f t="shared" si="82"/>
        <v>158.32225913621264</v>
      </c>
      <c r="F56" s="2666">
        <f t="shared" si="82"/>
        <v>114.04278074866311</v>
      </c>
      <c r="G56" s="3614">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2610</v>
      </c>
      <c r="B57" s="2680">
        <v>138</v>
      </c>
      <c r="C57" s="2680">
        <v>131</v>
      </c>
      <c r="D57" s="2680">
        <f t="shared" si="55"/>
        <v>131</v>
      </c>
      <c r="E57" s="2680">
        <v>155</v>
      </c>
      <c r="F57" s="2681">
        <v>114</v>
      </c>
      <c r="G57" s="3612">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2611</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613">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2612</v>
      </c>
      <c r="B59" s="2666">
        <f t="shared" si="85"/>
        <v>124.29032258064517</v>
      </c>
      <c r="C59" s="2666">
        <f t="shared" si="85"/>
        <v>123.8968609865471</v>
      </c>
      <c r="D59" s="2666">
        <f t="shared" si="55"/>
        <v>123.8968609865471</v>
      </c>
      <c r="E59" s="2666">
        <f t="shared" si="86"/>
        <v>138.00507614213197</v>
      </c>
      <c r="F59" s="2666">
        <f t="shared" si="86"/>
        <v>107.96106557377048</v>
      </c>
      <c r="G59" s="3613">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2613</v>
      </c>
      <c r="B60" s="2666">
        <f t="shared" si="85"/>
        <v>122.57204301075269</v>
      </c>
      <c r="C60" s="2666">
        <f t="shared" si="85"/>
        <v>123.4932735426009</v>
      </c>
      <c r="D60" s="2666">
        <f t="shared" si="55"/>
        <v>123.4932735426009</v>
      </c>
      <c r="E60" s="2666">
        <f t="shared" si="86"/>
        <v>129.82233502538071</v>
      </c>
      <c r="F60" s="2666">
        <f t="shared" si="86"/>
        <v>107.39446721311475</v>
      </c>
      <c r="G60" s="3614">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2614</v>
      </c>
      <c r="B61" s="2696">
        <v>121</v>
      </c>
      <c r="C61" s="2696">
        <v>122</v>
      </c>
      <c r="D61" s="2696">
        <f t="shared" si="55"/>
        <v>122</v>
      </c>
      <c r="E61" s="2696">
        <v>124</v>
      </c>
      <c r="F61" s="2697">
        <v>107</v>
      </c>
      <c r="G61" s="3612">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2615</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613">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2616</v>
      </c>
      <c r="B63" s="2666">
        <f t="shared" si="89"/>
        <v>116.99099099099099</v>
      </c>
      <c r="C63" s="2666">
        <f t="shared" si="89"/>
        <v>118.84848484848486</v>
      </c>
      <c r="D63" s="2666">
        <f t="shared" si="55"/>
        <v>118.84848484848486</v>
      </c>
      <c r="E63" s="2666">
        <f t="shared" si="90"/>
        <v>117.60960960960961</v>
      </c>
      <c r="F63" s="2666">
        <f t="shared" si="90"/>
        <v>104</v>
      </c>
      <c r="G63" s="3613">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2617</v>
      </c>
      <c r="B64" s="2699">
        <f t="shared" si="89"/>
        <v>112.48648648648648</v>
      </c>
      <c r="C64" s="2699">
        <f t="shared" si="89"/>
        <v>115.21212121212122</v>
      </c>
      <c r="D64" s="2699">
        <f t="shared" si="55"/>
        <v>115.21212121212122</v>
      </c>
      <c r="E64" s="2699">
        <f t="shared" si="90"/>
        <v>110.4024024024024</v>
      </c>
      <c r="F64" s="2699">
        <f t="shared" si="90"/>
        <v>104</v>
      </c>
      <c r="G64" s="3614">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2618</v>
      </c>
      <c r="B65" s="2717">
        <v>111</v>
      </c>
      <c r="C65" s="2717">
        <v>114</v>
      </c>
      <c r="D65" s="2717">
        <f t="shared" si="55"/>
        <v>114</v>
      </c>
      <c r="E65" s="2717">
        <v>108</v>
      </c>
      <c r="F65" s="2718">
        <v>104</v>
      </c>
      <c r="G65" s="3612">
        <v>2003</v>
      </c>
      <c r="H65" s="2707">
        <v>4</v>
      </c>
      <c r="I65" s="2719"/>
      <c r="J65" s="2719"/>
      <c r="K65" s="2719"/>
      <c r="L65" s="2719"/>
      <c r="N65" s="2720"/>
      <c r="O65" s="2719"/>
      <c r="P65" s="2719"/>
      <c r="Q65" s="2719"/>
      <c r="S65" s="2720"/>
      <c r="T65" s="2719"/>
      <c r="U65" s="2719"/>
      <c r="V65" s="2719"/>
      <c r="X65" s="2711"/>
      <c r="Y65" s="2711"/>
      <c r="Z65" s="2711"/>
    </row>
    <row r="66" spans="1:26">
      <c r="A66" s="2652" t="s">
        <v>2619</v>
      </c>
      <c r="B66" s="2721">
        <f t="shared" ref="B66:C68" si="91">B67+(B$65-B$69)/4</f>
        <v>109.75</v>
      </c>
      <c r="C66" s="2721">
        <f t="shared" si="91"/>
        <v>112.25</v>
      </c>
      <c r="D66" s="2721">
        <f t="shared" si="55"/>
        <v>112.25</v>
      </c>
      <c r="E66" s="2721">
        <f t="shared" ref="E66:F68" si="92">E67+(E$65-E$69)/4</f>
        <v>107.25</v>
      </c>
      <c r="F66" s="2721">
        <f t="shared" si="92"/>
        <v>103.5</v>
      </c>
      <c r="G66" s="3613">
        <v>2003</v>
      </c>
      <c r="H66" s="2677">
        <v>3</v>
      </c>
      <c r="I66" s="2719"/>
      <c r="J66" s="2719"/>
      <c r="K66" s="2719"/>
      <c r="L66" s="2719"/>
      <c r="X66" s="2711"/>
      <c r="Y66" s="2711"/>
      <c r="Z66" s="2711"/>
    </row>
    <row r="67" spans="1:26">
      <c r="A67" s="2652" t="s">
        <v>2620</v>
      </c>
      <c r="B67" s="2721">
        <f t="shared" si="91"/>
        <v>108.5</v>
      </c>
      <c r="C67" s="2721">
        <f t="shared" si="91"/>
        <v>110.5</v>
      </c>
      <c r="D67" s="2721">
        <f t="shared" si="55"/>
        <v>110.5</v>
      </c>
      <c r="E67" s="2721">
        <f t="shared" si="92"/>
        <v>106.5</v>
      </c>
      <c r="F67" s="2721">
        <f t="shared" si="92"/>
        <v>103</v>
      </c>
      <c r="G67" s="3613">
        <v>2003</v>
      </c>
      <c r="H67" s="2657">
        <v>2</v>
      </c>
      <c r="I67" s="2719"/>
      <c r="J67" s="2719"/>
      <c r="K67" s="2719"/>
      <c r="L67" s="2719"/>
      <c r="X67" s="2711"/>
      <c r="Y67" s="2711"/>
      <c r="Z67" s="2711"/>
    </row>
    <row r="68" spans="1:26" ht="13.5" thickBot="1">
      <c r="A68" s="2652" t="s">
        <v>2621</v>
      </c>
      <c r="B68" s="2721">
        <f t="shared" si="91"/>
        <v>107.25</v>
      </c>
      <c r="C68" s="2721">
        <f t="shared" si="91"/>
        <v>108.75</v>
      </c>
      <c r="D68" s="2721">
        <f t="shared" si="55"/>
        <v>108.75</v>
      </c>
      <c r="E68" s="2721">
        <f t="shared" si="92"/>
        <v>105.75</v>
      </c>
      <c r="F68" s="2721">
        <f t="shared" si="92"/>
        <v>102.5</v>
      </c>
      <c r="G68" s="3614">
        <v>2003</v>
      </c>
      <c r="H68" s="2722">
        <v>1</v>
      </c>
      <c r="I68" s="2719"/>
      <c r="J68" s="2719"/>
      <c r="K68" s="2719"/>
      <c r="L68" s="2719"/>
      <c r="S68" s="2661"/>
      <c r="T68" s="2662"/>
      <c r="U68" s="2662"/>
      <c r="X68" s="2711"/>
      <c r="Y68" s="2711"/>
      <c r="Z68" s="2711"/>
    </row>
    <row r="69" spans="1:26" ht="13.5" thickBot="1">
      <c r="A69" s="2652" t="s">
        <v>2622</v>
      </c>
      <c r="B69" s="2723">
        <v>106</v>
      </c>
      <c r="C69" s="2723">
        <v>107</v>
      </c>
      <c r="D69" s="2723">
        <f t="shared" si="55"/>
        <v>107</v>
      </c>
      <c r="E69" s="2723">
        <v>105</v>
      </c>
      <c r="F69" s="2724">
        <v>102</v>
      </c>
      <c r="G69" s="3612">
        <v>2002</v>
      </c>
      <c r="H69" s="2672">
        <v>4</v>
      </c>
      <c r="I69" s="2719"/>
      <c r="J69" s="2719"/>
      <c r="K69" s="2719"/>
      <c r="L69" s="2719"/>
      <c r="N69" s="2720"/>
      <c r="O69" s="2719"/>
      <c r="P69" s="2719"/>
      <c r="Q69" s="2719"/>
      <c r="S69" s="2720"/>
      <c r="T69" s="2719"/>
      <c r="U69" s="2719"/>
      <c r="V69" s="2719"/>
      <c r="X69" s="2711"/>
      <c r="Y69" s="2711"/>
      <c r="Z69" s="2711"/>
    </row>
    <row r="70" spans="1:26">
      <c r="A70" s="2652" t="s">
        <v>2623</v>
      </c>
      <c r="B70" s="2721">
        <f t="shared" ref="B70:C72" si="93">B71+(B$69-B$73)/4</f>
        <v>105</v>
      </c>
      <c r="C70" s="2721">
        <f t="shared" si="93"/>
        <v>106</v>
      </c>
      <c r="D70" s="2721">
        <f t="shared" si="55"/>
        <v>106</v>
      </c>
      <c r="E70" s="2721">
        <f t="shared" ref="E70:F72" si="94">E71+(E$69-E$73)/4</f>
        <v>104.5</v>
      </c>
      <c r="F70" s="2721">
        <f t="shared" si="94"/>
        <v>101.5</v>
      </c>
      <c r="G70" s="3613">
        <v>2002</v>
      </c>
      <c r="H70" s="2677">
        <v>3</v>
      </c>
      <c r="I70" s="2719"/>
      <c r="J70" s="2719"/>
      <c r="K70" s="2719"/>
      <c r="L70" s="2719"/>
      <c r="X70" s="2711"/>
      <c r="Y70" s="2711"/>
      <c r="Z70" s="2711"/>
    </row>
    <row r="71" spans="1:26">
      <c r="A71" s="2652" t="s">
        <v>2624</v>
      </c>
      <c r="B71" s="2721">
        <f t="shared" si="93"/>
        <v>104</v>
      </c>
      <c r="C71" s="2721">
        <f t="shared" si="93"/>
        <v>105</v>
      </c>
      <c r="D71" s="2721">
        <f t="shared" si="55"/>
        <v>105</v>
      </c>
      <c r="E71" s="2721">
        <f t="shared" si="94"/>
        <v>104</v>
      </c>
      <c r="F71" s="2721">
        <f t="shared" si="94"/>
        <v>101</v>
      </c>
      <c r="G71" s="3613">
        <v>2002</v>
      </c>
      <c r="H71" s="2657">
        <v>2</v>
      </c>
      <c r="I71" s="2719"/>
      <c r="J71" s="2719"/>
      <c r="K71" s="2719"/>
      <c r="L71" s="2719"/>
      <c r="X71" s="2711"/>
      <c r="Y71" s="2711"/>
      <c r="Z71" s="2711"/>
    </row>
    <row r="72" spans="1:26" s="2688" customFormat="1" ht="13.5" thickBot="1">
      <c r="A72" s="2684" t="s">
        <v>2625</v>
      </c>
      <c r="B72" s="2725">
        <f t="shared" si="93"/>
        <v>103</v>
      </c>
      <c r="C72" s="2725">
        <f t="shared" si="93"/>
        <v>104</v>
      </c>
      <c r="D72" s="2725">
        <f t="shared" si="55"/>
        <v>104</v>
      </c>
      <c r="E72" s="2725">
        <f t="shared" si="94"/>
        <v>103.5</v>
      </c>
      <c r="F72" s="2725">
        <f t="shared" si="94"/>
        <v>100.5</v>
      </c>
      <c r="G72" s="3614">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2626</v>
      </c>
      <c r="G75" s="2735"/>
      <c r="N75" s="2735"/>
      <c r="S75" s="2735"/>
    </row>
    <row r="76" spans="1:26" s="2734" customFormat="1">
      <c r="A76" s="2734" t="s">
        <v>2627</v>
      </c>
      <c r="G76" s="2735"/>
      <c r="N76" s="2735"/>
      <c r="S76" s="2735"/>
    </row>
    <row r="77" spans="1:26" s="2734" customFormat="1">
      <c r="A77" s="2734" t="s">
        <v>2628</v>
      </c>
      <c r="G77" s="2735"/>
      <c r="I77" s="2736"/>
      <c r="J77" s="2736"/>
      <c r="K77" s="2736"/>
      <c r="L77" s="2736"/>
      <c r="N77" s="2737"/>
      <c r="O77" s="2736"/>
      <c r="P77" s="2736"/>
      <c r="Q77" s="2736"/>
      <c r="S77" s="2737"/>
      <c r="T77" s="2736"/>
      <c r="U77" s="2736"/>
      <c r="V77" s="2736"/>
    </row>
    <row r="78" spans="1:26" s="2734" customFormat="1">
      <c r="A78" s="2734" t="s">
        <v>2629</v>
      </c>
      <c r="G78" s="2735"/>
      <c r="N78" s="2735"/>
      <c r="S78" s="2735"/>
    </row>
    <row r="85" spans="7:22" ht="13.5" thickBot="1"/>
    <row r="86" spans="7:22">
      <c r="G86" s="2660"/>
      <c r="S86" s="2738" t="s">
        <v>2630</v>
      </c>
      <c r="T86" s="2739" t="s">
        <v>2631</v>
      </c>
      <c r="U86" s="2739" t="s">
        <v>2632</v>
      </c>
      <c r="V86" s="2739" t="s">
        <v>2633</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35" t="s">
        <v>2466</v>
      </c>
      <c r="B1" s="3636"/>
      <c r="C1" s="3637"/>
      <c r="D1" s="3638">
        <f>SUM(I10,I15,I20,I21,I23)</f>
        <v>0</v>
      </c>
      <c r="E1" s="3638"/>
      <c r="F1" s="3638"/>
      <c r="G1" s="3638"/>
      <c r="H1" s="3638"/>
      <c r="I1" s="3639"/>
    </row>
    <row r="2" spans="1:9">
      <c r="A2" s="3625" t="s">
        <v>2467</v>
      </c>
      <c r="B2" s="3626" t="s">
        <v>2468</v>
      </c>
      <c r="C2" s="3626"/>
      <c r="D2" s="2504" t="s">
        <v>2469</v>
      </c>
      <c r="E2" s="2504" t="s">
        <v>2470</v>
      </c>
      <c r="F2" s="2504" t="s">
        <v>2471</v>
      </c>
      <c r="G2" s="2504" t="s">
        <v>2472</v>
      </c>
      <c r="H2" s="2504" t="s">
        <v>2473</v>
      </c>
      <c r="I2" s="2505" t="s">
        <v>2474</v>
      </c>
    </row>
    <row r="3" spans="1:9">
      <c r="A3" s="3625"/>
      <c r="B3" s="3626" t="s">
        <v>2475</v>
      </c>
      <c r="C3" s="3626"/>
      <c r="D3" s="2506"/>
      <c r="E3" s="2504"/>
      <c r="F3" s="2507"/>
      <c r="G3" s="2507"/>
      <c r="H3" s="2508"/>
      <c r="I3" s="2509">
        <f>ROUND(D3*E3*F3*G3*H3/10000,0)</f>
        <v>0</v>
      </c>
    </row>
    <row r="4" spans="1:9">
      <c r="A4" s="3625"/>
      <c r="B4" s="3626" t="s">
        <v>2476</v>
      </c>
      <c r="C4" s="3626"/>
      <c r="D4" s="2506"/>
      <c r="E4" s="2504"/>
      <c r="F4" s="2507"/>
      <c r="G4" s="2507"/>
      <c r="H4" s="2508"/>
      <c r="I4" s="2509">
        <f t="shared" ref="I4:I9" si="0">ROUND(D4*E4*F4*G4*H4/10000,0)</f>
        <v>0</v>
      </c>
    </row>
    <row r="5" spans="1:9">
      <c r="A5" s="3625"/>
      <c r="B5" s="3626" t="s">
        <v>2477</v>
      </c>
      <c r="C5" s="3626"/>
      <c r="D5" s="2506"/>
      <c r="E5" s="2504"/>
      <c r="F5" s="2507"/>
      <c r="G5" s="2507"/>
      <c r="H5" s="2508"/>
      <c r="I5" s="2509">
        <f t="shared" si="0"/>
        <v>0</v>
      </c>
    </row>
    <row r="6" spans="1:9">
      <c r="A6" s="3625"/>
      <c r="B6" s="3626" t="s">
        <v>2478</v>
      </c>
      <c r="C6" s="3626"/>
      <c r="D6" s="2506"/>
      <c r="E6" s="2504"/>
      <c r="F6" s="2507"/>
      <c r="G6" s="2507"/>
      <c r="H6" s="2508"/>
      <c r="I6" s="2509">
        <f t="shared" si="0"/>
        <v>0</v>
      </c>
    </row>
    <row r="7" spans="1:9">
      <c r="A7" s="3625"/>
      <c r="B7" s="3626" t="s">
        <v>2479</v>
      </c>
      <c r="C7" s="3626"/>
      <c r="D7" s="2506"/>
      <c r="E7" s="2504"/>
      <c r="F7" s="2507"/>
      <c r="G7" s="2507"/>
      <c r="H7" s="2508"/>
      <c r="I7" s="2509">
        <f t="shared" si="0"/>
        <v>0</v>
      </c>
    </row>
    <row r="8" spans="1:9">
      <c r="A8" s="3625"/>
      <c r="B8" s="3626" t="s">
        <v>2480</v>
      </c>
      <c r="C8" s="3626"/>
      <c r="D8" s="2506"/>
      <c r="E8" s="2504"/>
      <c r="F8" s="2507"/>
      <c r="G8" s="2507"/>
      <c r="H8" s="2508"/>
      <c r="I8" s="2509">
        <f t="shared" si="0"/>
        <v>0</v>
      </c>
    </row>
    <row r="9" spans="1:9">
      <c r="A9" s="3625"/>
      <c r="B9" s="3626" t="s">
        <v>2481</v>
      </c>
      <c r="C9" s="3626"/>
      <c r="D9" s="2506"/>
      <c r="E9" s="2504"/>
      <c r="F9" s="2507"/>
      <c r="G9" s="2507"/>
      <c r="H9" s="2508"/>
      <c r="I9" s="2509">
        <f t="shared" si="0"/>
        <v>0</v>
      </c>
    </row>
    <row r="10" spans="1:9">
      <c r="A10" s="3625"/>
      <c r="B10" s="3627" t="s">
        <v>2482</v>
      </c>
      <c r="C10" s="3627"/>
      <c r="D10" s="2510">
        <v>527</v>
      </c>
      <c r="E10" s="2510" t="e">
        <f>ROUND(D1*10000/D10/H9,0)</f>
        <v>#DIV/0!</v>
      </c>
      <c r="F10" s="2511"/>
      <c r="G10" s="2511"/>
      <c r="H10" s="2512"/>
      <c r="I10" s="2513">
        <f>SUM(I3:I9)</f>
        <v>0</v>
      </c>
    </row>
    <row r="11" spans="1:9" ht="14.25">
      <c r="A11" s="3625" t="s">
        <v>2483</v>
      </c>
      <c r="B11" s="3626" t="s">
        <v>2484</v>
      </c>
      <c r="C11" s="3626"/>
      <c r="D11" s="2506" t="s">
        <v>2485</v>
      </c>
      <c r="E11" s="2506" t="s">
        <v>2486</v>
      </c>
      <c r="F11" s="2507" t="s">
        <v>2487</v>
      </c>
      <c r="G11" s="2507" t="s">
        <v>2488</v>
      </c>
      <c r="H11" s="2514" t="s">
        <v>2489</v>
      </c>
      <c r="I11" s="2505" t="s">
        <v>2490</v>
      </c>
    </row>
    <row r="12" spans="1:9">
      <c r="A12" s="3625"/>
      <c r="B12" s="3626" t="s">
        <v>2491</v>
      </c>
      <c r="C12" s="3626"/>
      <c r="D12" s="2506"/>
      <c r="E12" s="2506"/>
      <c r="F12" s="2507"/>
      <c r="G12" s="2508"/>
      <c r="H12" s="2515"/>
      <c r="I12" s="2505">
        <f>ROUND(D12*E12*F12*G12/10000,0)</f>
        <v>0</v>
      </c>
    </row>
    <row r="13" spans="1:9">
      <c r="A13" s="3625"/>
      <c r="B13" s="3626" t="s">
        <v>2492</v>
      </c>
      <c r="C13" s="3626"/>
      <c r="D13" s="2506"/>
      <c r="E13" s="2506"/>
      <c r="F13" s="2507"/>
      <c r="G13" s="2508"/>
      <c r="H13" s="2515"/>
      <c r="I13" s="2505">
        <f>ROUND(D13*E13*F13*G13/10000,0)</f>
        <v>0</v>
      </c>
    </row>
    <row r="14" spans="1:9">
      <c r="A14" s="3625"/>
      <c r="B14" s="3626" t="s">
        <v>2493</v>
      </c>
      <c r="C14" s="3626"/>
      <c r="D14" s="2506"/>
      <c r="E14" s="2506"/>
      <c r="F14" s="2507"/>
      <c r="G14" s="2508"/>
      <c r="H14" s="2515"/>
      <c r="I14" s="2505">
        <f>ROUND(D14*E14*F14*G14/10000,0)</f>
        <v>0</v>
      </c>
    </row>
    <row r="15" spans="1:9">
      <c r="A15" s="3625"/>
      <c r="B15" s="3627" t="s">
        <v>2482</v>
      </c>
      <c r="C15" s="3627"/>
      <c r="D15" s="2510"/>
      <c r="E15" s="2510">
        <f>SUM(E12:E14)</f>
        <v>0</v>
      </c>
      <c r="F15" s="2511"/>
      <c r="G15" s="2508"/>
      <c r="H15" s="2515"/>
      <c r="I15" s="2516">
        <f>SUM(I12:I14)</f>
        <v>0</v>
      </c>
    </row>
    <row r="16" spans="1:9" ht="24">
      <c r="A16" s="3625" t="s">
        <v>2494</v>
      </c>
      <c r="B16" s="3626" t="s">
        <v>2495</v>
      </c>
      <c r="C16" s="3626"/>
      <c r="D16" s="2506" t="s">
        <v>2496</v>
      </c>
      <c r="E16" s="2517" t="s">
        <v>2497</v>
      </c>
      <c r="F16" s="2507" t="s">
        <v>2498</v>
      </c>
      <c r="G16" s="2508" t="s">
        <v>2488</v>
      </c>
      <c r="H16" s="2514" t="s">
        <v>2489</v>
      </c>
      <c r="I16" s="2505" t="s">
        <v>2490</v>
      </c>
    </row>
    <row r="17" spans="1:9" ht="14.25">
      <c r="A17" s="3625"/>
      <c r="B17" s="3626" t="s">
        <v>2499</v>
      </c>
      <c r="C17" s="3626"/>
      <c r="D17" s="2506"/>
      <c r="E17" s="2506"/>
      <c r="F17" s="2507"/>
      <c r="G17" s="2508"/>
      <c r="H17" s="2518"/>
      <c r="I17" s="2519">
        <f>ROUND(D17*E17*F17*G17/10000,0)</f>
        <v>0</v>
      </c>
    </row>
    <row r="18" spans="1:9" ht="14.25">
      <c r="A18" s="3625"/>
      <c r="B18" s="3626" t="s">
        <v>2500</v>
      </c>
      <c r="C18" s="3626"/>
      <c r="D18" s="2506"/>
      <c r="E18" s="2506"/>
      <c r="F18" s="2507"/>
      <c r="G18" s="2508"/>
      <c r="H18" s="2518"/>
      <c r="I18" s="2519">
        <f>ROUND(D18*E18*F18*G18/10000,0)</f>
        <v>0</v>
      </c>
    </row>
    <row r="19" spans="1:9" ht="14.25">
      <c r="A19" s="3625"/>
      <c r="B19" s="3626" t="s">
        <v>2501</v>
      </c>
      <c r="C19" s="3626"/>
      <c r="D19" s="2506"/>
      <c r="E19" s="2506"/>
      <c r="F19" s="2507"/>
      <c r="G19" s="2508"/>
      <c r="H19" s="2518"/>
      <c r="I19" s="2519">
        <f>ROUND(D19*E19*F19*G19/10000,0)</f>
        <v>0</v>
      </c>
    </row>
    <row r="20" spans="1:9">
      <c r="A20" s="3625"/>
      <c r="B20" s="3627" t="s">
        <v>2482</v>
      </c>
      <c r="C20" s="3627"/>
      <c r="D20" s="2510">
        <f>SUM(D17:D19)</f>
        <v>0</v>
      </c>
      <c r="E20" s="2510"/>
      <c r="F20" s="2511"/>
      <c r="G20" s="2508"/>
      <c r="H20" s="2515"/>
      <c r="I20" s="2516">
        <f>SUM(I17:I19)</f>
        <v>0</v>
      </c>
    </row>
    <row r="21" spans="1:9">
      <c r="A21" s="3625" t="s">
        <v>2502</v>
      </c>
      <c r="B21" s="3628"/>
      <c r="C21" s="3628"/>
      <c r="D21" s="3628"/>
      <c r="E21" s="3628"/>
      <c r="F21" s="3628"/>
      <c r="G21" s="3628"/>
      <c r="H21" s="2520">
        <v>0.1</v>
      </c>
      <c r="I21" s="2513">
        <f>ROUND(I10*H21,0)</f>
        <v>0</v>
      </c>
    </row>
    <row r="22" spans="1:9" ht="14.25">
      <c r="A22" s="3629" t="s">
        <v>2503</v>
      </c>
      <c r="B22" s="3630"/>
      <c r="C22" s="3631"/>
      <c r="D22" s="2521" t="s">
        <v>2504</v>
      </c>
      <c r="E22" s="2521" t="s">
        <v>2505</v>
      </c>
      <c r="F22" s="2522" t="s">
        <v>2506</v>
      </c>
      <c r="G22" s="2522" t="s">
        <v>2507</v>
      </c>
      <c r="H22" s="2514" t="s">
        <v>2508</v>
      </c>
      <c r="I22" s="2505" t="s">
        <v>2509</v>
      </c>
    </row>
    <row r="23" spans="1:9" ht="14.25" thickBot="1">
      <c r="A23" s="3632"/>
      <c r="B23" s="3633"/>
      <c r="C23" s="3634"/>
      <c r="D23" s="2523"/>
      <c r="E23" s="2523"/>
      <c r="F23" s="2523"/>
      <c r="G23" s="2524"/>
      <c r="H23" s="2525"/>
      <c r="I23" s="2526">
        <f>ROUND(E23*D23*F23*(1-G23)/10000,0)</f>
        <v>0</v>
      </c>
    </row>
    <row r="26" spans="1:9">
      <c r="A26" s="2527" t="s">
        <v>2510</v>
      </c>
      <c r="B26" s="2527"/>
      <c r="C26" s="2527"/>
      <c r="D26" s="2527"/>
      <c r="E26" s="3622">
        <f>C27-C30-C31-C32</f>
        <v>0</v>
      </c>
      <c r="F26" s="3622"/>
      <c r="G26" s="3622"/>
      <c r="H26" s="3038" t="s">
        <v>2838</v>
      </c>
    </row>
    <row r="27" spans="1:9">
      <c r="A27" s="2528">
        <v>1</v>
      </c>
      <c r="B27" s="2529" t="s">
        <v>2511</v>
      </c>
      <c r="C27" s="2529"/>
      <c r="D27" s="2529"/>
      <c r="E27" s="3623"/>
      <c r="F27" s="3623"/>
      <c r="G27" s="3623"/>
    </row>
    <row r="28" spans="1:9">
      <c r="A28" s="2530" t="s">
        <v>2512</v>
      </c>
      <c r="B28" s="2529" t="s">
        <v>2513</v>
      </c>
      <c r="C28" s="2529"/>
      <c r="D28" s="2529"/>
      <c r="E28" s="3623"/>
      <c r="F28" s="3623"/>
      <c r="G28" s="3623"/>
    </row>
    <row r="29" spans="1:9">
      <c r="A29" s="2530" t="s">
        <v>2514</v>
      </c>
      <c r="B29" s="2529" t="s">
        <v>2455</v>
      </c>
      <c r="C29" s="2529"/>
      <c r="D29" s="2529"/>
      <c r="E29" s="2529" t="s">
        <v>2515</v>
      </c>
      <c r="F29" s="2529"/>
      <c r="G29" s="2529"/>
    </row>
    <row r="30" spans="1:9">
      <c r="A30" s="2528">
        <v>2</v>
      </c>
      <c r="B30" s="2529" t="s">
        <v>2516</v>
      </c>
      <c r="C30" s="2529">
        <f>C27*D30</f>
        <v>0</v>
      </c>
      <c r="D30" s="2531">
        <v>0.2</v>
      </c>
      <c r="E30" s="2529" t="s">
        <v>2517</v>
      </c>
      <c r="F30" s="2529"/>
      <c r="G30" s="2529"/>
    </row>
    <row r="31" spans="1:9">
      <c r="A31" s="2528">
        <v>3</v>
      </c>
      <c r="B31" s="2529" t="s">
        <v>2518</v>
      </c>
      <c r="C31" s="2529">
        <f>C25*D31</f>
        <v>0</v>
      </c>
      <c r="D31" s="2531">
        <v>0.15</v>
      </c>
      <c r="E31" s="2529" t="s">
        <v>2519</v>
      </c>
      <c r="F31" s="2529"/>
      <c r="G31" s="2529"/>
    </row>
    <row r="32" spans="1:9">
      <c r="A32" s="2528">
        <v>4</v>
      </c>
      <c r="B32" s="2529" t="s">
        <v>2520</v>
      </c>
      <c r="C32" s="2529">
        <f>C27*D32</f>
        <v>0</v>
      </c>
      <c r="D32" s="2531">
        <v>0.05</v>
      </c>
      <c r="E32" s="3624"/>
      <c r="F32" s="3624"/>
      <c r="G32" s="3624"/>
    </row>
    <row r="33" spans="1:7" hidden="1">
      <c r="A33" s="3619" t="s">
        <v>2521</v>
      </c>
      <c r="B33" s="3620"/>
      <c r="C33" s="3620"/>
      <c r="D33" s="3621"/>
      <c r="E33" s="3622"/>
      <c r="F33" s="3622"/>
      <c r="G33" s="3622"/>
    </row>
    <row r="34" spans="1:7" hidden="1">
      <c r="A34" s="2532">
        <v>1</v>
      </c>
      <c r="B34" s="2529" t="s">
        <v>2522</v>
      </c>
      <c r="C34" s="2529"/>
      <c r="D34" s="2529"/>
      <c r="E34" s="3623"/>
      <c r="F34" s="3623"/>
      <c r="G34" s="3623"/>
    </row>
    <row r="35" spans="1:7" hidden="1">
      <c r="A35" s="2532">
        <v>2</v>
      </c>
      <c r="B35" s="2529" t="s">
        <v>2523</v>
      </c>
      <c r="C35" s="2529"/>
      <c r="D35" s="2529"/>
      <c r="E35" s="3623"/>
      <c r="F35" s="3623"/>
      <c r="G35" s="3623"/>
    </row>
    <row r="36" spans="1:7" hidden="1">
      <c r="A36" s="2532">
        <v>3</v>
      </c>
      <c r="B36" s="2529" t="s">
        <v>2524</v>
      </c>
      <c r="C36" s="2529"/>
      <c r="D36" s="2529"/>
      <c r="E36" s="3623"/>
      <c r="F36" s="3623"/>
      <c r="G36" s="3623"/>
    </row>
    <row r="37" spans="1:7" hidden="1">
      <c r="A37" s="2532">
        <v>4</v>
      </c>
      <c r="B37" s="2529" t="s">
        <v>2525</v>
      </c>
      <c r="C37" s="2529"/>
      <c r="D37" s="2529"/>
      <c r="E37" s="3623"/>
      <c r="F37" s="3623"/>
      <c r="G37" s="3623"/>
    </row>
    <row r="38" spans="1:7" hidden="1">
      <c r="A38" s="3619" t="s">
        <v>2526</v>
      </c>
      <c r="B38" s="3620"/>
      <c r="C38" s="3620"/>
      <c r="D38" s="3621"/>
      <c r="E38" s="3622"/>
      <c r="F38" s="3622"/>
      <c r="G38" s="36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7" t="s">
        <v>597</v>
      </c>
      <c r="B1" s="738"/>
      <c r="C1" s="2179"/>
      <c r="D1" s="2179"/>
      <c r="E1" s="2179"/>
      <c r="F1" s="2179"/>
      <c r="G1" s="2105"/>
    </row>
    <row r="2" spans="1:25" s="2056" customFormat="1" ht="18" customHeight="1">
      <c r="A2" s="419" t="s">
        <v>461</v>
      </c>
      <c r="B2" s="421">
        <f ca="1">C23</f>
        <v>0</v>
      </c>
      <c r="C2" s="2105"/>
      <c r="D2" s="2105"/>
      <c r="E2" s="2105"/>
      <c r="F2" s="2105"/>
      <c r="G2" s="2105"/>
    </row>
    <row r="3" spans="1:25" s="2056" customFormat="1" ht="18" customHeight="1">
      <c r="A3" s="1375" t="s">
        <v>1678</v>
      </c>
      <c r="B3" s="421">
        <f ca="1">ROUND(B2*10000/'数据-汇总表'!E3,0)</f>
        <v>0</v>
      </c>
      <c r="C3" s="2105"/>
      <c r="D3" s="2105"/>
      <c r="E3" s="2105"/>
      <c r="F3" s="2105"/>
      <c r="G3" s="2105"/>
    </row>
    <row r="4" spans="1:25" s="2056" customFormat="1" ht="18" customHeight="1">
      <c r="A4" s="422" t="s">
        <v>462</v>
      </c>
      <c r="B4" s="423">
        <f ca="1">ROUND(B2*10000/'数据-汇总表'!D3,0)</f>
        <v>0</v>
      </c>
      <c r="C4" s="2058"/>
      <c r="D4" s="2105"/>
      <c r="E4" s="2105"/>
      <c r="F4" s="2105"/>
      <c r="G4" s="2105"/>
    </row>
    <row r="5" spans="1:25" s="2056" customFormat="1" ht="18" customHeight="1" thickBot="1">
      <c r="A5" s="425"/>
      <c r="B5" s="426">
        <f ca="1">ROUND(B2/('数据-汇总表'!D3/666.67),0)</f>
        <v>0</v>
      </c>
      <c r="C5" s="427" t="s">
        <v>463</v>
      </c>
      <c r="D5" s="2105"/>
      <c r="E5" s="2105"/>
      <c r="F5" s="2105"/>
      <c r="G5" s="2105"/>
    </row>
    <row r="6" spans="1:25" s="2180" customFormat="1" ht="13.5" customHeight="1">
      <c r="A6" s="739"/>
      <c r="B6" s="740" t="s">
        <v>598</v>
      </c>
      <c r="C6" s="741" t="s">
        <v>599</v>
      </c>
      <c r="D6" s="741" t="s">
        <v>600</v>
      </c>
      <c r="E6" s="742" t="s">
        <v>601</v>
      </c>
      <c r="F6" s="742" t="s">
        <v>602</v>
      </c>
      <c r="G6" s="743"/>
    </row>
    <row r="7" spans="1:25" s="2180" customFormat="1" ht="13.5" customHeight="1">
      <c r="A7" s="2466">
        <v>1</v>
      </c>
      <c r="B7" s="744" t="s">
        <v>603</v>
      </c>
      <c r="C7" s="745">
        <f>C8+C9</f>
        <v>0</v>
      </c>
      <c r="D7" s="745"/>
      <c r="E7" s="746"/>
      <c r="F7" s="746"/>
      <c r="G7" s="2476"/>
    </row>
    <row r="8" spans="1:25" s="2180" customFormat="1" ht="13.5" customHeight="1">
      <c r="A8" s="2466" t="s">
        <v>2435</v>
      </c>
      <c r="B8" s="2469" t="s">
        <v>2437</v>
      </c>
      <c r="C8" s="2470"/>
      <c r="D8" s="745"/>
      <c r="E8" s="746"/>
      <c r="F8" s="746"/>
      <c r="G8" s="747"/>
    </row>
    <row r="9" spans="1:25" s="2180" customFormat="1" ht="13.5" customHeight="1">
      <c r="A9" s="2466" t="s">
        <v>2436</v>
      </c>
      <c r="B9" s="2469" t="s">
        <v>2438</v>
      </c>
      <c r="C9" s="2470"/>
      <c r="D9" s="745"/>
      <c r="E9" s="746"/>
      <c r="F9" s="746"/>
      <c r="G9" s="747"/>
    </row>
    <row r="10" spans="1:25" s="2180" customFormat="1" ht="36">
      <c r="A10" s="2466">
        <v>2</v>
      </c>
      <c r="B10" s="744" t="s">
        <v>607</v>
      </c>
      <c r="C10" s="745">
        <f>C11+C14+C15</f>
        <v>0</v>
      </c>
      <c r="D10" s="756">
        <f>'数据-汇总表'!E3</f>
        <v>709912</v>
      </c>
      <c r="E10" s="745">
        <f>'数据-取费表'!B31</f>
        <v>150</v>
      </c>
      <c r="F10" s="757"/>
      <c r="G10" s="755" t="s">
        <v>608</v>
      </c>
    </row>
    <row r="11" spans="1:25" s="2180" customFormat="1" ht="13.5" customHeight="1">
      <c r="A11" s="2466" t="s">
        <v>2435</v>
      </c>
      <c r="B11" s="748" t="s">
        <v>604</v>
      </c>
      <c r="C11" s="749">
        <f>'数据-取费表'!B29</f>
        <v>0</v>
      </c>
      <c r="D11" s="750"/>
      <c r="E11" s="749"/>
      <c r="F11" s="751"/>
      <c r="G11" s="2475" t="s">
        <v>2446</v>
      </c>
    </row>
    <row r="12" spans="1:25" s="2180" customFormat="1" ht="13.5" customHeight="1">
      <c r="A12" s="2473" t="s">
        <v>2443</v>
      </c>
      <c r="B12" s="752" t="s">
        <v>605</v>
      </c>
      <c r="C12" s="753">
        <f>ROUND(D12*E12/10000,0)</f>
        <v>6942</v>
      </c>
      <c r="D12" s="754">
        <f>'数据-汇总表'!E5</f>
        <v>433886</v>
      </c>
      <c r="E12" s="753">
        <f>'数据-取费表'!B27</f>
        <v>160</v>
      </c>
      <c r="F12" s="751"/>
      <c r="G12" s="755"/>
    </row>
    <row r="13" spans="1:25" s="2180" customFormat="1" ht="13.5" customHeight="1">
      <c r="A13" s="2473" t="s">
        <v>2442</v>
      </c>
      <c r="B13" s="752" t="s">
        <v>606</v>
      </c>
      <c r="C13" s="753">
        <f>ROUND(D13*E13/10000,0)</f>
        <v>5521</v>
      </c>
      <c r="D13" s="754">
        <f>'数据-汇总表'!E6</f>
        <v>276026</v>
      </c>
      <c r="E13" s="753">
        <f>'数据-取费表'!B28</f>
        <v>200</v>
      </c>
      <c r="F13" s="751"/>
      <c r="G13" s="755"/>
    </row>
    <row r="14" spans="1:25" s="2180" customFormat="1" ht="13.5" customHeight="1">
      <c r="A14" s="2466" t="s">
        <v>2436</v>
      </c>
      <c r="B14" s="2472" t="s">
        <v>2439</v>
      </c>
      <c r="C14" s="2470"/>
      <c r="D14" s="754"/>
      <c r="E14" s="753"/>
      <c r="F14" s="2471"/>
      <c r="G14" s="2474" t="s">
        <v>2444</v>
      </c>
    </row>
    <row r="15" spans="1:25" s="2180" customFormat="1" ht="13.5" customHeight="1">
      <c r="A15" s="2466" t="s">
        <v>2441</v>
      </c>
      <c r="B15" s="2472" t="s">
        <v>2440</v>
      </c>
      <c r="C15" s="2470"/>
      <c r="D15" s="754"/>
      <c r="E15" s="753"/>
      <c r="F15" s="2471"/>
      <c r="G15" s="2474" t="s">
        <v>2445</v>
      </c>
    </row>
    <row r="16" spans="1:25" s="2181" customFormat="1" ht="48">
      <c r="A16" s="2466">
        <v>3</v>
      </c>
      <c r="B16" s="744" t="s">
        <v>609</v>
      </c>
      <c r="C16" s="2470"/>
      <c r="D16" s="756"/>
      <c r="E16" s="745"/>
      <c r="F16" s="757"/>
      <c r="G16" s="755" t="s">
        <v>2447</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4" t="s">
        <v>610</v>
      </c>
      <c r="C17" s="2570">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4" t="s">
        <v>611</v>
      </c>
      <c r="C18" s="745">
        <f>ROUND((C7+C10+C16)*F18,0)</f>
        <v>0</v>
      </c>
      <c r="D18" s="758"/>
      <c r="E18" s="759"/>
      <c r="F18" s="757">
        <f>'数据-取费表'!Q16</f>
        <v>0.2</v>
      </c>
      <c r="G18" s="761" t="s">
        <v>612</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4" t="s">
        <v>613</v>
      </c>
      <c r="C19" s="745">
        <f ca="1">C7+C10+C16+C17+C18</f>
        <v>0</v>
      </c>
      <c r="D19" s="756"/>
      <c r="E19" s="745"/>
      <c r="F19" s="757"/>
      <c r="G19" s="761" t="s">
        <v>614</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4" t="s">
        <v>615</v>
      </c>
      <c r="C20" s="745">
        <f ca="1">ROUND(C19*F20,0)</f>
        <v>0</v>
      </c>
      <c r="D20" s="756"/>
      <c r="E20" s="745"/>
      <c r="F20" s="1345"/>
      <c r="G20" s="761" t="s">
        <v>616</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4" t="s">
        <v>617</v>
      </c>
      <c r="C21" s="745">
        <f ca="1">C19+C20</f>
        <v>0</v>
      </c>
      <c r="D21" s="756"/>
      <c r="E21" s="745"/>
      <c r="F21" s="757"/>
      <c r="G21" s="761" t="s">
        <v>618</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4" t="s">
        <v>619</v>
      </c>
      <c r="C22" s="745">
        <f ca="1">ROUND(C21*F22,0)</f>
        <v>0</v>
      </c>
      <c r="D22" s="756"/>
      <c r="E22" s="745"/>
      <c r="F22" s="762">
        <f>'数据-取费表'!AP16</f>
        <v>0.96399999999999997</v>
      </c>
      <c r="G22" s="761" t="s">
        <v>620</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3" t="s">
        <v>621</v>
      </c>
      <c r="C23" s="764">
        <f ca="1">C22</f>
        <v>0</v>
      </c>
      <c r="D23" s="765"/>
      <c r="E23" s="764"/>
      <c r="F23" s="766"/>
      <c r="G23" s="767"/>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499" t="s">
        <v>782</v>
      </c>
      <c r="C1" s="500" t="s">
        <v>714</v>
      </c>
      <c r="D1" s="845"/>
      <c r="E1" s="502"/>
      <c r="F1" s="2804"/>
      <c r="G1" s="1597" t="s">
        <v>715</v>
      </c>
      <c r="H1" s="502"/>
      <c r="I1" s="502"/>
      <c r="J1" s="502"/>
      <c r="K1" s="503"/>
      <c r="L1" s="1558"/>
      <c r="M1" s="1559"/>
      <c r="N1" s="1559"/>
      <c r="O1" s="1559"/>
      <c r="P1" s="1560"/>
      <c r="Q1" s="1560"/>
      <c r="R1" s="1560"/>
      <c r="S1" s="1560"/>
      <c r="T1" s="1560"/>
      <c r="U1" s="1560"/>
      <c r="V1" s="1560"/>
      <c r="W1" s="1560"/>
      <c r="X1" s="1560"/>
      <c r="Y1" s="1560"/>
      <c r="Z1" s="1560"/>
      <c r="AA1" s="1560"/>
      <c r="AB1" s="1560"/>
      <c r="AC1" s="424"/>
    </row>
    <row r="2" spans="1:29" s="1332" customFormat="1" ht="28.5" customHeight="1">
      <c r="A2" s="419" t="s">
        <v>461</v>
      </c>
      <c r="B2" s="846"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4"/>
    </row>
    <row r="3" spans="1:29" s="1332" customFormat="1" ht="28.5" customHeight="1" thickBot="1">
      <c r="A3" s="505" t="s">
        <v>513</v>
      </c>
      <c r="B3" s="506" t="e">
        <f>C43</f>
        <v>#DIV/0!</v>
      </c>
      <c r="C3" s="848" t="s">
        <v>716</v>
      </c>
      <c r="D3" s="847">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4"/>
    </row>
    <row r="4" spans="1:29" ht="15">
      <c r="A4" s="508" t="s">
        <v>515</v>
      </c>
      <c r="B4" s="509"/>
      <c r="C4" s="3552" t="s">
        <v>516</v>
      </c>
      <c r="D4" s="3553"/>
      <c r="E4" s="3554" t="s">
        <v>517</v>
      </c>
      <c r="F4" s="3555"/>
      <c r="G4" s="3552" t="s">
        <v>518</v>
      </c>
      <c r="H4" s="3553"/>
      <c r="I4" s="3552" t="s">
        <v>519</v>
      </c>
      <c r="J4" s="3553"/>
      <c r="K4" s="510" t="s">
        <v>520</v>
      </c>
      <c r="L4" s="2130"/>
      <c r="M4" s="2131"/>
      <c r="N4" s="2131"/>
      <c r="O4" s="2131"/>
      <c r="P4" s="3556" t="s">
        <v>521</v>
      </c>
      <c r="Q4" s="3557"/>
      <c r="R4" s="3539" t="s">
        <v>517</v>
      </c>
      <c r="S4" s="3540"/>
      <c r="T4" s="3539" t="s">
        <v>518</v>
      </c>
      <c r="U4" s="3540"/>
      <c r="V4" s="3564" t="s">
        <v>519</v>
      </c>
      <c r="W4" s="3564"/>
      <c r="X4" s="1563"/>
      <c r="Y4" s="3539" t="s">
        <v>521</v>
      </c>
      <c r="Z4" s="3540"/>
      <c r="AA4" s="3534" t="s">
        <v>517</v>
      </c>
      <c r="AB4" s="3535" t="s">
        <v>518</v>
      </c>
      <c r="AC4" s="3534" t="s">
        <v>519</v>
      </c>
    </row>
    <row r="5" spans="1:29" ht="15">
      <c r="A5" s="511"/>
      <c r="B5" s="512"/>
      <c r="C5" s="3589" t="s">
        <v>2925</v>
      </c>
      <c r="D5" s="3546"/>
      <c r="E5" s="3599" t="s">
        <v>2926</v>
      </c>
      <c r="F5" s="3544"/>
      <c r="G5" s="3589" t="s">
        <v>2927</v>
      </c>
      <c r="H5" s="3546"/>
      <c r="I5" s="3589" t="s">
        <v>2928</v>
      </c>
      <c r="J5" s="3546"/>
      <c r="K5" s="510"/>
      <c r="L5" s="2130"/>
      <c r="M5" s="2131"/>
      <c r="N5" s="2131"/>
      <c r="O5" s="2131"/>
      <c r="P5" s="3558"/>
      <c r="Q5" s="3559"/>
      <c r="R5" s="3541"/>
      <c r="S5" s="3542"/>
      <c r="T5" s="3541"/>
      <c r="U5" s="3542"/>
      <c r="V5" s="3564"/>
      <c r="W5" s="3564"/>
      <c r="X5" s="1563"/>
      <c r="Y5" s="3541"/>
      <c r="Z5" s="3542"/>
      <c r="AA5" s="3535"/>
      <c r="AB5" s="3535"/>
      <c r="AC5" s="3535"/>
    </row>
    <row r="6" spans="1:29" ht="15.75" thickBot="1">
      <c r="A6" s="513"/>
      <c r="B6" s="514"/>
      <c r="C6" s="3547" t="s">
        <v>2929</v>
      </c>
      <c r="D6" s="3548"/>
      <c r="E6" s="3549" t="s">
        <v>2929</v>
      </c>
      <c r="F6" s="3550"/>
      <c r="G6" s="3547" t="s">
        <v>2929</v>
      </c>
      <c r="H6" s="3548"/>
      <c r="I6" s="3547" t="s">
        <v>2929</v>
      </c>
      <c r="J6" s="3548"/>
      <c r="K6" s="510" t="s">
        <v>522</v>
      </c>
      <c r="L6" s="2130"/>
      <c r="M6" s="2131"/>
      <c r="N6" s="2131"/>
      <c r="O6" s="2131"/>
      <c r="P6" s="3560"/>
      <c r="Q6" s="3561"/>
      <c r="R6" s="3541"/>
      <c r="S6" s="3542"/>
      <c r="T6" s="3562"/>
      <c r="U6" s="3563"/>
      <c r="V6" s="3564"/>
      <c r="W6" s="3564"/>
      <c r="X6" s="1563"/>
      <c r="Y6" s="3562"/>
      <c r="Z6" s="3563"/>
      <c r="AA6" s="3536"/>
      <c r="AB6" s="3536"/>
      <c r="AC6" s="3536"/>
    </row>
    <row r="7" spans="1:29" s="1216" customFormat="1" ht="15.75" thickBot="1">
      <c r="A7" s="2909"/>
      <c r="B7" s="2916" t="s">
        <v>523</v>
      </c>
      <c r="C7" s="515">
        <f>'数据-取费表'!B2</f>
        <v>43388</v>
      </c>
      <c r="D7" s="516">
        <v>100</v>
      </c>
      <c r="E7" s="517"/>
      <c r="F7" s="518">
        <f>SUMIF(52:52,YEAR(E7)&amp;"-"&amp;MONTH(E7),53:53)</f>
        <v>0</v>
      </c>
      <c r="G7" s="517"/>
      <c r="H7" s="516">
        <f>SUMIF(52:52,YEAR(G7)&amp;"-"&amp;MONTH(G7),53:53)</f>
        <v>0</v>
      </c>
      <c r="I7" s="517"/>
      <c r="J7" s="516">
        <f>SUMIF(52:52,YEAR(I7)&amp;"-"&amp;MONTH(I7),53:53)</f>
        <v>0</v>
      </c>
      <c r="K7" s="520"/>
      <c r="L7" s="2132"/>
      <c r="M7" s="2133"/>
      <c r="N7" s="2133"/>
      <c r="O7" s="2133"/>
      <c r="P7" s="3537" t="s">
        <v>524</v>
      </c>
      <c r="Q7" s="3565"/>
      <c r="R7" s="1564" t="s">
        <v>8</v>
      </c>
      <c r="S7" s="1565">
        <f t="shared" ref="S7:S15" si="0">F7</f>
        <v>0</v>
      </c>
      <c r="T7" s="1564" t="s">
        <v>8</v>
      </c>
      <c r="U7" s="1565">
        <f t="shared" ref="U7:U15" si="1">H7</f>
        <v>0</v>
      </c>
      <c r="V7" s="1564" t="s">
        <v>8</v>
      </c>
      <c r="W7" s="1565">
        <f t="shared" ref="W7:W15" si="2">J7</f>
        <v>0</v>
      </c>
      <c r="X7" s="1566"/>
      <c r="Y7" s="3537" t="s">
        <v>524</v>
      </c>
      <c r="Z7" s="3538"/>
      <c r="AA7" s="1567" t="e">
        <f>D7/F7</f>
        <v>#DIV/0!</v>
      </c>
      <c r="AB7" s="1567" t="e">
        <f>D7/H7</f>
        <v>#DIV/0!</v>
      </c>
      <c r="AC7" s="1567" t="e">
        <f>D7/J7</f>
        <v>#DIV/0!</v>
      </c>
    </row>
    <row r="8" spans="1:29" s="1216" customFormat="1" ht="15.75" thickBot="1">
      <c r="A8" s="2910"/>
      <c r="B8" s="2917" t="s">
        <v>525</v>
      </c>
      <c r="C8" s="521" t="s">
        <v>570</v>
      </c>
      <c r="D8" s="516">
        <v>100</v>
      </c>
      <c r="E8" s="521"/>
      <c r="F8" s="518">
        <f>SUMIF(55:55,E8,56:56)-SUMIF(55:55,C8,56:56)+100</f>
        <v>0</v>
      </c>
      <c r="G8" s="521"/>
      <c r="H8" s="516">
        <f>SUMIF(55:55,G8,56:56)-SUMIF(55:55,C8,56:56)+100</f>
        <v>0</v>
      </c>
      <c r="I8" s="521"/>
      <c r="J8" s="516">
        <f>SUMIF(55:55,I8,56:56)-SUMIF(55:55,C8,56:56)+100</f>
        <v>0</v>
      </c>
      <c r="K8" s="520"/>
      <c r="L8" s="2132"/>
      <c r="M8" s="2133"/>
      <c r="N8" s="2133"/>
      <c r="O8" s="2133"/>
      <c r="P8" s="3537" t="s">
        <v>527</v>
      </c>
      <c r="Q8" s="3538"/>
      <c r="R8" s="1564" t="s">
        <v>8</v>
      </c>
      <c r="S8" s="1565">
        <f t="shared" si="0"/>
        <v>0</v>
      </c>
      <c r="T8" s="1564" t="s">
        <v>8</v>
      </c>
      <c r="U8" s="1565">
        <f t="shared" si="1"/>
        <v>0</v>
      </c>
      <c r="V8" s="1564" t="s">
        <v>8</v>
      </c>
      <c r="W8" s="1565">
        <f t="shared" si="2"/>
        <v>0</v>
      </c>
      <c r="X8" s="1566"/>
      <c r="Y8" s="3537" t="s">
        <v>527</v>
      </c>
      <c r="Z8" s="3538"/>
      <c r="AA8" s="1567" t="e">
        <f t="shared" ref="AA8:AA40" si="3">D8/F8</f>
        <v>#DIV/0!</v>
      </c>
      <c r="AB8" s="1567" t="e">
        <f t="shared" ref="AB8:AB40" si="4">D8/H8</f>
        <v>#DIV/0!</v>
      </c>
      <c r="AC8" s="1567" t="e">
        <f t="shared" ref="AC8:AC40" si="5">D8/J8</f>
        <v>#DIV/0!</v>
      </c>
    </row>
    <row r="9" spans="1:29" s="1216" customFormat="1" ht="15">
      <c r="A9" s="2911"/>
      <c r="B9" s="2918" t="s">
        <v>2751</v>
      </c>
      <c r="C9" s="853"/>
      <c r="D9" s="253">
        <v>100</v>
      </c>
      <c r="E9" s="856"/>
      <c r="F9" s="253">
        <f>SUMIF(57:57,E9,58:58)-SUMIF(57:57,C9,58:58)+100</f>
        <v>100</v>
      </c>
      <c r="G9" s="854"/>
      <c r="H9" s="253">
        <f>SUMIF(57:57,G9,58:58)-SUMIF(57:57,C9,58:58)+100</f>
        <v>100</v>
      </c>
      <c r="I9" s="854"/>
      <c r="J9" s="253">
        <f>SUMIF(57:57,I9,58:58)-SUMIF(57:57,C9,58:58)+100</f>
        <v>100</v>
      </c>
      <c r="K9" s="520"/>
      <c r="L9" s="2132"/>
      <c r="M9" s="2133"/>
      <c r="N9" s="2133"/>
      <c r="O9" s="2134"/>
      <c r="P9" s="3551" t="s">
        <v>529</v>
      </c>
      <c r="Q9" s="1147" t="str">
        <f t="shared" ref="Q9:Q15" si="6">B9</f>
        <v>用途</v>
      </c>
      <c r="R9" s="1564" t="s">
        <v>8</v>
      </c>
      <c r="S9" s="1565">
        <f t="shared" si="0"/>
        <v>100</v>
      </c>
      <c r="T9" s="1564" t="s">
        <v>8</v>
      </c>
      <c r="U9" s="1565">
        <f t="shared" si="1"/>
        <v>100</v>
      </c>
      <c r="V9" s="1564" t="s">
        <v>8</v>
      </c>
      <c r="W9" s="1565">
        <f t="shared" si="2"/>
        <v>100</v>
      </c>
      <c r="X9" s="1566"/>
      <c r="Y9" s="3489" t="s">
        <v>530</v>
      </c>
      <c r="Z9" s="1146" t="str">
        <f t="shared" ref="Z9:Z15" si="7">Q9</f>
        <v>用途</v>
      </c>
      <c r="AA9" s="1567">
        <f t="shared" si="3"/>
        <v>1</v>
      </c>
      <c r="AB9" s="1567">
        <f t="shared" si="4"/>
        <v>1</v>
      </c>
      <c r="AC9" s="1567">
        <f t="shared" si="5"/>
        <v>1</v>
      </c>
    </row>
    <row r="10" spans="1:29" s="1334" customFormat="1" ht="27">
      <c r="A10" s="2912"/>
      <c r="B10" s="2917" t="s">
        <v>2752</v>
      </c>
      <c r="C10" s="857"/>
      <c r="D10" s="254">
        <v>100</v>
      </c>
      <c r="E10" s="857"/>
      <c r="F10" s="254">
        <f>SUMIF(59:59,E10,60:60)-SUMIF(59:59,C10,60:60)+100</f>
        <v>100</v>
      </c>
      <c r="G10" s="858"/>
      <c r="H10" s="254">
        <f>SUMIF(59:59,G10,60:60)-SUMIF(59:59,C10,60:60)+100</f>
        <v>100</v>
      </c>
      <c r="I10" s="857"/>
      <c r="J10" s="254">
        <f>SUMIF(59:59,I10,60:60)-SUMIF(59:59,C10,60:60)+100</f>
        <v>100</v>
      </c>
      <c r="K10" s="580"/>
      <c r="L10" s="2135"/>
      <c r="M10" s="2175"/>
      <c r="N10" s="2175"/>
      <c r="O10" s="2136"/>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c r="A11" s="2913"/>
      <c r="B11" s="2917" t="s">
        <v>2753</v>
      </c>
      <c r="C11" s="529"/>
      <c r="D11" s="254">
        <v>100</v>
      </c>
      <c r="E11" s="529"/>
      <c r="F11" s="254" t="e">
        <f>LOOKUP(E11,62:62,63:63)-LOOKUP(C11,62:62,63:63)+100</f>
        <v>#N/A</v>
      </c>
      <c r="G11" s="530"/>
      <c r="H11" s="254" t="e">
        <f>LOOKUP(G11,62:62,63:63)-LOOKUP(C11,62:62,63:63)+100</f>
        <v>#N/A</v>
      </c>
      <c r="I11" s="529"/>
      <c r="J11" s="254" t="e">
        <f>LOOKUP(I11,62:62,63:63)-LOOKUP(C11,62:62,63:63)+100</f>
        <v>#N/A</v>
      </c>
      <c r="K11" s="580"/>
      <c r="L11" s="2137"/>
      <c r="M11" s="2131"/>
      <c r="N11" s="2131"/>
      <c r="O11" s="2138"/>
      <c r="P11" s="3551"/>
      <c r="Q11" s="1147" t="str">
        <f t="shared" si="6"/>
        <v>容积率</v>
      </c>
      <c r="R11" s="1564" t="s">
        <v>8</v>
      </c>
      <c r="S11" s="1565" t="e">
        <f t="shared" si="0"/>
        <v>#N/A</v>
      </c>
      <c r="T11" s="1564" t="s">
        <v>8</v>
      </c>
      <c r="U11" s="1565" t="e">
        <f t="shared" si="1"/>
        <v>#N/A</v>
      </c>
      <c r="V11" s="1564" t="s">
        <v>8</v>
      </c>
      <c r="W11" s="1565" t="e">
        <f t="shared" si="2"/>
        <v>#N/A</v>
      </c>
      <c r="X11" s="1566"/>
      <c r="Y11" s="3489"/>
      <c r="Z11" s="1146" t="str">
        <f t="shared" si="7"/>
        <v>容积率</v>
      </c>
      <c r="AA11" s="1567" t="e">
        <f t="shared" si="3"/>
        <v>#N/A</v>
      </c>
      <c r="AB11" s="1567" t="e">
        <f t="shared" si="4"/>
        <v>#N/A</v>
      </c>
      <c r="AC11" s="1567" t="e">
        <f t="shared" si="5"/>
        <v>#N/A</v>
      </c>
    </row>
    <row r="12" spans="1:29" s="1216" customFormat="1" ht="15">
      <c r="A12" s="2914"/>
      <c r="B12" s="2920">
        <v>111</v>
      </c>
      <c r="C12" s="524"/>
      <c r="D12" s="534">
        <v>100</v>
      </c>
      <c r="E12" s="535"/>
      <c r="F12" s="254">
        <f>SUMIF(64:64,E12,65:65)-SUMIF(64:64,C12,65:65)+100</f>
        <v>100</v>
      </c>
      <c r="G12" s="916"/>
      <c r="H12" s="254">
        <f>SUMIF(64:64,G12,65:65)-SUMIF(64:64,C12,65:65)+100</f>
        <v>100</v>
      </c>
      <c r="I12" s="876"/>
      <c r="J12" s="254">
        <f>SUMIF(64:64,I12,65:65)-SUMIF(64:64,C12,65:65)+100</f>
        <v>100</v>
      </c>
      <c r="K12" s="577"/>
      <c r="L12" s="2132"/>
      <c r="M12" s="2133"/>
      <c r="N12" s="2133"/>
      <c r="O12" s="2134"/>
      <c r="P12" s="3551"/>
      <c r="Q12" s="1147">
        <f t="shared" si="6"/>
        <v>111</v>
      </c>
      <c r="R12" s="1564" t="s">
        <v>8</v>
      </c>
      <c r="S12" s="1565">
        <f t="shared" si="0"/>
        <v>100</v>
      </c>
      <c r="T12" s="1564" t="s">
        <v>8</v>
      </c>
      <c r="U12" s="1565">
        <f t="shared" si="1"/>
        <v>100</v>
      </c>
      <c r="V12" s="1564" t="s">
        <v>8</v>
      </c>
      <c r="W12" s="1565">
        <f t="shared" si="2"/>
        <v>100</v>
      </c>
      <c r="X12" s="1566"/>
      <c r="Y12" s="3489"/>
      <c r="Z12" s="1146">
        <f t="shared" si="7"/>
        <v>111</v>
      </c>
      <c r="AA12" s="1567">
        <f>D12/F12</f>
        <v>1</v>
      </c>
      <c r="AB12" s="1567">
        <f>D12/H12</f>
        <v>1</v>
      </c>
      <c r="AC12" s="1567">
        <f>D12/J12</f>
        <v>1</v>
      </c>
    </row>
    <row r="13" spans="1:29" ht="15">
      <c r="A13" s="2914"/>
      <c r="B13" s="2920">
        <v>111</v>
      </c>
      <c r="C13" s="535"/>
      <c r="D13" s="536">
        <v>100</v>
      </c>
      <c r="E13" s="535"/>
      <c r="F13" s="254">
        <f>SUMIF(66:66,E13,67:67)-SUMIF(66:66,C13,67:67)+100</f>
        <v>100</v>
      </c>
      <c r="G13" s="916"/>
      <c r="H13" s="536">
        <f>SUMIF(66:66,G13,67:67)-SUMIF(66:66,C13,67:67)+100</f>
        <v>100</v>
      </c>
      <c r="I13" s="876"/>
      <c r="J13" s="536">
        <f>SUMIF(66:66,I13,67:67)-SUMIF(66:66,C13,67:67)+100</f>
        <v>100</v>
      </c>
      <c r="K13" s="577"/>
      <c r="L13" s="2139"/>
      <c r="M13" s="2131"/>
      <c r="N13" s="2131"/>
      <c r="O13" s="2138"/>
      <c r="P13" s="3551"/>
      <c r="Q13" s="1147">
        <f t="shared" si="6"/>
        <v>111</v>
      </c>
      <c r="R13" s="1564" t="s">
        <v>8</v>
      </c>
      <c r="S13" s="1565">
        <f t="shared" si="0"/>
        <v>100</v>
      </c>
      <c r="T13" s="1564" t="s">
        <v>8</v>
      </c>
      <c r="U13" s="1565">
        <f t="shared" si="1"/>
        <v>100</v>
      </c>
      <c r="V13" s="1564" t="s">
        <v>8</v>
      </c>
      <c r="W13" s="1565">
        <f t="shared" si="2"/>
        <v>100</v>
      </c>
      <c r="X13" s="1566"/>
      <c r="Y13" s="3489"/>
      <c r="Z13" s="1146">
        <f t="shared" si="7"/>
        <v>111</v>
      </c>
      <c r="AA13" s="1567">
        <f t="shared" si="3"/>
        <v>1</v>
      </c>
      <c r="AB13" s="1567">
        <f t="shared" si="4"/>
        <v>1</v>
      </c>
      <c r="AC13" s="1567">
        <f t="shared" si="5"/>
        <v>1</v>
      </c>
    </row>
    <row r="14" spans="1:29" ht="15.75" thickBot="1">
      <c r="A14" s="2915"/>
      <c r="B14" s="2921">
        <v>111</v>
      </c>
      <c r="C14" s="541"/>
      <c r="D14" s="542">
        <v>100</v>
      </c>
      <c r="E14" s="541"/>
      <c r="F14" s="542">
        <f>SUMIF(68:68,E14,69:69)-SUMIF(68:68,C14,69:69)+100</f>
        <v>100</v>
      </c>
      <c r="G14" s="916"/>
      <c r="H14" s="542">
        <f>SUMIF(68:68,G14,69:69)-SUMIF(68:68,C14,69:69)+100</f>
        <v>100</v>
      </c>
      <c r="I14" s="876"/>
      <c r="J14" s="542">
        <f>SUMIF(68:68,I14,69:69)-SUMIF(68:68,C14,69:69)+100</f>
        <v>100</v>
      </c>
      <c r="K14" s="577"/>
      <c r="L14" s="2139"/>
      <c r="M14" s="2131"/>
      <c r="N14" s="2131"/>
      <c r="O14" s="2138"/>
      <c r="P14" s="3551"/>
      <c r="Q14" s="1147">
        <f t="shared" si="6"/>
        <v>111</v>
      </c>
      <c r="R14" s="1564" t="s">
        <v>8</v>
      </c>
      <c r="S14" s="1565">
        <f t="shared" si="0"/>
        <v>100</v>
      </c>
      <c r="T14" s="1564" t="s">
        <v>8</v>
      </c>
      <c r="U14" s="1565">
        <f t="shared" si="1"/>
        <v>100</v>
      </c>
      <c r="V14" s="1564" t="s">
        <v>8</v>
      </c>
      <c r="W14" s="1565">
        <f t="shared" si="2"/>
        <v>100</v>
      </c>
      <c r="X14" s="1566"/>
      <c r="Y14" s="3489"/>
      <c r="Z14" s="1146">
        <f t="shared" si="7"/>
        <v>111</v>
      </c>
      <c r="AA14" s="1567">
        <f t="shared" si="3"/>
        <v>1</v>
      </c>
      <c r="AB14" s="1567">
        <f t="shared" si="4"/>
        <v>1</v>
      </c>
      <c r="AC14" s="1567">
        <f t="shared" si="5"/>
        <v>1</v>
      </c>
    </row>
    <row r="15" spans="1:29" ht="57">
      <c r="A15" s="2907" t="s">
        <v>2749</v>
      </c>
      <c r="B15" s="165" t="s">
        <v>783</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9"/>
      <c r="M15" s="2131"/>
      <c r="N15" s="2131"/>
      <c r="O15" s="2138"/>
      <c r="P15" s="3570" t="s">
        <v>534</v>
      </c>
      <c r="Q15" s="1568" t="str">
        <f t="shared" si="6"/>
        <v>产业集聚程度</v>
      </c>
      <c r="R15" s="1569" t="s">
        <v>8</v>
      </c>
      <c r="S15" s="1570">
        <f t="shared" si="0"/>
        <v>100</v>
      </c>
      <c r="T15" s="1569" t="s">
        <v>8</v>
      </c>
      <c r="U15" s="1570">
        <f t="shared" si="1"/>
        <v>100</v>
      </c>
      <c r="V15" s="1569" t="s">
        <v>8</v>
      </c>
      <c r="W15" s="1570">
        <f t="shared" si="2"/>
        <v>100</v>
      </c>
      <c r="X15" s="1563"/>
      <c r="Y15" s="3570" t="s">
        <v>534</v>
      </c>
      <c r="Z15" s="1571" t="str">
        <f t="shared" si="7"/>
        <v>产业集聚程度</v>
      </c>
      <c r="AA15" s="1572">
        <f t="shared" si="3"/>
        <v>1</v>
      </c>
      <c r="AB15" s="1572">
        <f t="shared" si="4"/>
        <v>1</v>
      </c>
      <c r="AC15" s="1572">
        <f t="shared" si="5"/>
        <v>1</v>
      </c>
    </row>
    <row r="16" spans="1:29" ht="15">
      <c r="A16" s="528"/>
      <c r="B16" s="865"/>
      <c r="C16" s="572"/>
      <c r="D16" s="551"/>
      <c r="E16" s="572"/>
      <c r="F16" s="553"/>
      <c r="G16" s="572"/>
      <c r="H16" s="555"/>
      <c r="I16" s="572"/>
      <c r="J16" s="551"/>
      <c r="K16" s="895"/>
      <c r="L16" s="2139"/>
      <c r="M16" s="2131"/>
      <c r="N16" s="2131"/>
      <c r="O16" s="2138"/>
      <c r="P16" s="3571"/>
      <c r="Q16" s="1568"/>
      <c r="R16" s="1569"/>
      <c r="S16" s="1570"/>
      <c r="T16" s="1569"/>
      <c r="U16" s="1570"/>
      <c r="V16" s="1569"/>
      <c r="W16" s="1570"/>
      <c r="X16" s="1563"/>
      <c r="Y16" s="3571"/>
      <c r="Z16" s="1571"/>
      <c r="AA16" s="1572">
        <v>1</v>
      </c>
      <c r="AB16" s="1572">
        <v>1</v>
      </c>
      <c r="AC16" s="1572">
        <v>1</v>
      </c>
    </row>
    <row r="17" spans="1:29" ht="85.5">
      <c r="A17" s="528"/>
      <c r="B17" s="867" t="s">
        <v>290</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9"/>
      <c r="M17" s="2131"/>
      <c r="N17" s="2131"/>
      <c r="O17" s="2138"/>
      <c r="P17" s="3571"/>
      <c r="Q17" s="1568" t="str">
        <f>B17</f>
        <v>交通便捷度</v>
      </c>
      <c r="R17" s="1569" t="s">
        <v>8</v>
      </c>
      <c r="S17" s="1570">
        <f>F17</f>
        <v>100</v>
      </c>
      <c r="T17" s="1569" t="s">
        <v>8</v>
      </c>
      <c r="U17" s="1570">
        <f>H17</f>
        <v>100</v>
      </c>
      <c r="V17" s="1569" t="s">
        <v>8</v>
      </c>
      <c r="W17" s="1570">
        <f>J17</f>
        <v>100</v>
      </c>
      <c r="X17" s="1563"/>
      <c r="Y17" s="3571"/>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9"/>
      <c r="M18" s="2131"/>
      <c r="N18" s="2131"/>
      <c r="O18" s="2138"/>
      <c r="P18" s="3571"/>
      <c r="Q18" s="1568"/>
      <c r="R18" s="1569"/>
      <c r="S18" s="1570"/>
      <c r="T18" s="1569"/>
      <c r="U18" s="1570"/>
      <c r="V18" s="1569"/>
      <c r="W18" s="1570"/>
      <c r="X18" s="1563"/>
      <c r="Y18" s="3571"/>
      <c r="Z18" s="1571"/>
      <c r="AA18" s="1572">
        <v>1</v>
      </c>
      <c r="AB18" s="1572">
        <v>1</v>
      </c>
      <c r="AC18" s="1572">
        <v>1</v>
      </c>
    </row>
    <row r="19" spans="1:29" ht="42.75">
      <c r="A19" s="528"/>
      <c r="B19" s="2600" t="s">
        <v>2541</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9"/>
      <c r="M19" s="2131"/>
      <c r="N19" s="2131"/>
      <c r="O19" s="2138"/>
      <c r="P19" s="3571"/>
      <c r="Q19" s="1568" t="str">
        <f>B19</f>
        <v>公共配套设施</v>
      </c>
      <c r="R19" s="1569" t="s">
        <v>8</v>
      </c>
      <c r="S19" s="1570">
        <f>F19</f>
        <v>100</v>
      </c>
      <c r="T19" s="1569" t="s">
        <v>8</v>
      </c>
      <c r="U19" s="1570">
        <f>H19</f>
        <v>100</v>
      </c>
      <c r="V19" s="1569" t="s">
        <v>8</v>
      </c>
      <c r="W19" s="1570">
        <f>J19</f>
        <v>100</v>
      </c>
      <c r="X19" s="1563"/>
      <c r="Y19" s="3571"/>
      <c r="Z19" s="1571" t="str">
        <f>Q19</f>
        <v>公共配套设施</v>
      </c>
      <c r="AA19" s="1572">
        <f t="shared" si="3"/>
        <v>1</v>
      </c>
      <c r="AB19" s="1572">
        <f t="shared" si="4"/>
        <v>1</v>
      </c>
      <c r="AC19" s="1572">
        <f t="shared" si="5"/>
        <v>1</v>
      </c>
    </row>
    <row r="20" spans="1:29" ht="15">
      <c r="A20" s="528"/>
      <c r="B20" s="562"/>
      <c r="C20" s="572"/>
      <c r="D20" s="551"/>
      <c r="E20" s="552"/>
      <c r="F20" s="553"/>
      <c r="G20" s="554"/>
      <c r="H20" s="551"/>
      <c r="I20" s="552"/>
      <c r="J20" s="551"/>
      <c r="K20" s="895"/>
      <c r="L20" s="2139"/>
      <c r="M20" s="2131"/>
      <c r="N20" s="2131"/>
      <c r="O20" s="2138"/>
      <c r="P20" s="3571"/>
      <c r="Q20" s="1568"/>
      <c r="R20" s="1569"/>
      <c r="S20" s="1570"/>
      <c r="T20" s="1569"/>
      <c r="U20" s="1570"/>
      <c r="V20" s="1569"/>
      <c r="W20" s="1570"/>
      <c r="X20" s="1563"/>
      <c r="Y20" s="3571"/>
      <c r="Z20" s="1571"/>
      <c r="AA20" s="1572">
        <v>1</v>
      </c>
      <c r="AB20" s="1572">
        <v>1</v>
      </c>
      <c r="AC20" s="1572">
        <v>1</v>
      </c>
    </row>
    <row r="21" spans="1:29" ht="28.5">
      <c r="A21" s="528"/>
      <c r="B21" s="2588" t="s">
        <v>2553</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9"/>
      <c r="M21" s="2131"/>
      <c r="N21" s="2131"/>
      <c r="O21" s="2138"/>
      <c r="P21" s="3571"/>
      <c r="Q21" s="2576" t="str">
        <f>B21</f>
        <v>基础设施水平</v>
      </c>
      <c r="R21" s="1569" t="s">
        <v>8</v>
      </c>
      <c r="S21" s="1570">
        <f>F21</f>
        <v>100</v>
      </c>
      <c r="T21" s="1569" t="s">
        <v>8</v>
      </c>
      <c r="U21" s="1570">
        <f>H21</f>
        <v>100</v>
      </c>
      <c r="V21" s="1569" t="s">
        <v>8</v>
      </c>
      <c r="W21" s="1570">
        <f>J21</f>
        <v>100</v>
      </c>
      <c r="X21" s="2578"/>
      <c r="Y21" s="3571"/>
      <c r="Z21" s="2577" t="str">
        <f>Q21</f>
        <v>基础设施水平</v>
      </c>
      <c r="AA21" s="1572">
        <f t="shared" ref="AA21" si="8">D21/F21</f>
        <v>1</v>
      </c>
      <c r="AB21" s="1572">
        <f t="shared" ref="AB21" si="9">D21/H21</f>
        <v>1</v>
      </c>
      <c r="AC21" s="1572">
        <f t="shared" ref="AC21" si="10">D21/J21</f>
        <v>1</v>
      </c>
    </row>
    <row r="22" spans="1:29" ht="15">
      <c r="A22" s="528"/>
      <c r="B22" s="574"/>
      <c r="C22" s="869"/>
      <c r="D22" s="551"/>
      <c r="E22" s="572"/>
      <c r="F22" s="553"/>
      <c r="G22" s="572"/>
      <c r="H22" s="551"/>
      <c r="I22" s="572"/>
      <c r="J22" s="551"/>
      <c r="K22" s="2599"/>
      <c r="L22" s="2139"/>
      <c r="M22" s="2131"/>
      <c r="N22" s="2131"/>
      <c r="O22" s="2138"/>
      <c r="P22" s="3571"/>
      <c r="Q22" s="2576"/>
      <c r="R22" s="1569"/>
      <c r="S22" s="1570"/>
      <c r="T22" s="1569"/>
      <c r="U22" s="1570"/>
      <c r="V22" s="1569"/>
      <c r="W22" s="1570"/>
      <c r="X22" s="2578"/>
      <c r="Y22" s="3571"/>
      <c r="Z22" s="2577"/>
      <c r="AA22" s="1572">
        <v>1</v>
      </c>
      <c r="AB22" s="1572">
        <v>1</v>
      </c>
      <c r="AC22" s="1572">
        <v>1</v>
      </c>
    </row>
    <row r="23" spans="1:29" ht="71.25">
      <c r="A23" s="528"/>
      <c r="B23" s="867" t="s">
        <v>772</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9"/>
      <c r="M23" s="2131"/>
      <c r="N23" s="2131"/>
      <c r="O23" s="2138"/>
      <c r="P23" s="3571"/>
      <c r="Q23" s="1568" t="str">
        <f>B23</f>
        <v>环境质量</v>
      </c>
      <c r="R23" s="1569" t="s">
        <v>8</v>
      </c>
      <c r="S23" s="1570">
        <f>F23</f>
        <v>100</v>
      </c>
      <c r="T23" s="1569" t="s">
        <v>8</v>
      </c>
      <c r="U23" s="1570">
        <f>H23</f>
        <v>100</v>
      </c>
      <c r="V23" s="1569" t="s">
        <v>8</v>
      </c>
      <c r="W23" s="1570">
        <f>J23</f>
        <v>100</v>
      </c>
      <c r="X23" s="1563"/>
      <c r="Y23" s="3571"/>
      <c r="Z23" s="1571" t="str">
        <f>Q23</f>
        <v>环境质量</v>
      </c>
      <c r="AA23" s="1572">
        <f t="shared" si="3"/>
        <v>1</v>
      </c>
      <c r="AB23" s="1572">
        <f t="shared" si="4"/>
        <v>1</v>
      </c>
      <c r="AC23" s="1572">
        <f t="shared" si="5"/>
        <v>1</v>
      </c>
    </row>
    <row r="24" spans="1:29" ht="15">
      <c r="A24" s="528"/>
      <c r="B24" s="918"/>
      <c r="C24" s="572"/>
      <c r="D24" s="551"/>
      <c r="E24" s="552"/>
      <c r="F24" s="553"/>
      <c r="G24" s="554"/>
      <c r="H24" s="551"/>
      <c r="I24" s="552"/>
      <c r="J24" s="551"/>
      <c r="K24" s="895"/>
      <c r="L24" s="2139"/>
      <c r="M24" s="2131"/>
      <c r="N24" s="2131"/>
      <c r="O24" s="2138"/>
      <c r="P24" s="3571"/>
      <c r="Q24" s="1568"/>
      <c r="R24" s="1569"/>
      <c r="S24" s="1570"/>
      <c r="T24" s="1569"/>
      <c r="U24" s="1570"/>
      <c r="V24" s="1569"/>
      <c r="W24" s="1570"/>
      <c r="X24" s="1563"/>
      <c r="Y24" s="3571"/>
      <c r="Z24" s="1571"/>
      <c r="AA24" s="1572">
        <v>1</v>
      </c>
      <c r="AB24" s="1572">
        <v>1</v>
      </c>
      <c r="AC24" s="1572">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9"/>
      <c r="M25" s="2131"/>
      <c r="N25" s="2131"/>
      <c r="O25" s="2138"/>
      <c r="P25" s="3571"/>
      <c r="Q25" s="1568">
        <f>B25</f>
        <v>111</v>
      </c>
      <c r="R25" s="1569" t="s">
        <v>8</v>
      </c>
      <c r="S25" s="1570">
        <f>F25</f>
        <v>100</v>
      </c>
      <c r="T25" s="1569" t="s">
        <v>8</v>
      </c>
      <c r="U25" s="1570">
        <f>H25</f>
        <v>100</v>
      </c>
      <c r="V25" s="1569" t="s">
        <v>8</v>
      </c>
      <c r="W25" s="1570">
        <f>J25</f>
        <v>100</v>
      </c>
      <c r="X25" s="1563"/>
      <c r="Y25" s="3571"/>
      <c r="Z25" s="1571">
        <f>Q25</f>
        <v>111</v>
      </c>
      <c r="AA25" s="1572">
        <f t="shared" si="3"/>
        <v>1</v>
      </c>
      <c r="AB25" s="1572">
        <f t="shared" si="4"/>
        <v>1</v>
      </c>
      <c r="AC25" s="1572">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9"/>
      <c r="M26" s="2131"/>
      <c r="N26" s="2131"/>
      <c r="O26" s="2138"/>
      <c r="P26" s="3571"/>
      <c r="Q26" s="1568">
        <f t="shared" ref="Q26:Q40" si="11">B26</f>
        <v>111</v>
      </c>
      <c r="R26" s="1569" t="s">
        <v>8</v>
      </c>
      <c r="S26" s="1570">
        <f>F26</f>
        <v>100</v>
      </c>
      <c r="T26" s="1569" t="s">
        <v>8</v>
      </c>
      <c r="U26" s="1570">
        <f>H26</f>
        <v>100</v>
      </c>
      <c r="V26" s="1569" t="s">
        <v>8</v>
      </c>
      <c r="W26" s="1570">
        <f>J26</f>
        <v>100</v>
      </c>
      <c r="X26" s="1563"/>
      <c r="Y26" s="3571"/>
      <c r="Z26" s="1571">
        <f>Q26</f>
        <v>111</v>
      </c>
      <c r="AA26" s="1572">
        <f t="shared" si="3"/>
        <v>1</v>
      </c>
      <c r="AB26" s="1572">
        <f t="shared" si="4"/>
        <v>1</v>
      </c>
      <c r="AC26" s="1572">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2"/>
      <c r="M27" s="2133"/>
      <c r="N27" s="2133"/>
      <c r="O27" s="2134"/>
      <c r="P27" s="3571"/>
      <c r="Q27" s="1147">
        <f t="shared" si="11"/>
        <v>111</v>
      </c>
      <c r="R27" s="1564" t="s">
        <v>8</v>
      </c>
      <c r="S27" s="1565">
        <f>F27</f>
        <v>100</v>
      </c>
      <c r="T27" s="1564" t="s">
        <v>8</v>
      </c>
      <c r="U27" s="1565">
        <f>H27</f>
        <v>100</v>
      </c>
      <c r="V27" s="1564" t="s">
        <v>8</v>
      </c>
      <c r="W27" s="1565">
        <f>J27</f>
        <v>100</v>
      </c>
      <c r="X27" s="1566"/>
      <c r="Y27" s="3571"/>
      <c r="Z27" s="1146">
        <f>Q27</f>
        <v>111</v>
      </c>
      <c r="AA27" s="1572">
        <f>D27/F27</f>
        <v>1</v>
      </c>
      <c r="AB27" s="1572">
        <f>D27/H27</f>
        <v>1</v>
      </c>
      <c r="AC27" s="1572">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9"/>
      <c r="M28" s="2131"/>
      <c r="N28" s="2131"/>
      <c r="O28" s="2138"/>
      <c r="P28" s="3571"/>
      <c r="Q28" s="1568">
        <f t="shared" si="11"/>
        <v>111</v>
      </c>
      <c r="R28" s="1569" t="s">
        <v>8</v>
      </c>
      <c r="S28" s="1570">
        <f t="shared" ref="S28:S40" si="12">F28</f>
        <v>100</v>
      </c>
      <c r="T28" s="1569" t="s">
        <v>8</v>
      </c>
      <c r="U28" s="1570">
        <f t="shared" ref="U28:U40" si="13">H28</f>
        <v>100</v>
      </c>
      <c r="V28" s="1569" t="s">
        <v>8</v>
      </c>
      <c r="W28" s="1570">
        <f t="shared" ref="W28:W40" si="14">J28</f>
        <v>100</v>
      </c>
      <c r="X28" s="1563"/>
      <c r="Y28" s="3571"/>
      <c r="Z28" s="1571">
        <f t="shared" ref="Z28:Z40" si="15">Q28</f>
        <v>111</v>
      </c>
      <c r="AA28" s="1572">
        <f t="shared" si="3"/>
        <v>1</v>
      </c>
      <c r="AB28" s="1572">
        <f t="shared" si="4"/>
        <v>1</v>
      </c>
      <c r="AC28" s="1572">
        <f t="shared" si="5"/>
        <v>1</v>
      </c>
    </row>
    <row r="29" spans="1:29" ht="15">
      <c r="A29" s="2904" t="s">
        <v>2750</v>
      </c>
      <c r="B29" s="171" t="s">
        <v>774</v>
      </c>
      <c r="C29" s="912"/>
      <c r="D29" s="593">
        <v>100</v>
      </c>
      <c r="E29" s="912"/>
      <c r="F29" s="571">
        <f>SUMIF(88:88,E29,89:89)-SUMIF(88:88,C29,89:89)+100</f>
        <v>100</v>
      </c>
      <c r="G29" s="912"/>
      <c r="H29" s="536">
        <f>SUMIF(88:88,G29,89:89)-SUMIF(88:88,C29,89:89)+100</f>
        <v>100</v>
      </c>
      <c r="I29" s="912"/>
      <c r="J29" s="593">
        <f>SUMIF(88:88,I29,89:89)-SUMIF(88:88,C29,89:89)+100</f>
        <v>100</v>
      </c>
      <c r="K29" s="580"/>
      <c r="L29" s="2139"/>
      <c r="M29" s="2131"/>
      <c r="N29" s="2131"/>
      <c r="O29" s="2138"/>
      <c r="P29" s="3572" t="s">
        <v>544</v>
      </c>
      <c r="Q29" s="1568" t="str">
        <f t="shared" si="11"/>
        <v>建筑类型</v>
      </c>
      <c r="R29" s="1569" t="s">
        <v>8</v>
      </c>
      <c r="S29" s="1570">
        <f t="shared" si="12"/>
        <v>100</v>
      </c>
      <c r="T29" s="1569" t="s">
        <v>8</v>
      </c>
      <c r="U29" s="1570">
        <f t="shared" si="13"/>
        <v>100</v>
      </c>
      <c r="V29" s="1569" t="s">
        <v>8</v>
      </c>
      <c r="W29" s="1570">
        <f t="shared" si="14"/>
        <v>100</v>
      </c>
      <c r="X29" s="1563"/>
      <c r="Y29" s="3573" t="s">
        <v>544</v>
      </c>
      <c r="Z29" s="1571" t="str">
        <f t="shared" si="15"/>
        <v>建筑类型</v>
      </c>
      <c r="AA29" s="1572">
        <f t="shared" si="3"/>
        <v>1</v>
      </c>
      <c r="AB29" s="1572">
        <f t="shared" si="4"/>
        <v>1</v>
      </c>
      <c r="AC29" s="1572">
        <f t="shared" si="5"/>
        <v>1</v>
      </c>
    </row>
    <row r="30" spans="1:29" s="1335" customFormat="1" ht="15">
      <c r="A30" s="599"/>
      <c r="B30" s="523" t="s">
        <v>720</v>
      </c>
      <c r="C30" s="876"/>
      <c r="D30" s="254">
        <v>100</v>
      </c>
      <c r="E30" s="530"/>
      <c r="F30" s="859" t="e">
        <f>LOOKUP(E30,91:91,92:92)-LOOKUP(C30,91:91,92:92)+100</f>
        <v>#N/A</v>
      </c>
      <c r="G30" s="529"/>
      <c r="H30" s="254" t="e">
        <f>LOOKUP(G30,91:91,92:92)-LOOKUP(C30,91:91,92:92)+100</f>
        <v>#N/A</v>
      </c>
      <c r="I30" s="529"/>
      <c r="J30" s="254" t="e">
        <f>LOOKUP(I30,91:91,92:92)-LOOKUP(C30,91:91,92:92)+100</f>
        <v>#N/A</v>
      </c>
      <c r="K30" s="577"/>
      <c r="L30" s="2137"/>
      <c r="M30" s="2168"/>
      <c r="N30" s="2168"/>
      <c r="O30" s="2140"/>
      <c r="P30" s="3573"/>
      <c r="Q30" s="1601" t="str">
        <f t="shared" si="11"/>
        <v>项目建筑规模</v>
      </c>
      <c r="R30" s="1573" t="s">
        <v>8</v>
      </c>
      <c r="S30" s="1574" t="e">
        <f t="shared" si="12"/>
        <v>#N/A</v>
      </c>
      <c r="T30" s="1573" t="s">
        <v>8</v>
      </c>
      <c r="U30" s="1574" t="e">
        <f t="shared" si="13"/>
        <v>#N/A</v>
      </c>
      <c r="V30" s="1573" t="s">
        <v>8</v>
      </c>
      <c r="W30" s="1574" t="e">
        <f t="shared" si="14"/>
        <v>#N/A</v>
      </c>
      <c r="X30" s="1575"/>
      <c r="Y30" s="3573"/>
      <c r="Z30" s="1576" t="str">
        <f t="shared" si="15"/>
        <v>项目建筑规模</v>
      </c>
      <c r="AA30" s="1572" t="e">
        <f t="shared" si="3"/>
        <v>#N/A</v>
      </c>
      <c r="AB30" s="1572" t="e">
        <f t="shared" si="4"/>
        <v>#N/A</v>
      </c>
      <c r="AC30" s="1572" t="e">
        <f t="shared" si="5"/>
        <v>#N/A</v>
      </c>
    </row>
    <row r="31" spans="1:29" ht="15">
      <c r="A31" s="590"/>
      <c r="B31" s="523" t="s">
        <v>721</v>
      </c>
      <c r="C31" s="570"/>
      <c r="D31" s="536">
        <v>100</v>
      </c>
      <c r="E31" s="570"/>
      <c r="F31" s="571">
        <f>SUMIF(93:93,E31,94:94)-SUMIF(93:93,C31,94:94)+100</f>
        <v>100</v>
      </c>
      <c r="G31" s="570"/>
      <c r="H31" s="536">
        <f>SUMIF(93:93,G31,94:94)-SUMIF(93:93,C31,94:94)+100</f>
        <v>100</v>
      </c>
      <c r="I31" s="570"/>
      <c r="J31" s="536">
        <f>SUMIF(93:93,I31,94:94)-SUMIF(93:93,C31,94:94)+100</f>
        <v>100</v>
      </c>
      <c r="K31" s="580"/>
      <c r="L31" s="2139"/>
      <c r="M31" s="2131"/>
      <c r="N31" s="2131"/>
      <c r="O31" s="2138"/>
      <c r="P31" s="3573"/>
      <c r="Q31" s="1568" t="str">
        <f t="shared" si="11"/>
        <v>建筑结构</v>
      </c>
      <c r="R31" s="1569" t="s">
        <v>8</v>
      </c>
      <c r="S31" s="1570">
        <f t="shared" si="12"/>
        <v>100</v>
      </c>
      <c r="T31" s="1569" t="s">
        <v>8</v>
      </c>
      <c r="U31" s="1570">
        <f t="shared" si="13"/>
        <v>100</v>
      </c>
      <c r="V31" s="1569" t="s">
        <v>8</v>
      </c>
      <c r="W31" s="1570">
        <f t="shared" si="14"/>
        <v>100</v>
      </c>
      <c r="X31" s="1563"/>
      <c r="Y31" s="3573"/>
      <c r="Z31" s="1571" t="str">
        <f t="shared" si="15"/>
        <v>建筑结构</v>
      </c>
      <c r="AA31" s="1572">
        <f t="shared" si="3"/>
        <v>1</v>
      </c>
      <c r="AB31" s="1572">
        <f t="shared" si="4"/>
        <v>1</v>
      </c>
      <c r="AC31" s="1572">
        <f t="shared" si="5"/>
        <v>1</v>
      </c>
    </row>
    <row r="32" spans="1:29" ht="15">
      <c r="A32" s="590"/>
      <c r="B32" s="523" t="s">
        <v>757</v>
      </c>
      <c r="C32" s="570"/>
      <c r="D32" s="536">
        <v>100</v>
      </c>
      <c r="E32" s="570"/>
      <c r="F32" s="571">
        <f>SUMIF(95:95,E32,96:96)-SUMIF(95:95,C32,96:96)+100</f>
        <v>100</v>
      </c>
      <c r="G32" s="570"/>
      <c r="H32" s="536">
        <f>SUMIF(95:95,G32,96:96)-SUMIF(95:95,C32,96:96)+100</f>
        <v>100</v>
      </c>
      <c r="I32" s="570"/>
      <c r="J32" s="536">
        <f>SUMIF(95:95,I32,96:96)-SUMIF(95:95,C32,96:96)+100</f>
        <v>100</v>
      </c>
      <c r="K32" s="580"/>
      <c r="L32" s="2139"/>
      <c r="M32" s="2131"/>
      <c r="N32" s="2131"/>
      <c r="O32" s="2138"/>
      <c r="P32" s="3573"/>
      <c r="Q32" s="1568" t="str">
        <f t="shared" si="11"/>
        <v>公共部分装修</v>
      </c>
      <c r="R32" s="1569" t="s">
        <v>8</v>
      </c>
      <c r="S32" s="1570">
        <f t="shared" si="12"/>
        <v>100</v>
      </c>
      <c r="T32" s="1569" t="s">
        <v>8</v>
      </c>
      <c r="U32" s="1570">
        <f t="shared" si="13"/>
        <v>100</v>
      </c>
      <c r="V32" s="1569" t="s">
        <v>8</v>
      </c>
      <c r="W32" s="1570">
        <f t="shared" si="14"/>
        <v>100</v>
      </c>
      <c r="X32" s="1563"/>
      <c r="Y32" s="3573"/>
      <c r="Z32" s="1571" t="str">
        <f t="shared" si="15"/>
        <v>公共部分装修</v>
      </c>
      <c r="AA32" s="1572">
        <f t="shared" si="3"/>
        <v>1</v>
      </c>
      <c r="AB32" s="1572">
        <f t="shared" si="4"/>
        <v>1</v>
      </c>
      <c r="AC32" s="1572">
        <f t="shared" si="5"/>
        <v>1</v>
      </c>
    </row>
    <row r="33" spans="1:29" ht="15">
      <c r="A33" s="590"/>
      <c r="B33" s="523" t="s">
        <v>758</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9"/>
      <c r="M33" s="2131"/>
      <c r="N33" s="2131"/>
      <c r="O33" s="2138"/>
      <c r="P33" s="3573"/>
      <c r="Q33" s="1568" t="str">
        <f t="shared" si="11"/>
        <v>成新度</v>
      </c>
      <c r="R33" s="1569" t="s">
        <v>8</v>
      </c>
      <c r="S33" s="1570" t="e">
        <f t="shared" si="12"/>
        <v>#N/A</v>
      </c>
      <c r="T33" s="1569" t="s">
        <v>8</v>
      </c>
      <c r="U33" s="1570" t="e">
        <f t="shared" si="13"/>
        <v>#N/A</v>
      </c>
      <c r="V33" s="1569" t="s">
        <v>8</v>
      </c>
      <c r="W33" s="1570" t="e">
        <f t="shared" si="14"/>
        <v>#N/A</v>
      </c>
      <c r="X33" s="1563"/>
      <c r="Y33" s="3573"/>
      <c r="Z33" s="1571" t="str">
        <f t="shared" si="15"/>
        <v>成新度</v>
      </c>
      <c r="AA33" s="1572" t="e">
        <f t="shared" si="3"/>
        <v>#N/A</v>
      </c>
      <c r="AB33" s="1572" t="e">
        <f t="shared" si="4"/>
        <v>#N/A</v>
      </c>
      <c r="AC33" s="1572" t="e">
        <f t="shared" si="5"/>
        <v>#N/A</v>
      </c>
    </row>
    <row r="34" spans="1:29" s="1216" customFormat="1" ht="15">
      <c r="A34" s="596"/>
      <c r="B34" s="523" t="s">
        <v>776</v>
      </c>
      <c r="C34" s="570"/>
      <c r="D34" s="254">
        <v>100</v>
      </c>
      <c r="E34" s="570"/>
      <c r="F34" s="571">
        <f>SUMIF(100:100,E34,101:101)-SUMIF(100:100,C34,101:101)+100</f>
        <v>100</v>
      </c>
      <c r="G34" s="570"/>
      <c r="H34" s="536">
        <f>SUMIF(100:100,G34,101:101)-SUMIF(100:100,C34,101:101)+100</f>
        <v>100</v>
      </c>
      <c r="I34" s="570"/>
      <c r="J34" s="536">
        <f>SUMIF(100:100,I34,101:101)-SUMIF(100:100,C34,101:101)+100</f>
        <v>100</v>
      </c>
      <c r="K34" s="580"/>
      <c r="L34" s="2132"/>
      <c r="M34" s="2133"/>
      <c r="N34" s="2133"/>
      <c r="O34" s="2134"/>
      <c r="P34" s="3573"/>
      <c r="Q34" s="1147" t="str">
        <f t="shared" si="11"/>
        <v>物业管理</v>
      </c>
      <c r="R34" s="1564" t="s">
        <v>8</v>
      </c>
      <c r="S34" s="1565">
        <f t="shared" si="12"/>
        <v>100</v>
      </c>
      <c r="T34" s="1564" t="s">
        <v>8</v>
      </c>
      <c r="U34" s="1565">
        <f t="shared" si="13"/>
        <v>100</v>
      </c>
      <c r="V34" s="1564" t="s">
        <v>8</v>
      </c>
      <c r="W34" s="1565">
        <f t="shared" si="14"/>
        <v>100</v>
      </c>
      <c r="X34" s="1566"/>
      <c r="Y34" s="3573"/>
      <c r="Z34" s="1146" t="str">
        <f t="shared" si="15"/>
        <v>物业管理</v>
      </c>
      <c r="AA34" s="1567">
        <f t="shared" si="3"/>
        <v>1</v>
      </c>
      <c r="AB34" s="1567">
        <f t="shared" si="4"/>
        <v>1</v>
      </c>
      <c r="AC34" s="1567">
        <f t="shared" si="5"/>
        <v>1</v>
      </c>
    </row>
    <row r="35" spans="1:29" ht="15">
      <c r="A35" s="590"/>
      <c r="B35" s="1892" t="s">
        <v>2560</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9"/>
      <c r="M35" s="2131"/>
      <c r="N35" s="2131"/>
      <c r="O35" s="2138"/>
      <c r="P35" s="3573" t="s">
        <v>544</v>
      </c>
      <c r="Q35" s="1568" t="str">
        <f t="shared" si="11"/>
        <v>市政基础设施</v>
      </c>
      <c r="R35" s="1569" t="s">
        <v>8</v>
      </c>
      <c r="S35" s="1570">
        <f t="shared" si="12"/>
        <v>100</v>
      </c>
      <c r="T35" s="1569" t="s">
        <v>8</v>
      </c>
      <c r="U35" s="1570">
        <f t="shared" si="13"/>
        <v>100</v>
      </c>
      <c r="V35" s="1569" t="s">
        <v>8</v>
      </c>
      <c r="W35" s="1570">
        <f t="shared" si="14"/>
        <v>100</v>
      </c>
      <c r="X35" s="1563"/>
      <c r="Y35" s="3573" t="s">
        <v>544</v>
      </c>
      <c r="Z35" s="1571" t="str">
        <f t="shared" si="15"/>
        <v>市政基础设施</v>
      </c>
      <c r="AA35" s="1572">
        <f t="shared" si="3"/>
        <v>1</v>
      </c>
      <c r="AB35" s="1572">
        <f t="shared" si="4"/>
        <v>1</v>
      </c>
      <c r="AC35" s="1572">
        <f t="shared" si="5"/>
        <v>1</v>
      </c>
    </row>
    <row r="36" spans="1:29" ht="15">
      <c r="A36" s="590"/>
      <c r="B36" s="523" t="s">
        <v>764</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9"/>
      <c r="M36" s="2131"/>
      <c r="N36" s="2131"/>
      <c r="O36" s="2138"/>
      <c r="P36" s="3573"/>
      <c r="Q36" s="1568" t="str">
        <f t="shared" si="11"/>
        <v>内部装修</v>
      </c>
      <c r="R36" s="1569" t="s">
        <v>8</v>
      </c>
      <c r="S36" s="1570">
        <f t="shared" si="12"/>
        <v>100</v>
      </c>
      <c r="T36" s="1569" t="s">
        <v>8</v>
      </c>
      <c r="U36" s="1570">
        <f t="shared" si="13"/>
        <v>100</v>
      </c>
      <c r="V36" s="1569" t="s">
        <v>8</v>
      </c>
      <c r="W36" s="1570">
        <f t="shared" si="14"/>
        <v>100</v>
      </c>
      <c r="X36" s="1563"/>
      <c r="Y36" s="3573"/>
      <c r="Z36" s="1571" t="str">
        <f t="shared" si="15"/>
        <v>内部装修</v>
      </c>
      <c r="AA36" s="1572">
        <f t="shared" si="3"/>
        <v>1</v>
      </c>
      <c r="AB36" s="1572">
        <f t="shared" si="4"/>
        <v>1</v>
      </c>
      <c r="AC36" s="1572">
        <f t="shared" si="5"/>
        <v>1</v>
      </c>
    </row>
    <row r="37" spans="1:29" ht="15">
      <c r="A37" s="590"/>
      <c r="B37" s="523" t="s">
        <v>784</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9"/>
      <c r="M37" s="2131"/>
      <c r="N37" s="2131"/>
      <c r="O37" s="2138"/>
      <c r="P37" s="3573"/>
      <c r="Q37" s="1568" t="str">
        <f t="shared" si="11"/>
        <v>内部装修状况</v>
      </c>
      <c r="R37" s="1569" t="s">
        <v>8</v>
      </c>
      <c r="S37" s="1570">
        <f t="shared" si="12"/>
        <v>100</v>
      </c>
      <c r="T37" s="1569" t="s">
        <v>8</v>
      </c>
      <c r="U37" s="1570">
        <f t="shared" si="13"/>
        <v>100</v>
      </c>
      <c r="V37" s="1569" t="s">
        <v>8</v>
      </c>
      <c r="W37" s="1570">
        <f t="shared" si="14"/>
        <v>100</v>
      </c>
      <c r="X37" s="1563"/>
      <c r="Y37" s="3573"/>
      <c r="Z37" s="1571" t="str">
        <f t="shared" si="15"/>
        <v>内部装修状况</v>
      </c>
      <c r="AA37" s="1572">
        <f t="shared" si="3"/>
        <v>1</v>
      </c>
      <c r="AB37" s="1572">
        <f t="shared" si="4"/>
        <v>1</v>
      </c>
      <c r="AC37" s="1572">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7"/>
      <c r="M38" s="2168"/>
      <c r="N38" s="2168"/>
      <c r="O38" s="2140"/>
      <c r="P38" s="3573"/>
      <c r="Q38" s="1601">
        <f t="shared" si="11"/>
        <v>111</v>
      </c>
      <c r="R38" s="1573" t="s">
        <v>8</v>
      </c>
      <c r="S38" s="1574">
        <f t="shared" si="12"/>
        <v>100</v>
      </c>
      <c r="T38" s="1573" t="s">
        <v>8</v>
      </c>
      <c r="U38" s="1574">
        <f t="shared" si="13"/>
        <v>100</v>
      </c>
      <c r="V38" s="1573" t="s">
        <v>8</v>
      </c>
      <c r="W38" s="1574">
        <f t="shared" si="14"/>
        <v>100</v>
      </c>
      <c r="X38" s="1575"/>
      <c r="Y38" s="3573"/>
      <c r="Z38" s="1576">
        <f t="shared" si="15"/>
        <v>111</v>
      </c>
      <c r="AA38" s="1572">
        <f t="shared" si="3"/>
        <v>1</v>
      </c>
      <c r="AB38" s="1572">
        <f t="shared" si="4"/>
        <v>1</v>
      </c>
      <c r="AC38" s="1572">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9"/>
      <c r="M39" s="2131"/>
      <c r="N39" s="2131"/>
      <c r="O39" s="2138"/>
      <c r="P39" s="3573"/>
      <c r="Q39" s="1568">
        <f t="shared" si="11"/>
        <v>111</v>
      </c>
      <c r="R39" s="1569" t="s">
        <v>8</v>
      </c>
      <c r="S39" s="1570">
        <f t="shared" si="12"/>
        <v>100</v>
      </c>
      <c r="T39" s="1569" t="s">
        <v>8</v>
      </c>
      <c r="U39" s="1570">
        <f t="shared" si="13"/>
        <v>100</v>
      </c>
      <c r="V39" s="1569" t="s">
        <v>8</v>
      </c>
      <c r="W39" s="1570">
        <f t="shared" si="14"/>
        <v>100</v>
      </c>
      <c r="X39" s="1563"/>
      <c r="Y39" s="3573"/>
      <c r="Z39" s="1571">
        <f t="shared" si="15"/>
        <v>111</v>
      </c>
      <c r="AA39" s="1572">
        <f t="shared" si="3"/>
        <v>1</v>
      </c>
      <c r="AB39" s="1572">
        <f t="shared" si="4"/>
        <v>1</v>
      </c>
      <c r="AC39" s="1572">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9"/>
      <c r="M40" s="2131"/>
      <c r="N40" s="2131"/>
      <c r="O40" s="2138"/>
      <c r="P40" s="3574"/>
      <c r="Q40" s="1568">
        <f t="shared" si="11"/>
        <v>111</v>
      </c>
      <c r="R40" s="1569" t="s">
        <v>8</v>
      </c>
      <c r="S40" s="1570">
        <f t="shared" si="12"/>
        <v>100</v>
      </c>
      <c r="T40" s="1569" t="s">
        <v>8</v>
      </c>
      <c r="U40" s="1570">
        <f t="shared" si="13"/>
        <v>100</v>
      </c>
      <c r="V40" s="1569" t="s">
        <v>8</v>
      </c>
      <c r="W40" s="1570">
        <f t="shared" si="14"/>
        <v>100</v>
      </c>
      <c r="X40" s="1563"/>
      <c r="Y40" s="3574"/>
      <c r="Z40" s="1571">
        <f t="shared" si="15"/>
        <v>111</v>
      </c>
      <c r="AA40" s="1572">
        <f t="shared" si="3"/>
        <v>1</v>
      </c>
      <c r="AB40" s="1572">
        <f t="shared" si="4"/>
        <v>1</v>
      </c>
      <c r="AC40" s="1572">
        <f t="shared" si="5"/>
        <v>1</v>
      </c>
    </row>
    <row r="41" spans="1:29" ht="15">
      <c r="A41" s="603" t="s">
        <v>730</v>
      </c>
      <c r="B41" s="883"/>
      <c r="C41" s="2624" t="s">
        <v>1</v>
      </c>
      <c r="D41" s="2625"/>
      <c r="E41" s="2626"/>
      <c r="F41" s="2627"/>
      <c r="G41" s="2628"/>
      <c r="H41" s="2629"/>
      <c r="I41" s="2626"/>
      <c r="J41" s="2629"/>
      <c r="K41" s="1607"/>
      <c r="L41" s="2141"/>
      <c r="M41" s="2142"/>
      <c r="N41" s="2131"/>
      <c r="O41" s="2142"/>
      <c r="P41" s="3551" t="str">
        <f>A41</f>
        <v>成交单价（元/平方米）</v>
      </c>
      <c r="Q41" s="3551"/>
      <c r="R41" s="3569">
        <f>E41</f>
        <v>0</v>
      </c>
      <c r="S41" s="3569"/>
      <c r="T41" s="3569">
        <f>G41</f>
        <v>0</v>
      </c>
      <c r="U41" s="3569"/>
      <c r="V41" s="3569">
        <f>I41</f>
        <v>0</v>
      </c>
      <c r="W41" s="3569"/>
      <c r="X41" s="1555"/>
      <c r="Y41" s="1577"/>
      <c r="Z41" s="1555"/>
      <c r="AA41" s="1555"/>
      <c r="AB41" s="1555"/>
      <c r="AC41" s="1555"/>
    </row>
    <row r="42" spans="1:29" ht="15.75" thickBot="1">
      <c r="A42" s="611" t="s">
        <v>2755</v>
      </c>
      <c r="B42" s="884"/>
      <c r="C42" s="2630" t="e">
        <f>R43</f>
        <v>#DIV/0!</v>
      </c>
      <c r="D42" s="2631"/>
      <c r="E42" s="2632" t="e">
        <f>R42</f>
        <v>#DIV/0!</v>
      </c>
      <c r="F42" s="2632"/>
      <c r="G42" s="2630" t="e">
        <f>T42</f>
        <v>#DIV/0!</v>
      </c>
      <c r="H42" s="2631"/>
      <c r="I42" s="2632" t="e">
        <f>V42</f>
        <v>#DIV/0!</v>
      </c>
      <c r="J42" s="2631"/>
      <c r="K42" s="1608"/>
      <c r="L42" s="2141"/>
      <c r="M42" s="2142"/>
      <c r="N42" s="2131"/>
      <c r="O42" s="2142"/>
      <c r="P42" s="3551" t="str">
        <f>A42</f>
        <v>比较价格（元/平方米）</v>
      </c>
      <c r="Q42" s="3551"/>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1555"/>
      <c r="Y42" s="1555"/>
      <c r="Z42" s="1555"/>
      <c r="AA42" s="1555"/>
      <c r="AB42" s="1555"/>
      <c r="AC42" s="1555"/>
    </row>
    <row r="43" spans="1:29" ht="15.75" thickBot="1">
      <c r="A43" s="617" t="s">
        <v>2931</v>
      </c>
      <c r="B43" s="618"/>
      <c r="C43" s="2633" t="e">
        <f>R43</f>
        <v>#DIV/0!</v>
      </c>
      <c r="D43" s="2633"/>
      <c r="E43" s="2633"/>
      <c r="F43" s="2633"/>
      <c r="G43" s="2633"/>
      <c r="H43" s="2633"/>
      <c r="I43" s="2633"/>
      <c r="J43" s="2633"/>
      <c r="K43" s="1609"/>
      <c r="L43" s="2141"/>
      <c r="M43" s="2142"/>
      <c r="N43" s="2142"/>
      <c r="O43" s="2142"/>
      <c r="P43" s="3566" t="str">
        <f>A43</f>
        <v>估价对象XX用房的比较价格（楼面单价，元/平方米）</v>
      </c>
      <c r="Q43" s="3567"/>
      <c r="R43" s="3568" t="e">
        <f>IF(F1="售价",ROUND(AVERAGE(R42:V42),0),ROUND(AVERAGE(R42:V42),1))</f>
        <v>#DIV/0!</v>
      </c>
      <c r="S43" s="3568"/>
      <c r="T43" s="3568"/>
      <c r="U43" s="3568"/>
      <c r="V43" s="3568"/>
      <c r="W43" s="356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568</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5">
      <c r="A52" s="641" t="s">
        <v>523</v>
      </c>
      <c r="B52" s="642"/>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6" customFormat="1" ht="15">
      <c r="A53" s="643"/>
      <c r="B53" s="644"/>
      <c r="C53" s="645">
        <v>100</v>
      </c>
      <c r="D53" s="646"/>
      <c r="E53" s="646"/>
      <c r="F53" s="646"/>
      <c r="G53" s="646"/>
      <c r="H53" s="646"/>
      <c r="I53" s="646"/>
      <c r="J53" s="646"/>
      <c r="K53" s="646"/>
      <c r="L53" s="646"/>
      <c r="M53" s="647"/>
      <c r="N53" s="646"/>
      <c r="O53" s="648"/>
      <c r="P53" s="2155"/>
      <c r="Q53" s="1990"/>
      <c r="R53" s="1990"/>
      <c r="S53" s="1990"/>
      <c r="T53" s="1990"/>
      <c r="U53" s="1990"/>
      <c r="V53" s="1990"/>
      <c r="W53" s="1990"/>
      <c r="X53" s="1990"/>
      <c r="Y53" s="1990"/>
      <c r="Z53" s="1990"/>
      <c r="AA53" s="1990"/>
      <c r="AB53" s="1990"/>
      <c r="AC53" s="1990"/>
    </row>
    <row r="54" spans="1:29" s="1216" customFormat="1" ht="15.75" thickBot="1">
      <c r="A54" s="649" t="s">
        <v>569</v>
      </c>
      <c r="B54" s="650"/>
      <c r="C54" s="651"/>
      <c r="D54" s="652"/>
      <c r="E54" s="652"/>
      <c r="F54" s="652"/>
      <c r="G54" s="652"/>
      <c r="H54" s="652"/>
      <c r="I54" s="652"/>
      <c r="J54" s="652"/>
      <c r="K54" s="652"/>
      <c r="L54" s="652"/>
      <c r="M54" s="653"/>
      <c r="N54" s="652"/>
      <c r="O54" s="654"/>
      <c r="P54" s="2155"/>
      <c r="Q54" s="2155"/>
      <c r="R54" s="1990"/>
      <c r="S54" s="1990"/>
      <c r="T54" s="1990"/>
      <c r="U54" s="1990"/>
      <c r="V54" s="1990"/>
      <c r="W54" s="1990"/>
      <c r="X54" s="1990"/>
      <c r="Y54" s="1990"/>
      <c r="Z54" s="1990"/>
      <c r="AA54" s="1990"/>
      <c r="AB54" s="1990"/>
      <c r="AC54" s="1990"/>
    </row>
    <row r="55" spans="1:29" s="1216" customFormat="1" ht="15">
      <c r="A55" s="655" t="s">
        <v>525</v>
      </c>
      <c r="B55" s="644"/>
      <c r="C55" s="656" t="s">
        <v>570</v>
      </c>
      <c r="D55" s="657"/>
      <c r="E55" s="657"/>
      <c r="F55" s="657"/>
      <c r="G55" s="657"/>
      <c r="H55" s="657"/>
      <c r="I55" s="657"/>
      <c r="J55" s="657"/>
      <c r="K55" s="657"/>
      <c r="L55" s="658"/>
      <c r="M55" s="659"/>
      <c r="N55" s="2159"/>
      <c r="O55" s="2159"/>
      <c r="P55" s="2160"/>
      <c r="Q55" s="2155"/>
      <c r="R55" s="1990"/>
      <c r="S55" s="1990"/>
      <c r="T55" s="1990"/>
      <c r="U55" s="1990"/>
      <c r="V55" s="1990"/>
      <c r="W55" s="1990"/>
      <c r="X55" s="1990"/>
      <c r="Y55" s="1990"/>
      <c r="Z55" s="1990"/>
      <c r="AA55" s="1990"/>
      <c r="AB55" s="1990"/>
      <c r="AC55" s="1990"/>
    </row>
    <row r="56" spans="1:29" s="1216" customFormat="1" ht="15.75" thickBot="1">
      <c r="A56" s="655"/>
      <c r="B56" s="644"/>
      <c r="C56" s="645">
        <v>100</v>
      </c>
      <c r="D56" s="646"/>
      <c r="E56" s="646"/>
      <c r="F56" s="646"/>
      <c r="G56" s="646"/>
      <c r="H56" s="646"/>
      <c r="I56" s="646"/>
      <c r="J56" s="646"/>
      <c r="K56" s="646"/>
      <c r="L56" s="646"/>
      <c r="M56" s="648"/>
      <c r="N56" s="2159"/>
      <c r="O56" s="2159"/>
      <c r="P56" s="2155"/>
      <c r="Q56" s="2155"/>
      <c r="R56" s="1990"/>
      <c r="S56" s="1990"/>
      <c r="T56" s="1990"/>
      <c r="U56" s="1990"/>
      <c r="V56" s="1990"/>
      <c r="W56" s="1990"/>
      <c r="X56" s="1990"/>
      <c r="Y56" s="1990"/>
      <c r="Z56" s="1990"/>
      <c r="AA56" s="1990"/>
      <c r="AB56" s="1990"/>
      <c r="AC56" s="1990"/>
    </row>
    <row r="57" spans="1:29">
      <c r="A57" s="660" t="s">
        <v>571</v>
      </c>
      <c r="B57" s="661" t="s">
        <v>528</v>
      </c>
      <c r="C57" s="700">
        <f>C9</f>
        <v>0</v>
      </c>
      <c r="D57" s="594"/>
      <c r="E57" s="594"/>
      <c r="F57" s="594"/>
      <c r="G57" s="594"/>
      <c r="H57" s="594"/>
      <c r="I57" s="594"/>
      <c r="J57" s="594"/>
      <c r="K57" s="662"/>
      <c r="L57" s="663"/>
      <c r="M57" s="664"/>
      <c r="N57" s="2161"/>
      <c r="O57" s="2161"/>
      <c r="P57" s="2162"/>
      <c r="Q57" s="2155"/>
      <c r="R57" s="2142"/>
      <c r="S57" s="2142"/>
      <c r="T57" s="2142"/>
      <c r="U57" s="2142"/>
      <c r="V57" s="2142"/>
      <c r="W57" s="2142"/>
      <c r="X57" s="2142"/>
      <c r="Y57" s="2142"/>
      <c r="Z57" s="2142"/>
      <c r="AA57" s="2142"/>
      <c r="AB57" s="2142"/>
      <c r="AC57" s="2142"/>
    </row>
    <row r="58" spans="1:29" ht="15.75" thickBot="1">
      <c r="A58" s="665"/>
      <c r="B58" s="666"/>
      <c r="C58" s="667"/>
      <c r="D58" s="667"/>
      <c r="E58" s="667"/>
      <c r="F58" s="667"/>
      <c r="G58" s="667"/>
      <c r="H58" s="667"/>
      <c r="I58" s="667"/>
      <c r="J58" s="667"/>
      <c r="K58" s="667"/>
      <c r="L58" s="667"/>
      <c r="M58" s="668"/>
      <c r="N58" s="2163"/>
      <c r="O58" s="2163"/>
      <c r="P58" s="2162"/>
      <c r="Q58" s="2155"/>
      <c r="R58" s="2142"/>
      <c r="S58" s="2142"/>
      <c r="T58" s="2142"/>
      <c r="U58" s="2142"/>
      <c r="V58" s="2142"/>
      <c r="W58" s="2142"/>
      <c r="X58" s="2142"/>
      <c r="Y58" s="2142"/>
      <c r="Z58" s="2142"/>
      <c r="AA58" s="2142"/>
      <c r="AB58" s="2142"/>
      <c r="AC58" s="2142"/>
    </row>
    <row r="59" spans="1:29" ht="27.75" thickTop="1">
      <c r="A59" s="665"/>
      <c r="B59" s="669" t="s">
        <v>531</v>
      </c>
      <c r="C59" s="670" t="s">
        <v>731</v>
      </c>
      <c r="D59" s="670" t="s">
        <v>732</v>
      </c>
      <c r="E59" s="670" t="s">
        <v>733</v>
      </c>
      <c r="F59" s="670" t="s">
        <v>734</v>
      </c>
      <c r="G59" s="670" t="s">
        <v>735</v>
      </c>
      <c r="H59" s="670" t="s">
        <v>736</v>
      </c>
      <c r="I59" s="670" t="s">
        <v>737</v>
      </c>
      <c r="J59" s="670"/>
      <c r="K59" s="671"/>
      <c r="L59" s="672"/>
      <c r="M59" s="673"/>
      <c r="N59" s="2161"/>
      <c r="O59" s="2161"/>
      <c r="P59" s="2162"/>
      <c r="Q59" s="2155"/>
      <c r="R59" s="2142"/>
      <c r="S59" s="2142"/>
      <c r="T59" s="2142"/>
      <c r="U59" s="2142"/>
      <c r="V59" s="2142"/>
      <c r="W59" s="2142"/>
      <c r="X59" s="2142"/>
      <c r="Y59" s="2142"/>
      <c r="Z59" s="2142"/>
      <c r="AA59" s="2142"/>
      <c r="AB59" s="2142"/>
      <c r="AC59" s="2142"/>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3"/>
      <c r="O60" s="2163"/>
      <c r="P60" s="2162"/>
      <c r="Q60" s="2155"/>
      <c r="R60" s="2142"/>
      <c r="S60" s="2142"/>
      <c r="T60" s="2142"/>
      <c r="U60" s="2142"/>
      <c r="V60" s="2142"/>
      <c r="W60" s="2142"/>
      <c r="X60" s="2142"/>
      <c r="Y60" s="2142"/>
      <c r="Z60" s="2142"/>
      <c r="AA60" s="2142"/>
      <c r="AB60" s="2142"/>
      <c r="AC60" s="2142"/>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5"/>
      <c r="B62" s="679"/>
      <c r="C62" s="537"/>
      <c r="D62" s="537"/>
      <c r="E62" s="537"/>
      <c r="F62" s="537"/>
      <c r="G62" s="537"/>
      <c r="H62" s="537"/>
      <c r="I62" s="537"/>
      <c r="J62" s="537"/>
      <c r="K62" s="680"/>
      <c r="L62" s="681"/>
      <c r="M62" s="682"/>
      <c r="N62" s="2161"/>
      <c r="O62" s="2161"/>
      <c r="P62" s="2162"/>
      <c r="Q62" s="2155"/>
      <c r="R62" s="2142"/>
      <c r="S62" s="2142"/>
      <c r="T62" s="2142"/>
      <c r="U62" s="2142"/>
      <c r="V62" s="2142"/>
      <c r="W62" s="2142"/>
      <c r="X62" s="2142"/>
      <c r="Y62" s="2142"/>
      <c r="Z62" s="2142"/>
      <c r="AA62" s="2142"/>
      <c r="AB62" s="2142"/>
      <c r="AC62" s="2142"/>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3"/>
      <c r="O63" s="2163"/>
      <c r="P63" s="2162"/>
      <c r="Q63" s="2155"/>
      <c r="R63" s="2142"/>
      <c r="S63" s="2142"/>
      <c r="T63" s="2142"/>
      <c r="U63" s="2142"/>
      <c r="V63" s="2142"/>
      <c r="W63" s="2142"/>
      <c r="X63" s="2142"/>
      <c r="Y63" s="2142"/>
      <c r="Z63" s="2142"/>
      <c r="AA63" s="2142"/>
      <c r="AB63" s="2142"/>
      <c r="AC63" s="2142"/>
    </row>
    <row r="64" spans="1:29" s="1335" customFormat="1" ht="15.75" thickTop="1">
      <c r="A64" s="683"/>
      <c r="B64" s="669">
        <f>B12</f>
        <v>111</v>
      </c>
      <c r="C64" s="684"/>
      <c r="D64" s="684"/>
      <c r="E64" s="684"/>
      <c r="F64" s="684"/>
      <c r="G64" s="684"/>
      <c r="H64" s="685"/>
      <c r="I64" s="685"/>
      <c r="J64" s="685"/>
      <c r="K64" s="685"/>
      <c r="L64" s="686"/>
      <c r="M64" s="687"/>
      <c r="N64" s="2164"/>
      <c r="O64" s="2164"/>
      <c r="P64" s="2165"/>
      <c r="Q64" s="2166"/>
      <c r="R64" s="2167"/>
      <c r="S64" s="2167"/>
      <c r="T64" s="2167"/>
      <c r="U64" s="2167"/>
      <c r="V64" s="2167"/>
      <c r="W64" s="2167"/>
      <c r="X64" s="2167"/>
      <c r="Y64" s="2167"/>
      <c r="Z64" s="2167"/>
      <c r="AA64" s="2167"/>
      <c r="AB64" s="2167"/>
      <c r="AC64" s="2167"/>
    </row>
    <row r="65" spans="1:29" s="1335" customFormat="1" ht="15.75" thickBot="1">
      <c r="A65" s="683"/>
      <c r="B65" s="674"/>
      <c r="C65" s="688"/>
      <c r="D65" s="667"/>
      <c r="E65" s="667"/>
      <c r="F65" s="667"/>
      <c r="G65" s="667"/>
      <c r="H65" s="667"/>
      <c r="I65" s="667"/>
      <c r="J65" s="667"/>
      <c r="K65" s="667"/>
      <c r="L65" s="667"/>
      <c r="M65" s="668"/>
      <c r="N65" s="2163"/>
      <c r="O65" s="2163"/>
      <c r="P65" s="2165"/>
      <c r="Q65" s="2166"/>
      <c r="R65" s="2167"/>
      <c r="S65" s="2167"/>
      <c r="T65" s="2167"/>
      <c r="U65" s="2167"/>
      <c r="V65" s="2167"/>
      <c r="W65" s="2167"/>
      <c r="X65" s="2167"/>
      <c r="Y65" s="2167"/>
      <c r="Z65" s="2167"/>
      <c r="AA65" s="2167"/>
      <c r="AB65" s="2167"/>
      <c r="AC65" s="2167"/>
    </row>
    <row r="66" spans="1:29" s="1335" customFormat="1" ht="15.75" thickTop="1">
      <c r="A66" s="683"/>
      <c r="B66" s="669">
        <f>B13</f>
        <v>111</v>
      </c>
      <c r="C66" s="684"/>
      <c r="D66" s="684"/>
      <c r="E66" s="684"/>
      <c r="F66" s="684"/>
      <c r="G66" s="684"/>
      <c r="H66" s="685"/>
      <c r="I66" s="685"/>
      <c r="J66" s="685"/>
      <c r="K66" s="685"/>
      <c r="L66" s="686"/>
      <c r="M66" s="687"/>
      <c r="N66" s="2164"/>
      <c r="O66" s="2164"/>
      <c r="P66" s="2168"/>
      <c r="Q66" s="2169"/>
      <c r="R66" s="2167"/>
      <c r="S66" s="2167"/>
      <c r="T66" s="2167"/>
      <c r="U66" s="2167"/>
      <c r="V66" s="2167"/>
      <c r="W66" s="2167"/>
      <c r="X66" s="2167"/>
      <c r="Y66" s="2167"/>
      <c r="Z66" s="2167"/>
      <c r="AA66" s="2167"/>
      <c r="AB66" s="2167"/>
      <c r="AC66" s="2167"/>
    </row>
    <row r="67" spans="1:29" s="1335" customFormat="1" ht="15.75" thickBot="1">
      <c r="A67" s="683"/>
      <c r="B67" s="674"/>
      <c r="C67" s="688"/>
      <c r="D67" s="667"/>
      <c r="E67" s="667"/>
      <c r="F67" s="667"/>
      <c r="G67" s="688"/>
      <c r="H67" s="689"/>
      <c r="I67" s="689"/>
      <c r="J67" s="689"/>
      <c r="K67" s="689"/>
      <c r="L67" s="689"/>
      <c r="M67" s="690"/>
      <c r="N67" s="2164"/>
      <c r="O67" s="2164"/>
      <c r="P67" s="2165"/>
      <c r="Q67" s="2166"/>
      <c r="R67" s="2167"/>
      <c r="S67" s="2167"/>
      <c r="T67" s="2167"/>
      <c r="U67" s="2167"/>
      <c r="V67" s="2167"/>
      <c r="W67" s="2167"/>
      <c r="X67" s="2167"/>
      <c r="Y67" s="2167"/>
      <c r="Z67" s="2167"/>
      <c r="AA67" s="2167"/>
      <c r="AB67" s="2167"/>
      <c r="AC67" s="2167"/>
    </row>
    <row r="68" spans="1:29" s="1335" customFormat="1" ht="15.75" thickTop="1">
      <c r="A68" s="683"/>
      <c r="B68" s="677">
        <f>B14</f>
        <v>111</v>
      </c>
      <c r="C68" s="657"/>
      <c r="D68" s="657"/>
      <c r="E68" s="657"/>
      <c r="F68" s="657"/>
      <c r="G68" s="657"/>
      <c r="H68" s="691"/>
      <c r="I68" s="691"/>
      <c r="J68" s="691"/>
      <c r="K68" s="691"/>
      <c r="L68" s="692"/>
      <c r="M68" s="693"/>
      <c r="N68" s="2164"/>
      <c r="O68" s="2164"/>
      <c r="P68" s="2170"/>
      <c r="Q68" s="2166"/>
      <c r="R68" s="2167"/>
      <c r="S68" s="2167"/>
      <c r="T68" s="2167"/>
      <c r="U68" s="2167"/>
      <c r="V68" s="2167"/>
      <c r="W68" s="2167"/>
      <c r="X68" s="2167"/>
      <c r="Y68" s="2167"/>
      <c r="Z68" s="2167"/>
      <c r="AA68" s="2167"/>
      <c r="AB68" s="2167"/>
      <c r="AC68" s="2167"/>
    </row>
    <row r="69" spans="1:29" s="1335" customFormat="1" ht="15.75" thickBot="1">
      <c r="A69" s="694"/>
      <c r="B69" s="695"/>
      <c r="C69" s="696"/>
      <c r="D69" s="696"/>
      <c r="E69" s="696"/>
      <c r="F69" s="696"/>
      <c r="G69" s="696"/>
      <c r="H69" s="697"/>
      <c r="I69" s="697"/>
      <c r="J69" s="697"/>
      <c r="K69" s="697"/>
      <c r="L69" s="697"/>
      <c r="M69" s="698"/>
      <c r="N69" s="2164"/>
      <c r="O69" s="2164"/>
      <c r="P69" s="2165"/>
      <c r="Q69" s="2166"/>
      <c r="R69" s="2167"/>
      <c r="S69" s="2167"/>
      <c r="T69" s="2167"/>
      <c r="U69" s="2167"/>
      <c r="V69" s="2167"/>
      <c r="W69" s="2167"/>
      <c r="X69" s="2167"/>
      <c r="Y69" s="2167"/>
      <c r="Z69" s="2167"/>
      <c r="AA69" s="2167"/>
      <c r="AB69" s="2167"/>
      <c r="AC69" s="2167"/>
    </row>
    <row r="70" spans="1:29">
      <c r="A70" s="660" t="s">
        <v>533</v>
      </c>
      <c r="B70" s="661" t="s">
        <v>579</v>
      </c>
      <c r="C70" s="699" t="s">
        <v>573</v>
      </c>
      <c r="D70" s="699" t="s">
        <v>574</v>
      </c>
      <c r="E70" s="699" t="s">
        <v>575</v>
      </c>
      <c r="F70" s="699" t="s">
        <v>576</v>
      </c>
      <c r="G70" s="699" t="s">
        <v>577</v>
      </c>
      <c r="H70" s="700"/>
      <c r="I70" s="700"/>
      <c r="J70" s="700"/>
      <c r="K70" s="701"/>
      <c r="L70" s="702"/>
      <c r="M70" s="703"/>
      <c r="N70" s="2161"/>
      <c r="O70" s="2161"/>
      <c r="P70" s="2171"/>
      <c r="Q70" s="2155"/>
      <c r="R70" s="2142"/>
      <c r="S70" s="2142"/>
      <c r="T70" s="2142"/>
      <c r="U70" s="2142"/>
      <c r="V70" s="2142"/>
      <c r="W70" s="2142"/>
      <c r="X70" s="2142"/>
      <c r="Y70" s="2142"/>
      <c r="Z70" s="2142"/>
      <c r="AA70" s="2142"/>
      <c r="AB70" s="2142"/>
      <c r="AC70" s="2142"/>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3"/>
      <c r="O71" s="2163"/>
      <c r="P71" s="2162"/>
      <c r="Q71" s="2155"/>
      <c r="R71" s="2142"/>
      <c r="S71" s="2142"/>
      <c r="T71" s="2142"/>
      <c r="U71" s="2142"/>
      <c r="V71" s="2142"/>
      <c r="W71" s="2142"/>
      <c r="X71" s="2142"/>
      <c r="Y71" s="2142"/>
      <c r="Z71" s="2142"/>
      <c r="AA71" s="2142"/>
      <c r="AB71" s="2142"/>
      <c r="AC71" s="2142"/>
    </row>
    <row r="72" spans="1:29" ht="15.75" thickTop="1">
      <c r="A72" s="665"/>
      <c r="B72" s="669" t="s">
        <v>580</v>
      </c>
      <c r="C72" s="704" t="s">
        <v>573</v>
      </c>
      <c r="D72" s="704" t="s">
        <v>574</v>
      </c>
      <c r="E72" s="704" t="s">
        <v>575</v>
      </c>
      <c r="F72" s="704" t="s">
        <v>576</v>
      </c>
      <c r="G72" s="704" t="s">
        <v>577</v>
      </c>
      <c r="H72" s="670"/>
      <c r="I72" s="670"/>
      <c r="J72" s="670"/>
      <c r="K72" s="671"/>
      <c r="L72" s="672"/>
      <c r="M72" s="673"/>
      <c r="N72" s="2161"/>
      <c r="O72" s="2161"/>
      <c r="P72" s="2162"/>
      <c r="Q72" s="2155"/>
      <c r="R72" s="2142"/>
      <c r="S72" s="2142"/>
      <c r="T72" s="2142"/>
      <c r="U72" s="2142"/>
      <c r="V72" s="2142"/>
      <c r="W72" s="2142"/>
      <c r="X72" s="2142"/>
      <c r="Y72" s="2142"/>
      <c r="Z72" s="2142"/>
      <c r="AA72" s="2142"/>
      <c r="AB72" s="2142"/>
      <c r="AC72" s="2142"/>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3"/>
      <c r="O73" s="2163"/>
      <c r="P73" s="2162"/>
      <c r="Q73" s="2155"/>
      <c r="R73" s="2142"/>
      <c r="S73" s="2142"/>
      <c r="T73" s="2142"/>
      <c r="U73" s="2142"/>
      <c r="V73" s="2142"/>
      <c r="W73" s="2142"/>
      <c r="X73" s="2142"/>
      <c r="Y73" s="2142"/>
      <c r="Z73" s="2142"/>
      <c r="AA73" s="2142"/>
      <c r="AB73" s="2142"/>
      <c r="AC73" s="2142"/>
    </row>
    <row r="74" spans="1:29" ht="15.75" thickTop="1">
      <c r="A74" s="665"/>
      <c r="B74" s="1893" t="s">
        <v>2552</v>
      </c>
      <c r="C74" s="704" t="s">
        <v>573</v>
      </c>
      <c r="D74" s="704" t="s">
        <v>574</v>
      </c>
      <c r="E74" s="704" t="s">
        <v>575</v>
      </c>
      <c r="F74" s="704" t="s">
        <v>576</v>
      </c>
      <c r="G74" s="704" t="s">
        <v>577</v>
      </c>
      <c r="H74" s="670"/>
      <c r="I74" s="670"/>
      <c r="J74" s="670"/>
      <c r="K74" s="671"/>
      <c r="L74" s="672"/>
      <c r="M74" s="673"/>
      <c r="N74" s="2161"/>
      <c r="O74" s="2161"/>
      <c r="P74" s="2162"/>
      <c r="Q74" s="2155"/>
      <c r="R74" s="2142"/>
      <c r="S74" s="2142"/>
      <c r="T74" s="2142"/>
      <c r="U74" s="2142"/>
      <c r="V74" s="2142"/>
      <c r="W74" s="2142"/>
      <c r="X74" s="2142"/>
      <c r="Y74" s="2142"/>
      <c r="Z74" s="2142"/>
      <c r="AA74" s="2142"/>
      <c r="AB74" s="2142"/>
      <c r="AC74" s="2142"/>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3"/>
      <c r="O75" s="2163"/>
      <c r="P75" s="2162"/>
      <c r="Q75" s="2155"/>
      <c r="R75" s="2142"/>
      <c r="S75" s="2142"/>
      <c r="T75" s="2142"/>
      <c r="U75" s="2142"/>
      <c r="V75" s="2142"/>
      <c r="W75" s="2142"/>
      <c r="X75" s="2142"/>
      <c r="Y75" s="2142"/>
      <c r="Z75" s="2142"/>
      <c r="AA75" s="2142"/>
      <c r="AB75" s="2142"/>
      <c r="AC75" s="2142"/>
    </row>
    <row r="76" spans="1:29" ht="15.75" thickTop="1">
      <c r="A76" s="665"/>
      <c r="B76" s="2594" t="s">
        <v>2553</v>
      </c>
      <c r="C76" s="2595" t="s">
        <v>2554</v>
      </c>
      <c r="D76" s="2595" t="s">
        <v>2555</v>
      </c>
      <c r="E76" s="2595" t="s">
        <v>2556</v>
      </c>
      <c r="F76" s="2595" t="s">
        <v>2557</v>
      </c>
      <c r="G76" s="2595" t="s">
        <v>2558</v>
      </c>
      <c r="H76" s="931"/>
      <c r="I76" s="931"/>
      <c r="J76" s="931"/>
      <c r="K76" s="931"/>
      <c r="L76" s="931"/>
      <c r="M76" s="555"/>
      <c r="N76" s="2163"/>
      <c r="O76" s="2163"/>
      <c r="P76" s="2162"/>
      <c r="Q76" s="2155"/>
      <c r="R76" s="2142"/>
      <c r="S76" s="2142"/>
      <c r="T76" s="2142"/>
      <c r="U76" s="2142"/>
      <c r="V76" s="2142"/>
      <c r="W76" s="2142"/>
      <c r="X76" s="2142"/>
      <c r="Y76" s="2142"/>
      <c r="Z76" s="2142"/>
      <c r="AA76" s="2142"/>
      <c r="AB76" s="2142"/>
      <c r="AC76" s="2142"/>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3"/>
      <c r="O77" s="2163"/>
      <c r="P77" s="2162"/>
      <c r="Q77" s="2155"/>
      <c r="R77" s="2142"/>
      <c r="S77" s="2142"/>
      <c r="T77" s="2142"/>
      <c r="U77" s="2142"/>
      <c r="V77" s="2142"/>
      <c r="W77" s="2142"/>
      <c r="X77" s="2142"/>
      <c r="Y77" s="2142"/>
      <c r="Z77" s="2142"/>
      <c r="AA77" s="2142"/>
      <c r="AB77" s="2142"/>
      <c r="AC77" s="2142"/>
    </row>
    <row r="78" spans="1:29" ht="15.75" thickTop="1">
      <c r="A78" s="665"/>
      <c r="B78" s="669" t="s">
        <v>778</v>
      </c>
      <c r="C78" s="704" t="s">
        <v>573</v>
      </c>
      <c r="D78" s="704" t="s">
        <v>574</v>
      </c>
      <c r="E78" s="704" t="s">
        <v>575</v>
      </c>
      <c r="F78" s="704" t="s">
        <v>576</v>
      </c>
      <c r="G78" s="704" t="s">
        <v>577</v>
      </c>
      <c r="H78" s="670"/>
      <c r="I78" s="670"/>
      <c r="J78" s="670"/>
      <c r="K78" s="671"/>
      <c r="L78" s="672"/>
      <c r="M78" s="673"/>
      <c r="N78" s="2161"/>
      <c r="O78" s="2161"/>
      <c r="P78" s="2162"/>
      <c r="Q78" s="2155"/>
      <c r="R78" s="2142"/>
      <c r="S78" s="2142"/>
      <c r="T78" s="2142"/>
      <c r="U78" s="2142"/>
      <c r="V78" s="2142"/>
      <c r="W78" s="2142"/>
      <c r="X78" s="2142"/>
      <c r="Y78" s="2142"/>
      <c r="Z78" s="2142"/>
      <c r="AA78" s="2142"/>
      <c r="AB78" s="2142"/>
      <c r="AC78" s="2142"/>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3"/>
      <c r="O79" s="2163"/>
      <c r="P79" s="2162"/>
      <c r="Q79" s="2155"/>
      <c r="R79" s="2142"/>
      <c r="S79" s="2142"/>
      <c r="T79" s="2142"/>
      <c r="U79" s="2142"/>
      <c r="V79" s="2142"/>
      <c r="W79" s="2142"/>
      <c r="X79" s="2142"/>
      <c r="Y79" s="2142"/>
      <c r="Z79" s="2142"/>
      <c r="AA79" s="2142"/>
      <c r="AB79" s="2142"/>
      <c r="AC79" s="2142"/>
    </row>
    <row r="80" spans="1:29" s="1216" customFormat="1" ht="15.75" thickTop="1">
      <c r="A80" s="705"/>
      <c r="B80" s="669">
        <f>B25</f>
        <v>111</v>
      </c>
      <c r="C80" s="684"/>
      <c r="D80" s="684"/>
      <c r="E80" s="684"/>
      <c r="F80" s="684"/>
      <c r="G80" s="684"/>
      <c r="H80" s="684"/>
      <c r="I80" s="684"/>
      <c r="J80" s="684"/>
      <c r="K80" s="684"/>
      <c r="L80" s="886"/>
      <c r="M80" s="887"/>
      <c r="N80" s="2159"/>
      <c r="O80" s="2159"/>
      <c r="P80" s="2162"/>
      <c r="Q80" s="2155"/>
      <c r="R80" s="1990"/>
      <c r="S80" s="1990"/>
      <c r="T80" s="1990"/>
      <c r="U80" s="1990"/>
      <c r="V80" s="1990"/>
      <c r="W80" s="1990"/>
      <c r="X80" s="1990"/>
      <c r="Y80" s="1990"/>
      <c r="Z80" s="1990"/>
      <c r="AA80" s="1990"/>
      <c r="AB80" s="1990"/>
      <c r="AC80" s="1990"/>
    </row>
    <row r="81" spans="1:29" s="1216" customFormat="1" ht="15.75" thickBot="1">
      <c r="A81" s="705"/>
      <c r="B81" s="674"/>
      <c r="C81" s="688"/>
      <c r="D81" s="667"/>
      <c r="E81" s="667"/>
      <c r="F81" s="667"/>
      <c r="G81" s="667"/>
      <c r="H81" s="667"/>
      <c r="I81" s="667"/>
      <c r="J81" s="667"/>
      <c r="K81" s="667"/>
      <c r="L81" s="667"/>
      <c r="M81" s="668"/>
      <c r="N81" s="2163"/>
      <c r="O81" s="2163"/>
      <c r="P81" s="2162"/>
      <c r="Q81" s="2155"/>
      <c r="R81" s="1990"/>
      <c r="S81" s="1990"/>
      <c r="T81" s="1990"/>
      <c r="U81" s="1990"/>
      <c r="V81" s="1990"/>
      <c r="W81" s="1990"/>
      <c r="X81" s="1990"/>
      <c r="Y81" s="1990"/>
      <c r="Z81" s="1990"/>
      <c r="AA81" s="1990"/>
      <c r="AB81" s="1990"/>
      <c r="AC81" s="1990"/>
    </row>
    <row r="82" spans="1:29" s="1216" customFormat="1" ht="15.75" thickTop="1">
      <c r="A82" s="705"/>
      <c r="B82" s="669">
        <f>B26</f>
        <v>111</v>
      </c>
      <c r="C82" s="684"/>
      <c r="D82" s="684"/>
      <c r="E82" s="684"/>
      <c r="F82" s="684"/>
      <c r="G82" s="684"/>
      <c r="H82" s="684"/>
      <c r="I82" s="684"/>
      <c r="J82" s="684"/>
      <c r="K82" s="684"/>
      <c r="L82" s="886"/>
      <c r="M82" s="887"/>
      <c r="N82" s="2159"/>
      <c r="O82" s="2159"/>
      <c r="P82" s="2162"/>
      <c r="Q82" s="2155"/>
      <c r="R82" s="1990"/>
      <c r="S82" s="1990"/>
      <c r="T82" s="1990"/>
      <c r="U82" s="1990"/>
      <c r="V82" s="1990"/>
      <c r="W82" s="1990"/>
      <c r="X82" s="1990"/>
      <c r="Y82" s="1990"/>
      <c r="Z82" s="1990"/>
      <c r="AA82" s="1990"/>
      <c r="AB82" s="1990"/>
      <c r="AC82" s="1990"/>
    </row>
    <row r="83" spans="1:29" s="1216" customFormat="1" ht="15.75" thickBot="1">
      <c r="A83" s="705"/>
      <c r="B83" s="674"/>
      <c r="C83" s="688"/>
      <c r="D83" s="667"/>
      <c r="E83" s="667"/>
      <c r="F83" s="667"/>
      <c r="G83" s="667"/>
      <c r="H83" s="667"/>
      <c r="I83" s="667"/>
      <c r="J83" s="667"/>
      <c r="K83" s="667"/>
      <c r="L83" s="667"/>
      <c r="M83" s="668"/>
      <c r="N83" s="2163"/>
      <c r="O83" s="2163"/>
      <c r="P83" s="2162"/>
      <c r="Q83" s="2155"/>
      <c r="R83" s="1990"/>
      <c r="S83" s="1990"/>
      <c r="T83" s="1990"/>
      <c r="U83" s="1990"/>
      <c r="V83" s="1990"/>
      <c r="W83" s="1990"/>
      <c r="X83" s="1990"/>
      <c r="Y83" s="1990"/>
      <c r="Z83" s="1990"/>
      <c r="AA83" s="1990"/>
      <c r="AB83" s="1990"/>
      <c r="AC83" s="1990"/>
    </row>
    <row r="84" spans="1:29" s="1335" customFormat="1" ht="15.75" thickTop="1">
      <c r="A84" s="683"/>
      <c r="B84" s="669">
        <f>B27</f>
        <v>111</v>
      </c>
      <c r="C84" s="684"/>
      <c r="D84" s="684"/>
      <c r="E84" s="684"/>
      <c r="F84" s="684"/>
      <c r="G84" s="684"/>
      <c r="H84" s="684"/>
      <c r="I84" s="684"/>
      <c r="J84" s="684"/>
      <c r="K84" s="684"/>
      <c r="L84" s="886"/>
      <c r="M84" s="887"/>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3"/>
      <c r="B85" s="674"/>
      <c r="C85" s="688"/>
      <c r="D85" s="667"/>
      <c r="E85" s="667"/>
      <c r="F85" s="667"/>
      <c r="G85" s="667"/>
      <c r="H85" s="667"/>
      <c r="I85" s="667"/>
      <c r="J85" s="667"/>
      <c r="K85" s="667"/>
      <c r="L85" s="667"/>
      <c r="M85" s="668"/>
      <c r="N85" s="2164"/>
      <c r="O85" s="2164"/>
      <c r="P85" s="2165"/>
      <c r="Q85" s="2166"/>
      <c r="R85" s="2167"/>
      <c r="S85" s="2167"/>
      <c r="T85" s="2167"/>
      <c r="U85" s="2167"/>
      <c r="V85" s="2167"/>
      <c r="W85" s="2167"/>
      <c r="X85" s="2167"/>
      <c r="Y85" s="2167"/>
      <c r="Z85" s="2167"/>
      <c r="AA85" s="2167"/>
      <c r="AB85" s="2167"/>
      <c r="AC85" s="2167"/>
    </row>
    <row r="86" spans="1:29" ht="15.75" thickTop="1">
      <c r="A86" s="665"/>
      <c r="B86" s="677">
        <f>B28</f>
        <v>111</v>
      </c>
      <c r="C86" s="657"/>
      <c r="D86" s="657"/>
      <c r="E86" s="657"/>
      <c r="F86" s="657"/>
      <c r="G86" s="718"/>
      <c r="H86" s="718"/>
      <c r="I86" s="718"/>
      <c r="J86" s="718"/>
      <c r="K86" s="719"/>
      <c r="L86" s="720"/>
      <c r="M86" s="721"/>
      <c r="N86" s="2161"/>
      <c r="O86" s="2161"/>
      <c r="P86" s="2162"/>
      <c r="Q86" s="2155"/>
      <c r="R86" s="2142"/>
      <c r="S86" s="2142"/>
      <c r="T86" s="2142"/>
      <c r="U86" s="2142"/>
      <c r="V86" s="2142"/>
      <c r="W86" s="2142"/>
      <c r="X86" s="2142"/>
      <c r="Y86" s="2142"/>
      <c r="Z86" s="2142"/>
      <c r="AA86" s="2142"/>
      <c r="AB86" s="2142"/>
      <c r="AC86" s="2142"/>
    </row>
    <row r="87" spans="1:29" ht="15.75" thickBot="1">
      <c r="A87" s="889"/>
      <c r="B87" s="695"/>
      <c r="C87" s="696"/>
      <c r="D87" s="696"/>
      <c r="E87" s="696"/>
      <c r="F87" s="696"/>
      <c r="G87" s="722"/>
      <c r="H87" s="722"/>
      <c r="I87" s="722"/>
      <c r="J87" s="722"/>
      <c r="K87" s="722"/>
      <c r="L87" s="722"/>
      <c r="M87" s="723"/>
      <c r="N87" s="2163"/>
      <c r="O87" s="2163"/>
      <c r="P87" s="2162"/>
      <c r="Q87" s="2155"/>
      <c r="R87" s="2142"/>
      <c r="S87" s="2142"/>
      <c r="T87" s="2142"/>
      <c r="U87" s="2142"/>
      <c r="V87" s="2142"/>
      <c r="W87" s="2142"/>
      <c r="X87" s="2142"/>
      <c r="Y87" s="2142"/>
      <c r="Z87" s="2142"/>
      <c r="AA87" s="2142"/>
      <c r="AB87" s="2142"/>
      <c r="AC87" s="2142"/>
    </row>
    <row r="88" spans="1:29">
      <c r="A88" s="660" t="s">
        <v>545</v>
      </c>
      <c r="B88" s="661" t="s">
        <v>741</v>
      </c>
      <c r="C88" s="594"/>
      <c r="D88" s="594"/>
      <c r="E88" s="594"/>
      <c r="F88" s="594"/>
      <c r="G88" s="594"/>
      <c r="H88" s="594"/>
      <c r="I88" s="594"/>
      <c r="J88" s="594"/>
      <c r="K88" s="662"/>
      <c r="L88" s="663"/>
      <c r="M88" s="664"/>
      <c r="N88" s="2161"/>
      <c r="O88" s="2161"/>
      <c r="P88" s="2162"/>
      <c r="Q88" s="2155"/>
      <c r="R88" s="2142"/>
      <c r="S88" s="2142"/>
      <c r="T88" s="2142"/>
      <c r="U88" s="2142"/>
      <c r="V88" s="2142"/>
      <c r="W88" s="2142"/>
      <c r="X88" s="2142"/>
      <c r="Y88" s="2142"/>
      <c r="Z88" s="2142"/>
      <c r="AA88" s="2142"/>
      <c r="AB88" s="2142"/>
      <c r="AC88" s="2142"/>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5"/>
      <c r="B90" s="669" t="s">
        <v>742</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4"/>
      <c r="B91" s="725"/>
      <c r="C91" s="726"/>
      <c r="D91" s="726"/>
      <c r="E91" s="726"/>
      <c r="F91" s="726"/>
      <c r="G91" s="726"/>
      <c r="H91" s="726"/>
      <c r="I91" s="726"/>
      <c r="J91" s="727"/>
      <c r="K91" s="727"/>
      <c r="L91" s="728"/>
      <c r="M91" s="729"/>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3"/>
      <c r="B92" s="674"/>
      <c r="C92" s="688"/>
      <c r="D92" s="667"/>
      <c r="E92" s="667"/>
      <c r="F92" s="667"/>
      <c r="G92" s="667"/>
      <c r="H92" s="667"/>
      <c r="I92" s="667"/>
      <c r="J92" s="667"/>
      <c r="K92" s="667"/>
      <c r="L92" s="667"/>
      <c r="M92" s="668"/>
      <c r="N92" s="2163"/>
      <c r="O92" s="2163"/>
      <c r="P92" s="2165"/>
      <c r="Q92" s="2166"/>
      <c r="R92" s="2167"/>
      <c r="S92" s="2167"/>
      <c r="T92" s="2167"/>
      <c r="U92" s="2167"/>
      <c r="V92" s="2167"/>
      <c r="W92" s="2167"/>
      <c r="X92" s="2167"/>
      <c r="Y92" s="2167"/>
      <c r="Z92" s="2167"/>
      <c r="AA92" s="2167"/>
      <c r="AB92" s="2167"/>
      <c r="AC92" s="2167"/>
    </row>
    <row r="93" spans="1:29" ht="15" thickTop="1">
      <c r="A93" s="731"/>
      <c r="B93" s="669" t="s">
        <v>743</v>
      </c>
      <c r="C93" s="684"/>
      <c r="D93" s="684"/>
      <c r="E93" s="714"/>
      <c r="F93" s="714"/>
      <c r="G93" s="714"/>
      <c r="H93" s="714"/>
      <c r="I93" s="714"/>
      <c r="J93" s="714"/>
      <c r="K93" s="715"/>
      <c r="L93" s="716"/>
      <c r="M93" s="717"/>
      <c r="N93" s="2161"/>
      <c r="O93" s="2161"/>
      <c r="P93" s="2162"/>
      <c r="Q93" s="2155"/>
      <c r="R93" s="2142"/>
      <c r="S93" s="2142"/>
      <c r="T93" s="2142"/>
      <c r="U93" s="2142"/>
      <c r="V93" s="2142"/>
      <c r="W93" s="2142"/>
      <c r="X93" s="2142"/>
      <c r="Y93" s="2142"/>
      <c r="Z93" s="2142"/>
      <c r="AA93" s="2142"/>
      <c r="AB93" s="2142"/>
      <c r="AC93" s="2142"/>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1"/>
      <c r="B95" s="669" t="s">
        <v>745</v>
      </c>
      <c r="C95" s="684"/>
      <c r="D95" s="684"/>
      <c r="E95" s="684"/>
      <c r="F95" s="714"/>
      <c r="G95" s="714"/>
      <c r="H95" s="714"/>
      <c r="I95" s="714"/>
      <c r="J95" s="714"/>
      <c r="K95" s="715"/>
      <c r="L95" s="716"/>
      <c r="M95" s="717"/>
      <c r="N95" s="2161"/>
      <c r="O95" s="2161"/>
      <c r="P95" s="2162"/>
      <c r="Q95" s="2155"/>
      <c r="R95" s="2142"/>
      <c r="S95" s="2142"/>
      <c r="T95" s="2142"/>
      <c r="U95" s="2142"/>
      <c r="V95" s="2142"/>
      <c r="W95" s="2142"/>
      <c r="X95" s="2142"/>
      <c r="Y95" s="2142"/>
      <c r="Z95" s="2142"/>
      <c r="AA95" s="2142"/>
      <c r="AB95" s="2142"/>
      <c r="AC95" s="2142"/>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1"/>
      <c r="B97" s="669" t="s">
        <v>746</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1"/>
      <c r="O97" s="2161"/>
      <c r="P97" s="2162"/>
      <c r="Q97" s="2155"/>
      <c r="R97" s="2142"/>
      <c r="S97" s="2142"/>
      <c r="T97" s="2142"/>
      <c r="U97" s="2142"/>
      <c r="V97" s="2142"/>
      <c r="W97" s="2142"/>
      <c r="X97" s="2142"/>
      <c r="Y97" s="2142"/>
      <c r="Z97" s="2142"/>
      <c r="AA97" s="2142"/>
      <c r="AB97" s="2142"/>
      <c r="AC97" s="2142"/>
    </row>
    <row r="98" spans="1:29">
      <c r="A98" s="731"/>
      <c r="B98" s="677"/>
      <c r="C98" s="890">
        <v>0.5</v>
      </c>
      <c r="D98" s="890">
        <v>0.6</v>
      </c>
      <c r="E98" s="890">
        <v>0.7</v>
      </c>
      <c r="F98" s="890">
        <v>0.8</v>
      </c>
      <c r="G98" s="890">
        <v>0.9</v>
      </c>
      <c r="H98" s="890">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4"/>
      <c r="B100" s="669" t="s">
        <v>747</v>
      </c>
      <c r="C100" s="684"/>
      <c r="D100" s="684"/>
      <c r="E100" s="684"/>
      <c r="F100" s="684"/>
      <c r="G100" s="684"/>
      <c r="H100" s="714"/>
      <c r="I100" s="714"/>
      <c r="J100" s="714"/>
      <c r="K100" s="715"/>
      <c r="L100" s="716"/>
      <c r="M100" s="717"/>
      <c r="N100" s="2164"/>
      <c r="O100" s="2164"/>
      <c r="P100" s="2165"/>
      <c r="Q100" s="2166"/>
      <c r="R100" s="2167"/>
      <c r="S100" s="2167"/>
      <c r="T100" s="2167"/>
      <c r="U100" s="2167"/>
      <c r="V100" s="2167"/>
      <c r="W100" s="2167"/>
      <c r="X100" s="2167"/>
      <c r="Y100" s="2167"/>
      <c r="Z100" s="2167"/>
      <c r="AA100" s="2167"/>
      <c r="AB100" s="2167"/>
      <c r="AC100" s="2167"/>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1"/>
      <c r="B102" s="1893" t="s">
        <v>2551</v>
      </c>
      <c r="C102" s="684"/>
      <c r="D102" s="684"/>
      <c r="E102" s="684"/>
      <c r="F102" s="684"/>
      <c r="G102" s="684"/>
      <c r="H102" s="714"/>
      <c r="I102" s="714"/>
      <c r="J102" s="714"/>
      <c r="K102" s="715"/>
      <c r="L102" s="716"/>
      <c r="M102" s="717"/>
      <c r="N102" s="2161"/>
      <c r="O102" s="2161"/>
      <c r="P102" s="2162"/>
      <c r="Q102" s="2155"/>
      <c r="R102" s="2142"/>
      <c r="S102" s="2142"/>
      <c r="T102" s="2142"/>
      <c r="U102" s="2142"/>
      <c r="V102" s="2142"/>
      <c r="W102" s="2142"/>
      <c r="X102" s="2142"/>
      <c r="Y102" s="2142"/>
      <c r="Z102" s="2142"/>
      <c r="AA102" s="2142"/>
      <c r="AB102" s="2142"/>
      <c r="AC102" s="2142"/>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1"/>
      <c r="B104" s="669" t="s">
        <v>749</v>
      </c>
      <c r="C104" s="684"/>
      <c r="D104" s="684"/>
      <c r="E104" s="684"/>
      <c r="F104" s="684"/>
      <c r="G104" s="684"/>
      <c r="H104" s="714"/>
      <c r="I104" s="714"/>
      <c r="J104" s="714"/>
      <c r="K104" s="715"/>
      <c r="L104" s="716"/>
      <c r="M104" s="717"/>
      <c r="N104" s="2161"/>
      <c r="O104" s="2161"/>
      <c r="P104" s="2162"/>
      <c r="Q104" s="2155"/>
      <c r="R104" s="2142"/>
      <c r="S104" s="2142"/>
      <c r="T104" s="2142"/>
      <c r="U104" s="2142"/>
      <c r="V104" s="2142"/>
      <c r="W104" s="2142"/>
      <c r="X104" s="2142"/>
      <c r="Y104" s="2142"/>
      <c r="Z104" s="2142"/>
      <c r="AA104" s="2142"/>
      <c r="AB104" s="2142"/>
      <c r="AC104" s="2142"/>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3"/>
      <c r="O105" s="2163"/>
      <c r="P105" s="2162"/>
      <c r="Q105" s="2155"/>
      <c r="R105" s="2142"/>
      <c r="S105" s="2142"/>
      <c r="T105" s="2142"/>
      <c r="U105" s="2142"/>
      <c r="V105" s="2142"/>
      <c r="W105" s="2142"/>
      <c r="X105" s="2142"/>
      <c r="Y105" s="2142"/>
      <c r="Z105" s="2142"/>
      <c r="AA105" s="2142"/>
      <c r="AB105" s="2142"/>
      <c r="AC105" s="2142"/>
    </row>
    <row r="106" spans="1:29" ht="27.75" thickTop="1">
      <c r="A106" s="731"/>
      <c r="B106" s="913" t="s">
        <v>785</v>
      </c>
      <c r="C106" s="704" t="s">
        <v>573</v>
      </c>
      <c r="D106" s="704" t="s">
        <v>574</v>
      </c>
      <c r="E106" s="704" t="s">
        <v>575</v>
      </c>
      <c r="F106" s="704" t="s">
        <v>576</v>
      </c>
      <c r="G106" s="704" t="s">
        <v>577</v>
      </c>
      <c r="H106" s="670"/>
      <c r="I106" s="670"/>
      <c r="J106" s="670"/>
      <c r="K106" s="671"/>
      <c r="L106" s="672"/>
      <c r="M106" s="673"/>
      <c r="N106" s="2163"/>
      <c r="O106" s="2163"/>
      <c r="P106" s="2202"/>
      <c r="Q106" s="2203"/>
      <c r="R106" s="2142"/>
      <c r="S106" s="2142"/>
      <c r="T106" s="2142"/>
      <c r="U106" s="2142"/>
      <c r="V106" s="2142"/>
      <c r="W106" s="2142"/>
      <c r="X106" s="2142"/>
      <c r="Y106" s="2142"/>
      <c r="Z106" s="2142"/>
      <c r="AA106" s="2142"/>
      <c r="AB106" s="2142"/>
      <c r="AC106" s="2142"/>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5" thickTop="1">
      <c r="A108" s="724"/>
      <c r="B108" s="669">
        <f>B38</f>
        <v>111</v>
      </c>
      <c r="C108" s="684"/>
      <c r="D108" s="684"/>
      <c r="E108" s="684"/>
      <c r="F108" s="684"/>
      <c r="G108" s="684"/>
      <c r="H108" s="685"/>
      <c r="I108" s="685"/>
      <c r="J108" s="685"/>
      <c r="K108" s="685"/>
      <c r="L108" s="686"/>
      <c r="M108" s="687"/>
      <c r="N108" s="2164"/>
      <c r="O108" s="2164"/>
      <c r="P108" s="2165"/>
      <c r="Q108" s="2166"/>
      <c r="R108" s="2167"/>
      <c r="S108" s="2167"/>
      <c r="T108" s="2167"/>
      <c r="U108" s="2167"/>
      <c r="V108" s="2167"/>
      <c r="W108" s="2167"/>
      <c r="X108" s="2167"/>
      <c r="Y108" s="2167"/>
      <c r="Z108" s="2167"/>
      <c r="AA108" s="2167"/>
      <c r="AB108" s="2167"/>
      <c r="AC108" s="2167"/>
    </row>
    <row r="109" spans="1:29" s="1335" customFormat="1" ht="15.75" thickBot="1">
      <c r="A109" s="683"/>
      <c r="B109" s="666"/>
      <c r="C109" s="688"/>
      <c r="D109" s="667"/>
      <c r="E109" s="667"/>
      <c r="F109" s="667"/>
      <c r="G109" s="688"/>
      <c r="H109" s="689"/>
      <c r="I109" s="689"/>
      <c r="J109" s="689"/>
      <c r="K109" s="689"/>
      <c r="L109" s="689"/>
      <c r="M109" s="690"/>
      <c r="N109" s="2164"/>
      <c r="O109" s="2164"/>
      <c r="P109" s="2165"/>
      <c r="Q109" s="2166"/>
      <c r="R109" s="2167"/>
      <c r="S109" s="2167"/>
      <c r="T109" s="2167"/>
      <c r="U109" s="2167"/>
      <c r="V109" s="2167"/>
      <c r="W109" s="2167"/>
      <c r="X109" s="2167"/>
      <c r="Y109" s="2167"/>
      <c r="Z109" s="2167"/>
      <c r="AA109" s="2167"/>
      <c r="AB109" s="2167"/>
      <c r="AC109" s="2167"/>
    </row>
    <row r="110" spans="1:29" ht="15" thickTop="1">
      <c r="A110" s="731"/>
      <c r="B110" s="669">
        <f>B39</f>
        <v>111</v>
      </c>
      <c r="C110" s="684"/>
      <c r="D110" s="684"/>
      <c r="E110" s="684"/>
      <c r="F110" s="684"/>
      <c r="G110" s="684"/>
      <c r="H110" s="685"/>
      <c r="I110" s="685"/>
      <c r="J110" s="685"/>
      <c r="K110" s="685"/>
      <c r="L110" s="686"/>
      <c r="M110" s="687"/>
      <c r="N110" s="2161"/>
      <c r="O110" s="2161"/>
      <c r="P110" s="2162"/>
      <c r="Q110" s="2155"/>
      <c r="R110" s="2142"/>
      <c r="S110" s="2142"/>
      <c r="T110" s="2142"/>
      <c r="U110" s="2142"/>
      <c r="V110" s="2142"/>
      <c r="W110" s="2142"/>
      <c r="X110" s="2142"/>
      <c r="Y110" s="2142"/>
      <c r="Z110" s="2142"/>
      <c r="AA110" s="2142"/>
      <c r="AB110" s="2142"/>
      <c r="AC110" s="2142"/>
    </row>
    <row r="111" spans="1:29" ht="15.75" thickBot="1">
      <c r="A111" s="665"/>
      <c r="B111" s="674"/>
      <c r="C111" s="688"/>
      <c r="D111" s="667"/>
      <c r="E111" s="667"/>
      <c r="F111" s="667"/>
      <c r="G111" s="688"/>
      <c r="H111" s="689"/>
      <c r="I111" s="689"/>
      <c r="J111" s="689"/>
      <c r="K111" s="689"/>
      <c r="L111" s="689"/>
      <c r="M111" s="690"/>
      <c r="N111" s="2163"/>
      <c r="O111" s="2163"/>
      <c r="P111" s="2162"/>
      <c r="Q111" s="2155"/>
      <c r="R111" s="2142"/>
      <c r="S111" s="2142"/>
      <c r="T111" s="2142"/>
      <c r="U111" s="2142"/>
      <c r="V111" s="2142"/>
      <c r="W111" s="2142"/>
      <c r="X111" s="2142"/>
      <c r="Y111" s="2142"/>
      <c r="Z111" s="2142"/>
      <c r="AA111" s="2142"/>
      <c r="AB111" s="2142"/>
      <c r="AC111" s="2142"/>
    </row>
    <row r="112" spans="1:29" ht="15" thickTop="1">
      <c r="A112" s="731"/>
      <c r="B112" s="677">
        <f>B40</f>
        <v>111</v>
      </c>
      <c r="C112" s="657"/>
      <c r="D112" s="657"/>
      <c r="E112" s="657"/>
      <c r="F112" s="657"/>
      <c r="G112" s="718"/>
      <c r="H112" s="718"/>
      <c r="I112" s="718"/>
      <c r="J112" s="718"/>
      <c r="K112" s="657"/>
      <c r="L112" s="658"/>
      <c r="M112" s="721"/>
      <c r="N112" s="2161"/>
      <c r="O112" s="2161"/>
      <c r="P112" s="2162"/>
      <c r="Q112" s="2155"/>
      <c r="R112" s="2142"/>
      <c r="S112" s="2142"/>
      <c r="T112" s="2142"/>
      <c r="U112" s="2142"/>
      <c r="V112" s="2142"/>
      <c r="W112" s="2142"/>
      <c r="X112" s="2142"/>
      <c r="Y112" s="2142"/>
      <c r="Z112" s="2142"/>
      <c r="AA112" s="2142"/>
      <c r="AB112" s="2142"/>
      <c r="AC112" s="2142"/>
    </row>
    <row r="113" spans="1:29" ht="15.75" thickBot="1">
      <c r="A113" s="889"/>
      <c r="B113" s="695"/>
      <c r="C113" s="696"/>
      <c r="D113" s="696"/>
      <c r="E113" s="696"/>
      <c r="F113" s="696"/>
      <c r="G113" s="722"/>
      <c r="H113" s="722"/>
      <c r="I113" s="722"/>
      <c r="J113" s="722"/>
      <c r="K113" s="722"/>
      <c r="L113" s="722"/>
      <c r="M113" s="723"/>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919"/>
      <c r="C1" s="500" t="s">
        <v>786</v>
      </c>
      <c r="D1" s="845"/>
      <c r="E1" s="502"/>
      <c r="F1" s="2804"/>
      <c r="G1" s="1597" t="s">
        <v>787</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788</v>
      </c>
      <c r="B2" s="846"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5" t="s">
        <v>789</v>
      </c>
      <c r="B3" s="506" t="e">
        <f>IF(B37="元/平方米",C39,ROUND(B2*10000/D3,0))</f>
        <v>#DIV/0!</v>
      </c>
      <c r="C3" s="848" t="s">
        <v>790</v>
      </c>
      <c r="D3" s="847">
        <f>SUMIF('数据-汇总表'!$C19:$C33,D1,'数据-汇总表'!$E19:$E33)</f>
        <v>0</v>
      </c>
      <c r="E3" s="1845" t="s">
        <v>2071</v>
      </c>
      <c r="F3" s="847">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4"/>
    </row>
    <row r="4" spans="1:29" ht="15">
      <c r="A4" s="508" t="s">
        <v>791</v>
      </c>
      <c r="B4" s="509"/>
      <c r="C4" s="3552" t="s">
        <v>792</v>
      </c>
      <c r="D4" s="3553"/>
      <c r="E4" s="3552" t="s">
        <v>793</v>
      </c>
      <c r="F4" s="3553"/>
      <c r="G4" s="3552" t="s">
        <v>794</v>
      </c>
      <c r="H4" s="3553"/>
      <c r="I4" s="3552" t="s">
        <v>795</v>
      </c>
      <c r="J4" s="3553"/>
      <c r="K4" s="510" t="s">
        <v>796</v>
      </c>
      <c r="L4" s="2130"/>
      <c r="M4" s="2131"/>
      <c r="N4" s="2131"/>
      <c r="O4" s="2131"/>
      <c r="P4" s="3556" t="s">
        <v>797</v>
      </c>
      <c r="Q4" s="3557"/>
      <c r="R4" s="3539" t="s">
        <v>793</v>
      </c>
      <c r="S4" s="3540"/>
      <c r="T4" s="3539" t="s">
        <v>794</v>
      </c>
      <c r="U4" s="3540"/>
      <c r="V4" s="3564" t="s">
        <v>795</v>
      </c>
      <c r="W4" s="3564"/>
      <c r="X4" s="1563"/>
      <c r="Y4" s="3539" t="s">
        <v>797</v>
      </c>
      <c r="Z4" s="3540"/>
      <c r="AA4" s="3534" t="s">
        <v>793</v>
      </c>
      <c r="AB4" s="3535" t="s">
        <v>794</v>
      </c>
      <c r="AC4" s="3534" t="s">
        <v>795</v>
      </c>
    </row>
    <row r="5" spans="1:29" ht="15">
      <c r="A5" s="511"/>
      <c r="B5" s="512"/>
      <c r="C5" s="3589" t="s">
        <v>2925</v>
      </c>
      <c r="D5" s="3546"/>
      <c r="E5" s="3589" t="s">
        <v>2926</v>
      </c>
      <c r="F5" s="3546"/>
      <c r="G5" s="3589" t="s">
        <v>2927</v>
      </c>
      <c r="H5" s="3546"/>
      <c r="I5" s="3589" t="s">
        <v>2928</v>
      </c>
      <c r="J5" s="3546"/>
      <c r="K5" s="510"/>
      <c r="L5" s="2130"/>
      <c r="M5" s="2131"/>
      <c r="N5" s="2131"/>
      <c r="O5" s="2131"/>
      <c r="P5" s="3558"/>
      <c r="Q5" s="3559"/>
      <c r="R5" s="3541"/>
      <c r="S5" s="3542"/>
      <c r="T5" s="3541"/>
      <c r="U5" s="3542"/>
      <c r="V5" s="3564"/>
      <c r="W5" s="3564"/>
      <c r="X5" s="1563"/>
      <c r="Y5" s="3541"/>
      <c r="Z5" s="3542"/>
      <c r="AA5" s="3535"/>
      <c r="AB5" s="3535"/>
      <c r="AC5" s="3535"/>
    </row>
    <row r="6" spans="1:29" ht="15.75" thickBot="1">
      <c r="A6" s="513"/>
      <c r="B6" s="514"/>
      <c r="C6" s="3547" t="s">
        <v>2929</v>
      </c>
      <c r="D6" s="3548"/>
      <c r="E6" s="3590" t="s">
        <v>2929</v>
      </c>
      <c r="F6" s="3591"/>
      <c r="G6" s="3547" t="s">
        <v>2929</v>
      </c>
      <c r="H6" s="3548"/>
      <c r="I6" s="3547" t="s">
        <v>2929</v>
      </c>
      <c r="J6" s="3548"/>
      <c r="K6" s="510" t="s">
        <v>522</v>
      </c>
      <c r="L6" s="2130"/>
      <c r="M6" s="2131"/>
      <c r="N6" s="2131"/>
      <c r="O6" s="2131"/>
      <c r="P6" s="3560"/>
      <c r="Q6" s="3561"/>
      <c r="R6" s="3541"/>
      <c r="S6" s="3542"/>
      <c r="T6" s="3562"/>
      <c r="U6" s="3563"/>
      <c r="V6" s="3564"/>
      <c r="W6" s="3564"/>
      <c r="X6" s="1563"/>
      <c r="Y6" s="3562"/>
      <c r="Z6" s="3563"/>
      <c r="AA6" s="3536"/>
      <c r="AB6" s="3536"/>
      <c r="AC6" s="3536"/>
    </row>
    <row r="7" spans="1:29" s="1216" customFormat="1" ht="15.75" thickBot="1">
      <c r="A7" s="2909"/>
      <c r="B7" s="2916" t="s">
        <v>523</v>
      </c>
      <c r="C7" s="515">
        <f>'数据-取费表'!B2</f>
        <v>43388</v>
      </c>
      <c r="D7" s="516">
        <v>100</v>
      </c>
      <c r="E7" s="517"/>
      <c r="F7" s="518">
        <f>SUMIF(48:48,YEAR(E7)&amp;"-"&amp;MONTH(E7),49:49)</f>
        <v>0</v>
      </c>
      <c r="G7" s="519"/>
      <c r="H7" s="516">
        <f>SUMIF(48:48,YEAR(G7)&amp;"-"&amp;MONTH(G7),49:49)</f>
        <v>0</v>
      </c>
      <c r="I7" s="519"/>
      <c r="J7" s="516">
        <f>SUMIF(48:48,YEAR(I7)&amp;"-"&amp;MONTH(I7),49:49)</f>
        <v>0</v>
      </c>
      <c r="K7" s="520"/>
      <c r="L7" s="2132"/>
      <c r="M7" s="2133"/>
      <c r="N7" s="2133"/>
      <c r="O7" s="2133"/>
      <c r="P7" s="3537" t="s">
        <v>524</v>
      </c>
      <c r="Q7" s="3565"/>
      <c r="R7" s="1564" t="s">
        <v>8</v>
      </c>
      <c r="S7" s="1565">
        <f t="shared" ref="S7:S14" si="0">F7</f>
        <v>0</v>
      </c>
      <c r="T7" s="1564" t="s">
        <v>8</v>
      </c>
      <c r="U7" s="1565">
        <f t="shared" ref="U7:U14" si="1">H7</f>
        <v>0</v>
      </c>
      <c r="V7" s="1564" t="s">
        <v>8</v>
      </c>
      <c r="W7" s="1565">
        <f t="shared" ref="W7:W14" si="2">J7</f>
        <v>0</v>
      </c>
      <c r="X7" s="1566"/>
      <c r="Y7" s="3537" t="s">
        <v>524</v>
      </c>
      <c r="Z7" s="3538"/>
      <c r="AA7" s="1567" t="e">
        <f>D7/F7</f>
        <v>#DIV/0!</v>
      </c>
      <c r="AB7" s="1567" t="e">
        <f>D7/H7</f>
        <v>#DIV/0!</v>
      </c>
      <c r="AC7" s="1567" t="e">
        <f>D7/J7</f>
        <v>#DIV/0!</v>
      </c>
    </row>
    <row r="8" spans="1:29" s="1216" customFormat="1" ht="15.75" thickBot="1">
      <c r="A8" s="2910"/>
      <c r="B8" s="2917" t="s">
        <v>525</v>
      </c>
      <c r="C8" s="521" t="s">
        <v>570</v>
      </c>
      <c r="D8" s="516">
        <v>100</v>
      </c>
      <c r="E8" s="521"/>
      <c r="F8" s="518">
        <f>SUMIF(51:51,E8,52:52)-SUMIF(51:51,C8,52:52)+100</f>
        <v>0</v>
      </c>
      <c r="G8" s="521"/>
      <c r="H8" s="516">
        <f>SUMIF(51:51,G8,52:52)-SUMIF(51:51,C8,52:52)+100</f>
        <v>0</v>
      </c>
      <c r="I8" s="521"/>
      <c r="J8" s="516">
        <f>SUMIF(51:51,I8,52:52)-SUMIF(51:51,C8,52:52)+100</f>
        <v>0</v>
      </c>
      <c r="K8" s="520"/>
      <c r="L8" s="2132"/>
      <c r="M8" s="2133"/>
      <c r="N8" s="2133"/>
      <c r="O8" s="2133"/>
      <c r="P8" s="3537" t="s">
        <v>527</v>
      </c>
      <c r="Q8" s="3538"/>
      <c r="R8" s="1564" t="s">
        <v>8</v>
      </c>
      <c r="S8" s="1565">
        <f t="shared" si="0"/>
        <v>0</v>
      </c>
      <c r="T8" s="1564" t="s">
        <v>8</v>
      </c>
      <c r="U8" s="1565">
        <f t="shared" si="1"/>
        <v>0</v>
      </c>
      <c r="V8" s="1564" t="s">
        <v>8</v>
      </c>
      <c r="W8" s="1565">
        <f t="shared" si="2"/>
        <v>0</v>
      </c>
      <c r="X8" s="1566"/>
      <c r="Y8" s="3537" t="s">
        <v>527</v>
      </c>
      <c r="Z8" s="3538"/>
      <c r="AA8" s="1567" t="e">
        <f t="shared" ref="AA8:AA36" si="3">D8/F8</f>
        <v>#DIV/0!</v>
      </c>
      <c r="AB8" s="1567" t="e">
        <f t="shared" ref="AB8:AB36" si="4">D8/H8</f>
        <v>#DIV/0!</v>
      </c>
      <c r="AC8" s="1567" t="e">
        <f t="shared" ref="AC8:AC36" si="5">D8/J8</f>
        <v>#DIV/0!</v>
      </c>
    </row>
    <row r="9" spans="1:29" s="1216" customFormat="1" ht="15">
      <c r="A9" s="2911"/>
      <c r="B9" s="2918" t="s">
        <v>2751</v>
      </c>
      <c r="C9" s="853"/>
      <c r="D9" s="253">
        <v>100</v>
      </c>
      <c r="E9" s="856"/>
      <c r="F9" s="253">
        <f>SUMIF(53:53,E9,54:54)-SUMIF(53:53,C9,54:54)+100</f>
        <v>100</v>
      </c>
      <c r="G9" s="854"/>
      <c r="H9" s="253">
        <f>SUMIF(53:53,G9,54:54)-SUMIF(53:53,C9,54:54)+100</f>
        <v>100</v>
      </c>
      <c r="I9" s="854"/>
      <c r="J9" s="253">
        <f>SUMIF(53:53,I9,54:54)-SUMIF(53:53,C9,54:54)+100</f>
        <v>100</v>
      </c>
      <c r="K9" s="520"/>
      <c r="L9" s="2132"/>
      <c r="M9" s="2133"/>
      <c r="N9" s="2133"/>
      <c r="O9" s="2134"/>
      <c r="P9" s="3551" t="s">
        <v>529</v>
      </c>
      <c r="Q9" s="1147" t="str">
        <f t="shared" ref="Q9:Q14" si="6">B9</f>
        <v>用途</v>
      </c>
      <c r="R9" s="1564" t="s">
        <v>8</v>
      </c>
      <c r="S9" s="1565">
        <f t="shared" si="0"/>
        <v>100</v>
      </c>
      <c r="T9" s="1564" t="s">
        <v>8</v>
      </c>
      <c r="U9" s="1565">
        <f t="shared" si="1"/>
        <v>100</v>
      </c>
      <c r="V9" s="1564" t="s">
        <v>8</v>
      </c>
      <c r="W9" s="1565">
        <f t="shared" si="2"/>
        <v>100</v>
      </c>
      <c r="X9" s="1566"/>
      <c r="Y9" s="3489" t="s">
        <v>530</v>
      </c>
      <c r="Z9" s="1146" t="str">
        <f t="shared" ref="Z9:Z14" si="7">Q9</f>
        <v>用途</v>
      </c>
      <c r="AA9" s="1567">
        <f t="shared" si="3"/>
        <v>1</v>
      </c>
      <c r="AB9" s="1567">
        <f t="shared" si="4"/>
        <v>1</v>
      </c>
      <c r="AC9" s="1567">
        <f t="shared" si="5"/>
        <v>1</v>
      </c>
    </row>
    <row r="10" spans="1:29" s="1334" customFormat="1" ht="27">
      <c r="A10" s="2912"/>
      <c r="B10" s="2917" t="s">
        <v>2752</v>
      </c>
      <c r="C10" s="857"/>
      <c r="D10" s="254">
        <v>100</v>
      </c>
      <c r="E10" s="857"/>
      <c r="F10" s="254">
        <f>SUMIF(55:55,E10,56:56)-SUMIF(55:55,C10,56:56)+100</f>
        <v>100</v>
      </c>
      <c r="G10" s="858"/>
      <c r="H10" s="254">
        <f>SUMIF(55:55,G10,56:56)-SUMIF(55:55,C10,56:56)+100</f>
        <v>100</v>
      </c>
      <c r="I10" s="857"/>
      <c r="J10" s="254">
        <f>SUMIF(55:55,I10,56:56)-SUMIF(55:55,C10,56:56)+100</f>
        <v>100</v>
      </c>
      <c r="K10" s="580"/>
      <c r="L10" s="2135"/>
      <c r="M10" s="2175"/>
      <c r="N10" s="2175"/>
      <c r="O10" s="2136"/>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c r="A11" s="2914"/>
      <c r="B11" s="2920">
        <v>111</v>
      </c>
      <c r="C11" s="524"/>
      <c r="D11" s="254">
        <v>100</v>
      </c>
      <c r="E11" s="524"/>
      <c r="F11" s="254">
        <f>SUMIF(57:57,E11,58:58)-SUMIF(57:57,C11,58:58)+100</f>
        <v>100</v>
      </c>
      <c r="G11" s="524"/>
      <c r="H11" s="254">
        <f>SUMIF(57:57,G11,58:58)-SUMIF(57:57,C11,58:58)+100</f>
        <v>100</v>
      </c>
      <c r="I11" s="524"/>
      <c r="J11" s="254">
        <f>SUMIF(57:57,I11,58:58)-SUMIF(57:57,C11,58:58)+100</f>
        <v>100</v>
      </c>
      <c r="K11" s="577"/>
      <c r="L11" s="2137"/>
      <c r="M11" s="2131"/>
      <c r="N11" s="2131"/>
      <c r="O11" s="2138"/>
      <c r="P11" s="3551"/>
      <c r="Q11" s="1147">
        <f t="shared" si="6"/>
        <v>111</v>
      </c>
      <c r="R11" s="1564" t="s">
        <v>8</v>
      </c>
      <c r="S11" s="1565">
        <f t="shared" si="0"/>
        <v>100</v>
      </c>
      <c r="T11" s="1564" t="s">
        <v>8</v>
      </c>
      <c r="U11" s="1565">
        <f t="shared" si="1"/>
        <v>100</v>
      </c>
      <c r="V11" s="1564" t="s">
        <v>8</v>
      </c>
      <c r="W11" s="1565">
        <f t="shared" si="2"/>
        <v>100</v>
      </c>
      <c r="X11" s="1566"/>
      <c r="Y11" s="3489"/>
      <c r="Z11" s="1146">
        <f t="shared" si="7"/>
        <v>111</v>
      </c>
      <c r="AA11" s="1567">
        <f t="shared" si="3"/>
        <v>1</v>
      </c>
      <c r="AB11" s="1567">
        <f t="shared" si="4"/>
        <v>1</v>
      </c>
      <c r="AC11" s="1567">
        <f t="shared" si="5"/>
        <v>1</v>
      </c>
    </row>
    <row r="12" spans="1:29" s="1216" customFormat="1" ht="15">
      <c r="A12" s="2914"/>
      <c r="B12" s="2920">
        <v>111</v>
      </c>
      <c r="C12" s="524"/>
      <c r="D12" s="534">
        <v>100</v>
      </c>
      <c r="E12" s="524"/>
      <c r="F12" s="254">
        <f>SUMIF(59:59,E12,60:60)-SUMIF(59:59,C12,60:60)+100</f>
        <v>100</v>
      </c>
      <c r="G12" s="524"/>
      <c r="H12" s="254">
        <f>SUMIF(59:59,G12,60:60)-SUMIF(59:59,C12,60:60)+100</f>
        <v>100</v>
      </c>
      <c r="I12" s="524"/>
      <c r="J12" s="254">
        <f>SUMIF(59:59,I12,60:60)-SUMIF(59:59,C12,60:60)+100</f>
        <v>100</v>
      </c>
      <c r="K12" s="577"/>
      <c r="L12" s="2132"/>
      <c r="M12" s="2133"/>
      <c r="N12" s="2133"/>
      <c r="O12" s="2134"/>
      <c r="P12" s="3551"/>
      <c r="Q12" s="1147">
        <f t="shared" si="6"/>
        <v>111</v>
      </c>
      <c r="R12" s="1564" t="s">
        <v>8</v>
      </c>
      <c r="S12" s="1565">
        <f t="shared" si="0"/>
        <v>100</v>
      </c>
      <c r="T12" s="1564" t="s">
        <v>8</v>
      </c>
      <c r="U12" s="1565">
        <f t="shared" si="1"/>
        <v>100</v>
      </c>
      <c r="V12" s="1564" t="s">
        <v>8</v>
      </c>
      <c r="W12" s="1565">
        <f t="shared" si="2"/>
        <v>100</v>
      </c>
      <c r="X12" s="1566"/>
      <c r="Y12" s="3489"/>
      <c r="Z12" s="1146">
        <f t="shared" si="7"/>
        <v>111</v>
      </c>
      <c r="AA12" s="1567">
        <f>D12/F12</f>
        <v>1</v>
      </c>
      <c r="AB12" s="1567">
        <f>D12/H12</f>
        <v>1</v>
      </c>
      <c r="AC12" s="1567">
        <f>D12/J12</f>
        <v>1</v>
      </c>
    </row>
    <row r="13" spans="1:29" ht="15.75" thickBot="1">
      <c r="A13" s="2915"/>
      <c r="B13" s="2921">
        <v>111</v>
      </c>
      <c r="C13" s="535"/>
      <c r="D13" s="536">
        <v>100</v>
      </c>
      <c r="E13" s="524"/>
      <c r="F13" s="254">
        <f>SUMIF(61:61,E13,62:62)-SUMIF(61:61,C13,62:62)+100</f>
        <v>100</v>
      </c>
      <c r="G13" s="524"/>
      <c r="H13" s="536">
        <f>SUMIF(61:61,G13,62:62)-SUMIF(61:61,C13,62:62)+100</f>
        <v>100</v>
      </c>
      <c r="I13" s="524"/>
      <c r="J13" s="536">
        <f>SUMIF(61:61,I13,62:62)-SUMIF(61:61,C13,62:62)+100</f>
        <v>100</v>
      </c>
      <c r="K13" s="577"/>
      <c r="L13" s="2139"/>
      <c r="M13" s="2131"/>
      <c r="N13" s="2131"/>
      <c r="O13" s="2138"/>
      <c r="P13" s="3551"/>
      <c r="Q13" s="1147">
        <f t="shared" si="6"/>
        <v>111</v>
      </c>
      <c r="R13" s="1564" t="s">
        <v>8</v>
      </c>
      <c r="S13" s="1565">
        <f t="shared" si="0"/>
        <v>100</v>
      </c>
      <c r="T13" s="1564" t="s">
        <v>8</v>
      </c>
      <c r="U13" s="1565">
        <f t="shared" si="1"/>
        <v>100</v>
      </c>
      <c r="V13" s="1564" t="s">
        <v>8</v>
      </c>
      <c r="W13" s="1565">
        <f t="shared" si="2"/>
        <v>100</v>
      </c>
      <c r="X13" s="1566"/>
      <c r="Y13" s="3489"/>
      <c r="Z13" s="1146">
        <f t="shared" si="7"/>
        <v>111</v>
      </c>
      <c r="AA13" s="1567">
        <f t="shared" si="3"/>
        <v>1</v>
      </c>
      <c r="AB13" s="1567">
        <f t="shared" si="4"/>
        <v>1</v>
      </c>
      <c r="AC13" s="1567">
        <f t="shared" si="5"/>
        <v>1</v>
      </c>
    </row>
    <row r="14" spans="1:29" ht="85.5">
      <c r="A14" s="2907" t="s">
        <v>2749</v>
      </c>
      <c r="B14" s="543" t="s">
        <v>537</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9"/>
      <c r="M14" s="2131"/>
      <c r="N14" s="2131"/>
      <c r="O14" s="2138"/>
      <c r="P14" s="3570" t="s">
        <v>534</v>
      </c>
      <c r="Q14" s="1568" t="str">
        <f t="shared" si="6"/>
        <v>交通便捷度</v>
      </c>
      <c r="R14" s="1569" t="s">
        <v>8</v>
      </c>
      <c r="S14" s="1570">
        <f t="shared" si="0"/>
        <v>100</v>
      </c>
      <c r="T14" s="1569" t="s">
        <v>8</v>
      </c>
      <c r="U14" s="1570">
        <f t="shared" si="1"/>
        <v>100</v>
      </c>
      <c r="V14" s="1569" t="s">
        <v>8</v>
      </c>
      <c r="W14" s="1570">
        <f t="shared" si="2"/>
        <v>100</v>
      </c>
      <c r="X14" s="1563"/>
      <c r="Y14" s="3570" t="s">
        <v>534</v>
      </c>
      <c r="Z14" s="1571" t="str">
        <f t="shared" si="7"/>
        <v>交通便捷度</v>
      </c>
      <c r="AA14" s="1572">
        <f t="shared" si="3"/>
        <v>1</v>
      </c>
      <c r="AB14" s="1572">
        <f t="shared" si="4"/>
        <v>1</v>
      </c>
      <c r="AC14" s="1572">
        <f t="shared" si="5"/>
        <v>1</v>
      </c>
    </row>
    <row r="15" spans="1:29" ht="15">
      <c r="A15" s="511"/>
      <c r="B15" s="920"/>
      <c r="C15" s="572"/>
      <c r="D15" s="551"/>
      <c r="E15" s="572"/>
      <c r="F15" s="553"/>
      <c r="G15" s="572"/>
      <c r="H15" s="555"/>
      <c r="I15" s="572"/>
      <c r="J15" s="551"/>
      <c r="K15" s="895"/>
      <c r="L15" s="2139"/>
      <c r="M15" s="2131"/>
      <c r="N15" s="2131"/>
      <c r="O15" s="2138"/>
      <c r="P15" s="3571"/>
      <c r="Q15" s="1568"/>
      <c r="R15" s="1569"/>
      <c r="S15" s="1570"/>
      <c r="T15" s="1569"/>
      <c r="U15" s="1570"/>
      <c r="V15" s="1569"/>
      <c r="W15" s="1570"/>
      <c r="X15" s="1563"/>
      <c r="Y15" s="3571"/>
      <c r="Z15" s="1571"/>
      <c r="AA15" s="1572">
        <v>1</v>
      </c>
      <c r="AB15" s="1572">
        <v>1</v>
      </c>
      <c r="AC15" s="1572">
        <v>1</v>
      </c>
    </row>
    <row r="16" spans="1:29" ht="42.75">
      <c r="A16" s="511"/>
      <c r="B16" s="2600" t="s">
        <v>2541</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9"/>
      <c r="M16" s="2131"/>
      <c r="N16" s="2131"/>
      <c r="O16" s="2138"/>
      <c r="P16" s="3571"/>
      <c r="Q16" s="1568" t="str">
        <f>B16</f>
        <v>公共配套设施</v>
      </c>
      <c r="R16" s="1569" t="s">
        <v>8</v>
      </c>
      <c r="S16" s="1570">
        <f>F16</f>
        <v>100</v>
      </c>
      <c r="T16" s="1569" t="s">
        <v>8</v>
      </c>
      <c r="U16" s="1570">
        <f>H16</f>
        <v>100</v>
      </c>
      <c r="V16" s="1569" t="s">
        <v>8</v>
      </c>
      <c r="W16" s="1570">
        <f>J16</f>
        <v>100</v>
      </c>
      <c r="X16" s="1563"/>
      <c r="Y16" s="3571"/>
      <c r="Z16" s="1571" t="str">
        <f>Q16</f>
        <v>公共配套设施</v>
      </c>
      <c r="AA16" s="1572">
        <f t="shared" si="3"/>
        <v>1</v>
      </c>
      <c r="AB16" s="1572">
        <f t="shared" si="4"/>
        <v>1</v>
      </c>
      <c r="AC16" s="1572">
        <f t="shared" si="5"/>
        <v>1</v>
      </c>
    </row>
    <row r="17" spans="1:29" ht="15">
      <c r="A17" s="511"/>
      <c r="B17" s="562"/>
      <c r="C17" s="869"/>
      <c r="D17" s="551"/>
      <c r="E17" s="572"/>
      <c r="F17" s="553"/>
      <c r="G17" s="572"/>
      <c r="H17" s="551"/>
      <c r="I17" s="572"/>
      <c r="J17" s="551"/>
      <c r="K17" s="895"/>
      <c r="L17" s="2139"/>
      <c r="M17" s="2131"/>
      <c r="N17" s="2131"/>
      <c r="O17" s="2138"/>
      <c r="P17" s="3571"/>
      <c r="Q17" s="1568"/>
      <c r="R17" s="1569"/>
      <c r="S17" s="1570"/>
      <c r="T17" s="1569"/>
      <c r="U17" s="1570"/>
      <c r="V17" s="1569"/>
      <c r="W17" s="1570"/>
      <c r="X17" s="1563"/>
      <c r="Y17" s="3571"/>
      <c r="Z17" s="1571"/>
      <c r="AA17" s="1572">
        <v>1</v>
      </c>
      <c r="AB17" s="1572">
        <v>1</v>
      </c>
      <c r="AC17" s="1572">
        <v>1</v>
      </c>
    </row>
    <row r="18" spans="1:29" ht="28.5">
      <c r="A18" s="511"/>
      <c r="B18" s="2588" t="s">
        <v>2553</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9"/>
      <c r="M18" s="2131"/>
      <c r="N18" s="2131"/>
      <c r="O18" s="2138"/>
      <c r="P18" s="3571"/>
      <c r="Q18" s="2576" t="str">
        <f>B18</f>
        <v>基础设施水平</v>
      </c>
      <c r="R18" s="1569" t="s">
        <v>8</v>
      </c>
      <c r="S18" s="1570">
        <f>F18</f>
        <v>100</v>
      </c>
      <c r="T18" s="1569" t="s">
        <v>8</v>
      </c>
      <c r="U18" s="1570">
        <f>H18</f>
        <v>100</v>
      </c>
      <c r="V18" s="1569" t="s">
        <v>8</v>
      </c>
      <c r="W18" s="1570">
        <f>J18</f>
        <v>100</v>
      </c>
      <c r="X18" s="2578"/>
      <c r="Y18" s="3571"/>
      <c r="Z18" s="2577" t="str">
        <f>Q18</f>
        <v>基础设施水平</v>
      </c>
      <c r="AA18" s="1572">
        <f t="shared" ref="AA18" si="8">D18/F18</f>
        <v>1</v>
      </c>
      <c r="AB18" s="1572">
        <f t="shared" ref="AB18" si="9">D18/H18</f>
        <v>1</v>
      </c>
      <c r="AC18" s="1572">
        <f t="shared" ref="AC18" si="10">D18/J18</f>
        <v>1</v>
      </c>
    </row>
    <row r="19" spans="1:29" ht="15">
      <c r="A19" s="511"/>
      <c r="B19" s="574"/>
      <c r="C19" s="869"/>
      <c r="D19" s="555"/>
      <c r="E19" s="572"/>
      <c r="F19" s="553"/>
      <c r="G19" s="572"/>
      <c r="H19" s="551"/>
      <c r="I19" s="572"/>
      <c r="J19" s="551"/>
      <c r="K19" s="2599"/>
      <c r="L19" s="2139"/>
      <c r="M19" s="2131"/>
      <c r="N19" s="2131"/>
      <c r="O19" s="2138"/>
      <c r="P19" s="3571"/>
      <c r="Q19" s="2576"/>
      <c r="R19" s="1569"/>
      <c r="S19" s="1570"/>
      <c r="T19" s="1569"/>
      <c r="U19" s="1570"/>
      <c r="V19" s="1569"/>
      <c r="W19" s="1570"/>
      <c r="X19" s="2578"/>
      <c r="Y19" s="3571"/>
      <c r="Z19" s="2577"/>
      <c r="AA19" s="1572">
        <v>1</v>
      </c>
      <c r="AB19" s="1572">
        <v>1</v>
      </c>
      <c r="AC19" s="1572">
        <v>1</v>
      </c>
    </row>
    <row r="20" spans="1:29" ht="57">
      <c r="A20" s="511"/>
      <c r="B20" s="556" t="s">
        <v>798</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9"/>
      <c r="M20" s="2131"/>
      <c r="N20" s="2131"/>
      <c r="O20" s="2138"/>
      <c r="P20" s="3571"/>
      <c r="Q20" s="1568" t="str">
        <f>B20</f>
        <v>自然及人文环境</v>
      </c>
      <c r="R20" s="1569" t="s">
        <v>8</v>
      </c>
      <c r="S20" s="1570">
        <f>F20</f>
        <v>100</v>
      </c>
      <c r="T20" s="1569" t="s">
        <v>8</v>
      </c>
      <c r="U20" s="1570">
        <f>H20</f>
        <v>100</v>
      </c>
      <c r="V20" s="1569" t="s">
        <v>8</v>
      </c>
      <c r="W20" s="1570">
        <f>J20</f>
        <v>100</v>
      </c>
      <c r="X20" s="1563"/>
      <c r="Y20" s="3571"/>
      <c r="Z20" s="1571" t="str">
        <f>Q20</f>
        <v>自然及人文环境</v>
      </c>
      <c r="AA20" s="1572">
        <f t="shared" si="3"/>
        <v>1</v>
      </c>
      <c r="AB20" s="1572">
        <f t="shared" si="4"/>
        <v>1</v>
      </c>
      <c r="AC20" s="1572">
        <f t="shared" si="5"/>
        <v>1</v>
      </c>
    </row>
    <row r="21" spans="1:29" ht="15">
      <c r="A21" s="511"/>
      <c r="B21" s="562"/>
      <c r="C21" s="572"/>
      <c r="D21" s="551"/>
      <c r="E21" s="572"/>
      <c r="F21" s="553"/>
      <c r="G21" s="572"/>
      <c r="H21" s="551"/>
      <c r="I21" s="572"/>
      <c r="J21" s="551"/>
      <c r="K21" s="895"/>
      <c r="L21" s="2139"/>
      <c r="M21" s="2131"/>
      <c r="N21" s="2131"/>
      <c r="O21" s="2138"/>
      <c r="P21" s="3571"/>
      <c r="Q21" s="1568"/>
      <c r="R21" s="1569"/>
      <c r="S21" s="1570"/>
      <c r="T21" s="1569"/>
      <c r="U21" s="1570"/>
      <c r="V21" s="1569"/>
      <c r="W21" s="1570"/>
      <c r="X21" s="1563"/>
      <c r="Y21" s="3571"/>
      <c r="Z21" s="1571"/>
      <c r="AA21" s="1572">
        <v>1</v>
      </c>
      <c r="AB21" s="1572">
        <v>1</v>
      </c>
      <c r="AC21" s="1572">
        <v>1</v>
      </c>
    </row>
    <row r="22" spans="1:29" ht="15">
      <c r="A22" s="511"/>
      <c r="B22" s="556" t="s">
        <v>799</v>
      </c>
      <c r="C22" s="579"/>
      <c r="D22" s="555">
        <v>100</v>
      </c>
      <c r="E22" s="579"/>
      <c r="F22" s="571">
        <f>SUMIF(71:71,E22,72:72)-SUMIF(71:71,C22,72:72)+100</f>
        <v>100</v>
      </c>
      <c r="G22" s="579"/>
      <c r="H22" s="536">
        <f>SUMIF(71:71,G22,72:72)-SUMIF(71:71,C22,72:72)+100</f>
        <v>100</v>
      </c>
      <c r="I22" s="579"/>
      <c r="J22" s="536">
        <f>SUMIF(71:71,I22,72:72)-SUMIF(71:71,C22,72:72)+100</f>
        <v>100</v>
      </c>
      <c r="K22" s="580"/>
      <c r="L22" s="2139"/>
      <c r="M22" s="2131"/>
      <c r="N22" s="2131"/>
      <c r="O22" s="2138"/>
      <c r="P22" s="3571"/>
      <c r="Q22" s="1568" t="str">
        <f>B22</f>
        <v>楼层</v>
      </c>
      <c r="R22" s="1569" t="s">
        <v>8</v>
      </c>
      <c r="S22" s="1570">
        <f>F22</f>
        <v>100</v>
      </c>
      <c r="T22" s="1569" t="s">
        <v>8</v>
      </c>
      <c r="U22" s="1570">
        <f>H22</f>
        <v>100</v>
      </c>
      <c r="V22" s="1569" t="s">
        <v>8</v>
      </c>
      <c r="W22" s="1570">
        <f>J22</f>
        <v>100</v>
      </c>
      <c r="X22" s="1563"/>
      <c r="Y22" s="3571"/>
      <c r="Z22" s="1571" t="str">
        <f>Q22</f>
        <v>楼层</v>
      </c>
      <c r="AA22" s="1572">
        <f t="shared" si="3"/>
        <v>1</v>
      </c>
      <c r="AB22" s="1572">
        <f t="shared" si="4"/>
        <v>1</v>
      </c>
      <c r="AC22" s="1572">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9"/>
      <c r="M23" s="2131"/>
      <c r="N23" s="2131"/>
      <c r="O23" s="2138"/>
      <c r="P23" s="3571"/>
      <c r="Q23" s="1568">
        <f>B23</f>
        <v>111</v>
      </c>
      <c r="R23" s="1569" t="s">
        <v>8</v>
      </c>
      <c r="S23" s="1570">
        <f>F23</f>
        <v>100</v>
      </c>
      <c r="T23" s="1569" t="s">
        <v>8</v>
      </c>
      <c r="U23" s="1570">
        <f>H23</f>
        <v>100</v>
      </c>
      <c r="V23" s="1569" t="s">
        <v>8</v>
      </c>
      <c r="W23" s="1570">
        <f>J23</f>
        <v>100</v>
      </c>
      <c r="X23" s="1563"/>
      <c r="Y23" s="3571"/>
      <c r="Z23" s="1571">
        <f>Q23</f>
        <v>111</v>
      </c>
      <c r="AA23" s="1572">
        <f t="shared" si="3"/>
        <v>1</v>
      </c>
      <c r="AB23" s="1572">
        <f t="shared" si="4"/>
        <v>1</v>
      </c>
      <c r="AC23" s="1572">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9"/>
      <c r="M24" s="2131"/>
      <c r="N24" s="2131"/>
      <c r="O24" s="2138"/>
      <c r="P24" s="3571"/>
      <c r="Q24" s="1568">
        <f t="shared" ref="Q24:Q36" si="11">B24</f>
        <v>111</v>
      </c>
      <c r="R24" s="1569" t="s">
        <v>8</v>
      </c>
      <c r="S24" s="1570">
        <f>F24</f>
        <v>100</v>
      </c>
      <c r="T24" s="1569" t="s">
        <v>8</v>
      </c>
      <c r="U24" s="1570">
        <f>H24</f>
        <v>100</v>
      </c>
      <c r="V24" s="1569" t="s">
        <v>8</v>
      </c>
      <c r="W24" s="1570">
        <f>J24</f>
        <v>100</v>
      </c>
      <c r="X24" s="1563"/>
      <c r="Y24" s="3571"/>
      <c r="Z24" s="1571">
        <f>Q24</f>
        <v>111</v>
      </c>
      <c r="AA24" s="1572">
        <f t="shared" si="3"/>
        <v>1</v>
      </c>
      <c r="AB24" s="1572">
        <f t="shared" si="4"/>
        <v>1</v>
      </c>
      <c r="AC24" s="1572">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2"/>
      <c r="M25" s="2133"/>
      <c r="N25" s="2133"/>
      <c r="O25" s="2134"/>
      <c r="P25" s="3571"/>
      <c r="Q25" s="1147">
        <f t="shared" si="11"/>
        <v>111</v>
      </c>
      <c r="R25" s="1564" t="s">
        <v>8</v>
      </c>
      <c r="S25" s="1565">
        <f>F25</f>
        <v>100</v>
      </c>
      <c r="T25" s="1564" t="s">
        <v>8</v>
      </c>
      <c r="U25" s="1565">
        <f>H25</f>
        <v>100</v>
      </c>
      <c r="V25" s="1564" t="s">
        <v>8</v>
      </c>
      <c r="W25" s="1565">
        <f>J25</f>
        <v>100</v>
      </c>
      <c r="X25" s="1566"/>
      <c r="Y25" s="3571"/>
      <c r="Z25" s="1146">
        <f>Q25</f>
        <v>111</v>
      </c>
      <c r="AA25" s="1572">
        <f>D25/F25</f>
        <v>1</v>
      </c>
      <c r="AB25" s="1572">
        <f>D25/H25</f>
        <v>1</v>
      </c>
      <c r="AC25" s="1572">
        <f>D25/J25</f>
        <v>1</v>
      </c>
    </row>
    <row r="26" spans="1:29" ht="15">
      <c r="A26" s="2904" t="s">
        <v>2750</v>
      </c>
      <c r="B26" s="169" t="s">
        <v>800</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9"/>
      <c r="M26" s="2131"/>
      <c r="N26" s="2131"/>
      <c r="O26" s="2138"/>
      <c r="P26" s="3572" t="s">
        <v>544</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73" t="s">
        <v>544</v>
      </c>
      <c r="Z26" s="1571" t="str">
        <f t="shared" ref="Z26:Z36" si="15">Q26</f>
        <v>配套类型</v>
      </c>
      <c r="AA26" s="1572">
        <f t="shared" si="3"/>
        <v>1</v>
      </c>
      <c r="AB26" s="1572">
        <f t="shared" si="4"/>
        <v>1</v>
      </c>
      <c r="AC26" s="1572">
        <f t="shared" si="5"/>
        <v>1</v>
      </c>
    </row>
    <row r="27" spans="1:29" s="1335" customFormat="1" ht="15">
      <c r="A27" s="925"/>
      <c r="B27" s="578" t="s">
        <v>801</v>
      </c>
      <c r="C27" s="926"/>
      <c r="D27" s="254">
        <v>100</v>
      </c>
      <c r="E27" s="926"/>
      <c r="F27" s="571">
        <f>SUMIF(81:81,E27,82:82)-SUMIF(81:81,C27,82:82)+100</f>
        <v>100</v>
      </c>
      <c r="G27" s="926"/>
      <c r="H27" s="536">
        <f>SUMIF(81:81,G27,82:82)-SUMIF(81:81,C27,82:82)+100</f>
        <v>100</v>
      </c>
      <c r="I27" s="926"/>
      <c r="J27" s="536">
        <f>SUMIF(81:81,I27,82:82)-SUMIF(81:81,C27,82:82)+100</f>
        <v>100</v>
      </c>
      <c r="K27" s="577"/>
      <c r="L27" s="2137"/>
      <c r="M27" s="2168"/>
      <c r="N27" s="2168"/>
      <c r="O27" s="2140"/>
      <c r="P27" s="3573"/>
      <c r="Q27" s="1601" t="str">
        <f t="shared" si="11"/>
        <v>项目停车位配比</v>
      </c>
      <c r="R27" s="1573" t="s">
        <v>8</v>
      </c>
      <c r="S27" s="1574">
        <f t="shared" si="12"/>
        <v>100</v>
      </c>
      <c r="T27" s="1573" t="s">
        <v>8</v>
      </c>
      <c r="U27" s="1574">
        <f t="shared" si="13"/>
        <v>100</v>
      </c>
      <c r="V27" s="1573" t="s">
        <v>8</v>
      </c>
      <c r="W27" s="1574">
        <f t="shared" si="14"/>
        <v>100</v>
      </c>
      <c r="X27" s="1575"/>
      <c r="Y27" s="3573"/>
      <c r="Z27" s="1576" t="str">
        <f t="shared" si="15"/>
        <v>项目停车位配比</v>
      </c>
      <c r="AA27" s="1572">
        <f t="shared" si="3"/>
        <v>1</v>
      </c>
      <c r="AB27" s="1572">
        <f t="shared" si="4"/>
        <v>1</v>
      </c>
      <c r="AC27" s="1572">
        <f t="shared" si="5"/>
        <v>1</v>
      </c>
    </row>
    <row r="28" spans="1:29" ht="15">
      <c r="A28" s="927"/>
      <c r="B28" s="578" t="s">
        <v>802</v>
      </c>
      <c r="C28" s="570"/>
      <c r="D28" s="536">
        <v>100</v>
      </c>
      <c r="E28" s="570"/>
      <c r="F28" s="571">
        <f>SUMIF(83:83,E28,84:84)-SUMIF(83:83,C28,84:84)+100</f>
        <v>100</v>
      </c>
      <c r="G28" s="570"/>
      <c r="H28" s="536">
        <f>SUMIF(83:83,G28,84:84)-SUMIF(83:83,C28,84:84)+100</f>
        <v>100</v>
      </c>
      <c r="I28" s="570"/>
      <c r="J28" s="536">
        <f>SUMIF(83:83,I28,84:84)-SUMIF(83:83,C28,84:84)+100</f>
        <v>100</v>
      </c>
      <c r="K28" s="580"/>
      <c r="L28" s="2139"/>
      <c r="M28" s="2131"/>
      <c r="N28" s="2131"/>
      <c r="O28" s="2138"/>
      <c r="P28" s="3573"/>
      <c r="Q28" s="1568" t="str">
        <f t="shared" si="11"/>
        <v>公共部分装修</v>
      </c>
      <c r="R28" s="1569" t="s">
        <v>8</v>
      </c>
      <c r="S28" s="1570">
        <f t="shared" si="12"/>
        <v>100</v>
      </c>
      <c r="T28" s="1569" t="s">
        <v>8</v>
      </c>
      <c r="U28" s="1570">
        <f t="shared" si="13"/>
        <v>100</v>
      </c>
      <c r="V28" s="1569" t="s">
        <v>8</v>
      </c>
      <c r="W28" s="1570">
        <f t="shared" si="14"/>
        <v>100</v>
      </c>
      <c r="X28" s="1563"/>
      <c r="Y28" s="3573"/>
      <c r="Z28" s="1571" t="str">
        <f t="shared" si="15"/>
        <v>公共部分装修</v>
      </c>
      <c r="AA28" s="1572">
        <f t="shared" si="3"/>
        <v>1</v>
      </c>
      <c r="AB28" s="1572">
        <f t="shared" si="4"/>
        <v>1</v>
      </c>
      <c r="AC28" s="1572">
        <f t="shared" si="5"/>
        <v>1</v>
      </c>
    </row>
    <row r="29" spans="1:29" ht="15">
      <c r="A29" s="927"/>
      <c r="B29" s="578" t="s">
        <v>803</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9"/>
      <c r="M29" s="2131"/>
      <c r="N29" s="2131"/>
      <c r="O29" s="2138"/>
      <c r="P29" s="3573"/>
      <c r="Q29" s="1568" t="str">
        <f t="shared" si="11"/>
        <v>成新率</v>
      </c>
      <c r="R29" s="1569" t="s">
        <v>8</v>
      </c>
      <c r="S29" s="1570" t="e">
        <f t="shared" si="12"/>
        <v>#N/A</v>
      </c>
      <c r="T29" s="1569" t="s">
        <v>8</v>
      </c>
      <c r="U29" s="1570" t="e">
        <f t="shared" si="13"/>
        <v>#N/A</v>
      </c>
      <c r="V29" s="1569" t="s">
        <v>8</v>
      </c>
      <c r="W29" s="1570" t="e">
        <f t="shared" si="14"/>
        <v>#N/A</v>
      </c>
      <c r="X29" s="1563"/>
      <c r="Y29" s="3573"/>
      <c r="Z29" s="1571" t="str">
        <f t="shared" si="15"/>
        <v>成新率</v>
      </c>
      <c r="AA29" s="1572" t="e">
        <f t="shared" si="3"/>
        <v>#N/A</v>
      </c>
      <c r="AB29" s="1572" t="e">
        <f t="shared" si="4"/>
        <v>#N/A</v>
      </c>
      <c r="AC29" s="1572" t="e">
        <f t="shared" si="5"/>
        <v>#N/A</v>
      </c>
    </row>
    <row r="30" spans="1:29" ht="15">
      <c r="A30" s="927"/>
      <c r="B30" s="578" t="s">
        <v>804</v>
      </c>
      <c r="C30" s="928"/>
      <c r="D30" s="536">
        <v>100</v>
      </c>
      <c r="E30" s="928"/>
      <c r="F30" s="571">
        <f>SUMIF(88:88,E30,89:89)-SUMIF(88:88,C30,89:89)+100</f>
        <v>100</v>
      </c>
      <c r="G30" s="928"/>
      <c r="H30" s="536">
        <f>SUMIF(88:88,E30,89:89)-SUMIF(88:88,C30,89:89)+100</f>
        <v>100</v>
      </c>
      <c r="I30" s="928"/>
      <c r="J30" s="536">
        <f>SUMIF(88:88,E30,89:89)-SUMIF(88:88,C30,89:89)+100</f>
        <v>100</v>
      </c>
      <c r="K30" s="580"/>
      <c r="L30" s="2139"/>
      <c r="M30" s="2131"/>
      <c r="N30" s="2131"/>
      <c r="O30" s="2138"/>
      <c r="P30" s="3573"/>
      <c r="Q30" s="1568" t="str">
        <f t="shared" si="11"/>
        <v>物业等级</v>
      </c>
      <c r="R30" s="1569" t="s">
        <v>8</v>
      </c>
      <c r="S30" s="1570">
        <f t="shared" si="12"/>
        <v>100</v>
      </c>
      <c r="T30" s="1569" t="s">
        <v>8</v>
      </c>
      <c r="U30" s="1570">
        <f t="shared" si="13"/>
        <v>100</v>
      </c>
      <c r="V30" s="1569" t="s">
        <v>8</v>
      </c>
      <c r="W30" s="1570">
        <f t="shared" si="14"/>
        <v>100</v>
      </c>
      <c r="X30" s="1563"/>
      <c r="Y30" s="3573"/>
      <c r="Z30" s="1571" t="str">
        <f t="shared" si="15"/>
        <v>物业等级</v>
      </c>
      <c r="AA30" s="1572">
        <f t="shared" si="3"/>
        <v>1</v>
      </c>
      <c r="AB30" s="1572">
        <f t="shared" si="4"/>
        <v>1</v>
      </c>
      <c r="AC30" s="1572">
        <f t="shared" si="5"/>
        <v>1</v>
      </c>
    </row>
    <row r="31" spans="1:29" s="1216" customFormat="1" ht="15">
      <c r="A31" s="929"/>
      <c r="B31" s="578" t="s">
        <v>805</v>
      </c>
      <c r="C31" s="876"/>
      <c r="D31" s="254">
        <v>100</v>
      </c>
      <c r="E31" s="876"/>
      <c r="F31" s="571" t="e">
        <f>LOOKUP(E31,91:91,92:92)-LOOKUP(C31,91:91,92:92)+100</f>
        <v>#N/A</v>
      </c>
      <c r="G31" s="876"/>
      <c r="H31" s="536" t="e">
        <f>LOOKUP(G31,91:91,92:92)-LOOKUP(C31,91:91,92:92)+100</f>
        <v>#N/A</v>
      </c>
      <c r="I31" s="876"/>
      <c r="J31" s="536" t="e">
        <f>LOOKUP(I31,91:91,92:92)-LOOKUP(C31,91:91,92:92)+100</f>
        <v>#N/A</v>
      </c>
      <c r="K31" s="580"/>
      <c r="L31" s="2132"/>
      <c r="M31" s="2133"/>
      <c r="N31" s="2133"/>
      <c r="O31" s="2134"/>
      <c r="P31" s="3573"/>
      <c r="Q31" s="1147" t="str">
        <f t="shared" si="11"/>
        <v>停车位面积</v>
      </c>
      <c r="R31" s="1564" t="s">
        <v>8</v>
      </c>
      <c r="S31" s="1565" t="e">
        <f t="shared" si="12"/>
        <v>#N/A</v>
      </c>
      <c r="T31" s="1564" t="s">
        <v>8</v>
      </c>
      <c r="U31" s="1565" t="e">
        <f t="shared" si="13"/>
        <v>#N/A</v>
      </c>
      <c r="V31" s="1564" t="s">
        <v>8</v>
      </c>
      <c r="W31" s="1565" t="e">
        <f t="shared" si="14"/>
        <v>#N/A</v>
      </c>
      <c r="X31" s="1566"/>
      <c r="Y31" s="3573"/>
      <c r="Z31" s="1146" t="str">
        <f t="shared" si="15"/>
        <v>停车位面积</v>
      </c>
      <c r="AA31" s="1567" t="e">
        <f t="shared" si="3"/>
        <v>#N/A</v>
      </c>
      <c r="AB31" s="1567" t="e">
        <f t="shared" si="4"/>
        <v>#N/A</v>
      </c>
      <c r="AC31" s="1567" t="e">
        <f t="shared" si="5"/>
        <v>#N/A</v>
      </c>
    </row>
    <row r="32" spans="1:29" ht="15">
      <c r="A32" s="927"/>
      <c r="B32" s="578" t="s">
        <v>806</v>
      </c>
      <c r="C32" s="570"/>
      <c r="D32" s="536">
        <v>100</v>
      </c>
      <c r="E32" s="570"/>
      <c r="F32" s="571">
        <f>SUMIF(93:93,E32,94:94)-SUMIF(93:93,C32,94:94)+100</f>
        <v>100</v>
      </c>
      <c r="G32" s="570"/>
      <c r="H32" s="536">
        <f>SUMIF(93:93,G32,94:94)-SUMIF(93:93,C32,94:94)+100</f>
        <v>100</v>
      </c>
      <c r="I32" s="570"/>
      <c r="J32" s="536">
        <f>SUMIF(93:93,I32,94:94)-SUMIF(93:93,C32,94:94)+100</f>
        <v>100</v>
      </c>
      <c r="K32" s="580"/>
      <c r="L32" s="2139"/>
      <c r="M32" s="2131"/>
      <c r="N32" s="2131"/>
      <c r="O32" s="2138"/>
      <c r="P32" s="3573" t="s">
        <v>544</v>
      </c>
      <c r="Q32" s="1568" t="str">
        <f t="shared" si="11"/>
        <v>车位类型</v>
      </c>
      <c r="R32" s="1569" t="s">
        <v>8</v>
      </c>
      <c r="S32" s="1570">
        <f t="shared" si="12"/>
        <v>100</v>
      </c>
      <c r="T32" s="1569" t="s">
        <v>8</v>
      </c>
      <c r="U32" s="1570">
        <f t="shared" si="13"/>
        <v>100</v>
      </c>
      <c r="V32" s="1569" t="s">
        <v>8</v>
      </c>
      <c r="W32" s="1570">
        <f t="shared" si="14"/>
        <v>100</v>
      </c>
      <c r="X32" s="1563"/>
      <c r="Y32" s="3573" t="s">
        <v>544</v>
      </c>
      <c r="Z32" s="1571" t="str">
        <f t="shared" si="15"/>
        <v>车位类型</v>
      </c>
      <c r="AA32" s="1572">
        <f t="shared" si="3"/>
        <v>1</v>
      </c>
      <c r="AB32" s="1572">
        <f t="shared" si="4"/>
        <v>1</v>
      </c>
      <c r="AC32" s="1572">
        <f t="shared" si="5"/>
        <v>1</v>
      </c>
    </row>
    <row r="33" spans="1:29" ht="15">
      <c r="A33" s="927"/>
      <c r="B33" s="578" t="s">
        <v>807</v>
      </c>
      <c r="C33" s="570"/>
      <c r="D33" s="536">
        <v>100</v>
      </c>
      <c r="E33" s="570"/>
      <c r="F33" s="571">
        <f>SUMIF(95:95,E33,96:96)-SUMIF(95:95,C33,96:96)+100</f>
        <v>100</v>
      </c>
      <c r="G33" s="570"/>
      <c r="H33" s="536">
        <f>SUMIF(95:95,G33,96:96)-SUMIF(95:95,C33,96:96)+100</f>
        <v>100</v>
      </c>
      <c r="I33" s="570"/>
      <c r="J33" s="536">
        <f>SUMIF(95:95,I33,96:96)-SUMIF(95:95,C33,96:96)+100</f>
        <v>100</v>
      </c>
      <c r="K33" s="580"/>
      <c r="L33" s="2139"/>
      <c r="M33" s="2131"/>
      <c r="N33" s="2131"/>
      <c r="O33" s="2138"/>
      <c r="P33" s="3573"/>
      <c r="Q33" s="1568" t="str">
        <f t="shared" si="11"/>
        <v>是否直接入户</v>
      </c>
      <c r="R33" s="1569" t="s">
        <v>8</v>
      </c>
      <c r="S33" s="1570">
        <f t="shared" si="12"/>
        <v>100</v>
      </c>
      <c r="T33" s="1569" t="s">
        <v>8</v>
      </c>
      <c r="U33" s="1570">
        <f t="shared" si="13"/>
        <v>100</v>
      </c>
      <c r="V33" s="1569" t="s">
        <v>8</v>
      </c>
      <c r="W33" s="1570">
        <f t="shared" si="14"/>
        <v>100</v>
      </c>
      <c r="X33" s="1563"/>
      <c r="Y33" s="3573"/>
      <c r="Z33" s="1571" t="str">
        <f t="shared" si="15"/>
        <v>是否直接入户</v>
      </c>
      <c r="AA33" s="1572">
        <f t="shared" si="3"/>
        <v>1</v>
      </c>
      <c r="AB33" s="1572">
        <f t="shared" si="4"/>
        <v>1</v>
      </c>
      <c r="AC33" s="1572">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9"/>
      <c r="M34" s="2131"/>
      <c r="N34" s="2131"/>
      <c r="O34" s="2138"/>
      <c r="P34" s="3573"/>
      <c r="Q34" s="1568">
        <f t="shared" si="11"/>
        <v>111</v>
      </c>
      <c r="R34" s="1569" t="s">
        <v>8</v>
      </c>
      <c r="S34" s="1570">
        <f t="shared" si="12"/>
        <v>100</v>
      </c>
      <c r="T34" s="1569" t="s">
        <v>8</v>
      </c>
      <c r="U34" s="1570">
        <f t="shared" si="13"/>
        <v>100</v>
      </c>
      <c r="V34" s="1569" t="s">
        <v>8</v>
      </c>
      <c r="W34" s="1570">
        <f t="shared" si="14"/>
        <v>100</v>
      </c>
      <c r="X34" s="1563"/>
      <c r="Y34" s="3573"/>
      <c r="Z34" s="1571">
        <f t="shared" si="15"/>
        <v>111</v>
      </c>
      <c r="AA34" s="1572">
        <f t="shared" si="3"/>
        <v>1</v>
      </c>
      <c r="AB34" s="1572">
        <f t="shared" si="4"/>
        <v>1</v>
      </c>
      <c r="AC34" s="1572">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7"/>
      <c r="M35" s="2168"/>
      <c r="N35" s="2168"/>
      <c r="O35" s="2140"/>
      <c r="P35" s="3573"/>
      <c r="Q35" s="1601">
        <f t="shared" si="11"/>
        <v>111</v>
      </c>
      <c r="R35" s="1573" t="s">
        <v>8</v>
      </c>
      <c r="S35" s="1574">
        <f t="shared" si="12"/>
        <v>100</v>
      </c>
      <c r="T35" s="1573" t="s">
        <v>8</v>
      </c>
      <c r="U35" s="1574">
        <f t="shared" si="13"/>
        <v>100</v>
      </c>
      <c r="V35" s="1573" t="s">
        <v>8</v>
      </c>
      <c r="W35" s="1574">
        <f t="shared" si="14"/>
        <v>100</v>
      </c>
      <c r="X35" s="1575"/>
      <c r="Y35" s="3573"/>
      <c r="Z35" s="1576">
        <f t="shared" si="15"/>
        <v>111</v>
      </c>
      <c r="AA35" s="1572">
        <f t="shared" si="3"/>
        <v>1</v>
      </c>
      <c r="AB35" s="1572">
        <f t="shared" si="4"/>
        <v>1</v>
      </c>
      <c r="AC35" s="1572">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9"/>
      <c r="M36" s="2131"/>
      <c r="N36" s="2131"/>
      <c r="O36" s="2138"/>
      <c r="P36" s="3573"/>
      <c r="Q36" s="1568">
        <f t="shared" si="11"/>
        <v>111</v>
      </c>
      <c r="R36" s="1569" t="s">
        <v>8</v>
      </c>
      <c r="S36" s="1570">
        <f t="shared" si="12"/>
        <v>100</v>
      </c>
      <c r="T36" s="1569" t="s">
        <v>8</v>
      </c>
      <c r="U36" s="1570">
        <f t="shared" si="13"/>
        <v>100</v>
      </c>
      <c r="V36" s="1569" t="s">
        <v>8</v>
      </c>
      <c r="W36" s="1570">
        <f t="shared" si="14"/>
        <v>100</v>
      </c>
      <c r="X36" s="1563"/>
      <c r="Y36" s="3573"/>
      <c r="Z36" s="1571">
        <f t="shared" si="15"/>
        <v>111</v>
      </c>
      <c r="AA36" s="1572">
        <f t="shared" si="3"/>
        <v>1</v>
      </c>
      <c r="AB36" s="1572">
        <f t="shared" si="4"/>
        <v>1</v>
      </c>
      <c r="AC36" s="1572">
        <f t="shared" si="5"/>
        <v>1</v>
      </c>
    </row>
    <row r="37" spans="1:29" ht="15">
      <c r="A37" s="1843" t="s">
        <v>2072</v>
      </c>
      <c r="B37" s="1844" t="s">
        <v>2073</v>
      </c>
      <c r="C37" s="2624" t="s">
        <v>1</v>
      </c>
      <c r="D37" s="2625"/>
      <c r="E37" s="2626"/>
      <c r="F37" s="2627"/>
      <c r="G37" s="2628"/>
      <c r="H37" s="2629"/>
      <c r="I37" s="2626"/>
      <c r="J37" s="2629"/>
      <c r="K37" s="1607"/>
      <c r="L37" s="2141"/>
      <c r="M37" s="2142"/>
      <c r="N37" s="2131"/>
      <c r="O37" s="2142"/>
      <c r="P37" s="3551" t="str">
        <f>A37</f>
        <v>成交单价</v>
      </c>
      <c r="Q37" s="3551"/>
      <c r="R37" s="3569">
        <f>E37</f>
        <v>0</v>
      </c>
      <c r="S37" s="3569"/>
      <c r="T37" s="3569">
        <f>G37</f>
        <v>0</v>
      </c>
      <c r="U37" s="3569"/>
      <c r="V37" s="3569">
        <f>I37</f>
        <v>0</v>
      </c>
      <c r="W37" s="3569"/>
      <c r="X37" s="1555"/>
      <c r="Y37" s="1577"/>
      <c r="Z37" s="1555"/>
      <c r="AA37" s="1555"/>
      <c r="AB37" s="1555"/>
      <c r="AC37" s="1555"/>
    </row>
    <row r="38" spans="1:29" ht="15.75" thickBot="1">
      <c r="A38" s="611" t="s">
        <v>2755</v>
      </c>
      <c r="B38" s="884"/>
      <c r="C38" s="2630" t="e">
        <f>R39</f>
        <v>#DIV/0!</v>
      </c>
      <c r="D38" s="2631"/>
      <c r="E38" s="2632" t="e">
        <f>R38</f>
        <v>#DIV/0!</v>
      </c>
      <c r="F38" s="2632"/>
      <c r="G38" s="2630" t="e">
        <f>T38</f>
        <v>#DIV/0!</v>
      </c>
      <c r="H38" s="2631"/>
      <c r="I38" s="2632" t="e">
        <f>V38</f>
        <v>#DIV/0!</v>
      </c>
      <c r="J38" s="2631"/>
      <c r="K38" s="1608"/>
      <c r="L38" s="2141"/>
      <c r="M38" s="2142"/>
      <c r="N38" s="2142"/>
      <c r="O38" s="2142"/>
      <c r="P38" s="3551" t="str">
        <f>A38</f>
        <v>比较价格（元/平方米）</v>
      </c>
      <c r="Q38" s="3551"/>
      <c r="R38" s="3569" t="e">
        <f>IF(F1="售价",ROUND(PRODUCT(R37,AA7:AA36),0),ROUND(PRODUCT(R37,AA7:AA36),1))</f>
        <v>#DIV/0!</v>
      </c>
      <c r="S38" s="3569"/>
      <c r="T38" s="3569" t="e">
        <f>IF(F1="售价",ROUND(PRODUCT(T37,AB7:AB36),0),ROUND(PRODUCT(T37,AB7:AB36),1))</f>
        <v>#DIV/0!</v>
      </c>
      <c r="U38" s="3569"/>
      <c r="V38" s="3569" t="e">
        <f>IF(F1="售价",ROUND(PRODUCT(V37,AC7:AC36),0),ROUND(PRODUCT(V37,AC7:AC36),1))</f>
        <v>#DIV/0!</v>
      </c>
      <c r="W38" s="3569"/>
      <c r="X38" s="1555"/>
      <c r="Y38" s="1555"/>
      <c r="Z38" s="1555"/>
      <c r="AA38" s="1555"/>
      <c r="AB38" s="1555"/>
      <c r="AC38" s="1555"/>
    </row>
    <row r="39" spans="1:29" ht="15.75" thickBot="1">
      <c r="A39" s="617" t="s">
        <v>2931</v>
      </c>
      <c r="B39" s="618"/>
      <c r="C39" s="2633" t="e">
        <f>R39</f>
        <v>#DIV/0!</v>
      </c>
      <c r="D39" s="2633"/>
      <c r="E39" s="2633"/>
      <c r="F39" s="2633"/>
      <c r="G39" s="2633"/>
      <c r="H39" s="2633"/>
      <c r="I39" s="2633"/>
      <c r="J39" s="2633"/>
      <c r="K39" s="1609"/>
      <c r="L39" s="2141"/>
      <c r="M39" s="2142"/>
      <c r="N39" s="2142"/>
      <c r="O39" s="2142"/>
      <c r="P39" s="3566" t="str">
        <f>A39</f>
        <v>估价对象XX用房的比较价格（楼面单价，元/平方米）</v>
      </c>
      <c r="Q39" s="3567"/>
      <c r="R39" s="3568" t="e">
        <f>IF(F1="售价",ROUND(AVERAGE(R38:V38),0),ROUND(AVERAGE(R38:V38),1))</f>
        <v>#DIV/0!</v>
      </c>
      <c r="S39" s="3568"/>
      <c r="T39" s="3568"/>
      <c r="U39" s="3568"/>
      <c r="V39" s="3568"/>
      <c r="W39" s="356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568</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5">
      <c r="A48" s="641" t="s">
        <v>523</v>
      </c>
      <c r="B48" s="642"/>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6" customFormat="1" ht="15">
      <c r="A49" s="643"/>
      <c r="B49" s="644"/>
      <c r="C49" s="2800">
        <v>100</v>
      </c>
      <c r="D49" s="646"/>
      <c r="E49" s="646"/>
      <c r="F49" s="646"/>
      <c r="G49" s="646"/>
      <c r="H49" s="646"/>
      <c r="I49" s="646"/>
      <c r="J49" s="646"/>
      <c r="K49" s="646"/>
      <c r="L49" s="646"/>
      <c r="M49" s="647"/>
      <c r="N49" s="646"/>
      <c r="O49" s="648"/>
      <c r="P49" s="2155"/>
      <c r="Q49" s="1990"/>
      <c r="R49" s="1990"/>
      <c r="S49" s="1990"/>
      <c r="T49" s="1990"/>
      <c r="U49" s="1990"/>
      <c r="V49" s="1990"/>
      <c r="W49" s="1990"/>
      <c r="X49" s="1990"/>
      <c r="Y49" s="1990"/>
      <c r="Z49" s="1990"/>
      <c r="AA49" s="1990"/>
      <c r="AB49" s="1990"/>
      <c r="AC49" s="1990"/>
    </row>
    <row r="50" spans="1:29" s="1216" customFormat="1" ht="15.75" thickBot="1">
      <c r="A50" s="649" t="s">
        <v>569</v>
      </c>
      <c r="B50" s="650"/>
      <c r="C50" s="651"/>
      <c r="D50" s="652"/>
      <c r="E50" s="652"/>
      <c r="F50" s="652"/>
      <c r="G50" s="652"/>
      <c r="H50" s="652"/>
      <c r="I50" s="652"/>
      <c r="J50" s="652"/>
      <c r="K50" s="652"/>
      <c r="L50" s="652"/>
      <c r="M50" s="653"/>
      <c r="N50" s="652"/>
      <c r="O50" s="654"/>
      <c r="P50" s="2155"/>
      <c r="Q50" s="2155"/>
      <c r="R50" s="1990"/>
      <c r="S50" s="1990"/>
      <c r="T50" s="1990"/>
      <c r="U50" s="1990"/>
      <c r="V50" s="1990"/>
      <c r="W50" s="1990"/>
      <c r="X50" s="1990"/>
      <c r="Y50" s="1990"/>
      <c r="Z50" s="1990"/>
      <c r="AA50" s="1990"/>
      <c r="AB50" s="1990"/>
      <c r="AC50" s="1990"/>
    </row>
    <row r="51" spans="1:29" s="1216" customFormat="1" ht="15">
      <c r="A51" s="655" t="s">
        <v>525</v>
      </c>
      <c r="B51" s="644"/>
      <c r="C51" s="656" t="s">
        <v>570</v>
      </c>
      <c r="D51" s="657"/>
      <c r="E51" s="657"/>
      <c r="F51" s="657"/>
      <c r="G51" s="657"/>
      <c r="H51" s="657"/>
      <c r="I51" s="657"/>
      <c r="J51" s="657"/>
      <c r="K51" s="657"/>
      <c r="L51" s="658"/>
      <c r="M51" s="659"/>
      <c r="N51" s="2159"/>
      <c r="O51" s="2159"/>
      <c r="P51" s="2160"/>
      <c r="Q51" s="2155"/>
      <c r="R51" s="1990"/>
      <c r="S51" s="1990"/>
      <c r="T51" s="1990"/>
      <c r="U51" s="1990"/>
      <c r="V51" s="1990"/>
      <c r="W51" s="1990"/>
      <c r="X51" s="1990"/>
      <c r="Y51" s="1990"/>
      <c r="Z51" s="1990"/>
      <c r="AA51" s="1990"/>
      <c r="AB51" s="1990"/>
      <c r="AC51" s="1990"/>
    </row>
    <row r="52" spans="1:29" s="1216" customFormat="1" ht="15.75" thickBot="1">
      <c r="A52" s="655"/>
      <c r="B52" s="644"/>
      <c r="C52" s="645">
        <v>100</v>
      </c>
      <c r="D52" s="646"/>
      <c r="E52" s="646"/>
      <c r="F52" s="646"/>
      <c r="G52" s="646"/>
      <c r="H52" s="646"/>
      <c r="I52" s="646"/>
      <c r="J52" s="646"/>
      <c r="K52" s="646"/>
      <c r="L52" s="646"/>
      <c r="M52" s="648"/>
      <c r="N52" s="2159"/>
      <c r="O52" s="2159"/>
      <c r="P52" s="2155"/>
      <c r="Q52" s="2155"/>
      <c r="R52" s="1990"/>
      <c r="S52" s="1990"/>
      <c r="T52" s="1990"/>
      <c r="U52" s="1990"/>
      <c r="V52" s="1990"/>
      <c r="W52" s="1990"/>
      <c r="X52" s="1990"/>
      <c r="Y52" s="1990"/>
      <c r="Z52" s="1990"/>
      <c r="AA52" s="1990"/>
      <c r="AB52" s="1990"/>
      <c r="AC52" s="1990"/>
    </row>
    <row r="53" spans="1:29">
      <c r="A53" s="660" t="s">
        <v>571</v>
      </c>
      <c r="B53" s="661" t="s">
        <v>528</v>
      </c>
      <c r="C53" s="700">
        <f>C9</f>
        <v>0</v>
      </c>
      <c r="D53" s="594"/>
      <c r="E53" s="594"/>
      <c r="F53" s="594"/>
      <c r="G53" s="594"/>
      <c r="H53" s="594"/>
      <c r="I53" s="594"/>
      <c r="J53" s="594"/>
      <c r="K53" s="662"/>
      <c r="L53" s="663"/>
      <c r="M53" s="664"/>
      <c r="N53" s="2161"/>
      <c r="O53" s="2161"/>
      <c r="P53" s="2162"/>
      <c r="Q53" s="2155"/>
      <c r="R53" s="2142"/>
      <c r="S53" s="2142"/>
      <c r="T53" s="2142"/>
      <c r="U53" s="2142"/>
      <c r="V53" s="2142"/>
      <c r="W53" s="2142"/>
      <c r="X53" s="2142"/>
      <c r="Y53" s="2142"/>
      <c r="Z53" s="2142"/>
      <c r="AA53" s="2142"/>
      <c r="AB53" s="2142"/>
      <c r="AC53" s="2142"/>
    </row>
    <row r="54" spans="1:29" ht="15.75" thickBot="1">
      <c r="A54" s="665"/>
      <c r="B54" s="666"/>
      <c r="C54" s="667"/>
      <c r="D54" s="667"/>
      <c r="E54" s="667"/>
      <c r="F54" s="667"/>
      <c r="G54" s="667"/>
      <c r="H54" s="667"/>
      <c r="I54" s="667"/>
      <c r="J54" s="667"/>
      <c r="K54" s="667"/>
      <c r="L54" s="667"/>
      <c r="M54" s="668"/>
      <c r="N54" s="2163"/>
      <c r="O54" s="2163"/>
      <c r="P54" s="2162"/>
      <c r="Q54" s="2155"/>
      <c r="R54" s="2142"/>
      <c r="S54" s="2142"/>
      <c r="T54" s="2142"/>
      <c r="U54" s="2142"/>
      <c r="V54" s="2142"/>
      <c r="W54" s="2142"/>
      <c r="X54" s="2142"/>
      <c r="Y54" s="2142"/>
      <c r="Z54" s="2142"/>
      <c r="AA54" s="2142"/>
      <c r="AB54" s="2142"/>
      <c r="AC54" s="2142"/>
    </row>
    <row r="55" spans="1:29" ht="27.75" thickTop="1">
      <c r="A55" s="665"/>
      <c r="B55" s="669" t="s">
        <v>531</v>
      </c>
      <c r="C55" s="670" t="s">
        <v>731</v>
      </c>
      <c r="D55" s="670" t="s">
        <v>732</v>
      </c>
      <c r="E55" s="670" t="s">
        <v>733</v>
      </c>
      <c r="F55" s="670" t="s">
        <v>734</v>
      </c>
      <c r="G55" s="670" t="s">
        <v>735</v>
      </c>
      <c r="H55" s="670" t="s">
        <v>736</v>
      </c>
      <c r="I55" s="670" t="s">
        <v>737</v>
      </c>
      <c r="J55" s="670"/>
      <c r="K55" s="671"/>
      <c r="L55" s="672"/>
      <c r="M55" s="673"/>
      <c r="N55" s="2161"/>
      <c r="O55" s="2161"/>
      <c r="P55" s="2162"/>
      <c r="Q55" s="2155"/>
      <c r="R55" s="2142"/>
      <c r="S55" s="2142"/>
      <c r="T55" s="2142"/>
      <c r="U55" s="2142"/>
      <c r="V55" s="2142"/>
      <c r="W55" s="2142"/>
      <c r="X55" s="2142"/>
      <c r="Y55" s="2142"/>
      <c r="Z55" s="2142"/>
      <c r="AA55" s="2142"/>
      <c r="AB55" s="2142"/>
      <c r="AC55" s="2142"/>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3"/>
      <c r="O56" s="2163"/>
      <c r="P56" s="2162"/>
      <c r="Q56" s="2155"/>
      <c r="R56" s="2142"/>
      <c r="S56" s="2142"/>
      <c r="T56" s="2142"/>
      <c r="U56" s="2142"/>
      <c r="V56" s="2142"/>
      <c r="W56" s="2142"/>
      <c r="X56" s="2142"/>
      <c r="Y56" s="2142"/>
      <c r="Z56" s="2142"/>
      <c r="AA56" s="2142"/>
      <c r="AB56" s="2142"/>
      <c r="AC56" s="2142"/>
    </row>
    <row r="57" spans="1:29" ht="15.75" thickTop="1">
      <c r="A57" s="665"/>
      <c r="B57" s="931">
        <f>B11</f>
        <v>111</v>
      </c>
      <c r="C57" s="537"/>
      <c r="D57" s="537"/>
      <c r="E57" s="537"/>
      <c r="F57" s="537"/>
      <c r="G57" s="537"/>
      <c r="H57" s="537"/>
      <c r="I57" s="537"/>
      <c r="J57" s="537"/>
      <c r="K57" s="680"/>
      <c r="L57" s="681"/>
      <c r="M57" s="682"/>
      <c r="N57" s="2161"/>
      <c r="O57" s="2161"/>
      <c r="P57" s="2162"/>
      <c r="Q57" s="2155"/>
      <c r="R57" s="2142"/>
      <c r="S57" s="2142"/>
      <c r="T57" s="2142"/>
      <c r="U57" s="2142"/>
      <c r="V57" s="2142"/>
      <c r="W57" s="2142"/>
      <c r="X57" s="2142"/>
      <c r="Y57" s="2142"/>
      <c r="Z57" s="2142"/>
      <c r="AA57" s="2142"/>
      <c r="AB57" s="2142"/>
      <c r="AC57" s="2142"/>
    </row>
    <row r="58" spans="1:29" ht="15.75" thickBot="1">
      <c r="A58" s="665"/>
      <c r="B58" s="666"/>
      <c r="C58" s="688"/>
      <c r="D58" s="667"/>
      <c r="E58" s="667"/>
      <c r="F58" s="667"/>
      <c r="G58" s="667"/>
      <c r="H58" s="667"/>
      <c r="I58" s="667"/>
      <c r="J58" s="667"/>
      <c r="K58" s="667"/>
      <c r="L58" s="667"/>
      <c r="M58" s="668"/>
      <c r="N58" s="2163"/>
      <c r="O58" s="2163"/>
      <c r="P58" s="2162"/>
      <c r="Q58" s="2155"/>
      <c r="R58" s="2142"/>
      <c r="S58" s="2142"/>
      <c r="T58" s="2142"/>
      <c r="U58" s="2142"/>
      <c r="V58" s="2142"/>
      <c r="W58" s="2142"/>
      <c r="X58" s="2142"/>
      <c r="Y58" s="2142"/>
      <c r="Z58" s="2142"/>
      <c r="AA58" s="2142"/>
      <c r="AB58" s="2142"/>
      <c r="AC58" s="2142"/>
    </row>
    <row r="59" spans="1:29" s="1335" customFormat="1" ht="15.75" thickTop="1">
      <c r="A59" s="683"/>
      <c r="B59" s="669">
        <f>B12</f>
        <v>111</v>
      </c>
      <c r="C59" s="537"/>
      <c r="D59" s="537"/>
      <c r="E59" s="537"/>
      <c r="F59" s="537"/>
      <c r="G59" s="684"/>
      <c r="H59" s="685"/>
      <c r="I59" s="685"/>
      <c r="J59" s="685"/>
      <c r="K59" s="685"/>
      <c r="L59" s="686"/>
      <c r="M59" s="687"/>
      <c r="N59" s="2164"/>
      <c r="O59" s="2164"/>
      <c r="P59" s="2165"/>
      <c r="Q59" s="2166"/>
      <c r="R59" s="2167"/>
      <c r="S59" s="2167"/>
      <c r="T59" s="2167"/>
      <c r="U59" s="2167"/>
      <c r="V59" s="2167"/>
      <c r="W59" s="2167"/>
      <c r="X59" s="2167"/>
      <c r="Y59" s="2167"/>
      <c r="Z59" s="2167"/>
      <c r="AA59" s="2167"/>
      <c r="AB59" s="2167"/>
      <c r="AC59" s="2167"/>
    </row>
    <row r="60" spans="1:29" s="1335" customFormat="1" ht="15.75" thickBot="1">
      <c r="A60" s="683"/>
      <c r="B60" s="674"/>
      <c r="C60" s="688"/>
      <c r="D60" s="667"/>
      <c r="E60" s="667"/>
      <c r="F60" s="667"/>
      <c r="G60" s="667"/>
      <c r="H60" s="667"/>
      <c r="I60" s="667"/>
      <c r="J60" s="667"/>
      <c r="K60" s="667"/>
      <c r="L60" s="667"/>
      <c r="M60" s="668"/>
      <c r="N60" s="2163"/>
      <c r="O60" s="2163"/>
      <c r="P60" s="2165"/>
      <c r="Q60" s="2166"/>
      <c r="R60" s="2167"/>
      <c r="S60" s="2167"/>
      <c r="T60" s="2167"/>
      <c r="U60" s="2167"/>
      <c r="V60" s="2167"/>
      <c r="W60" s="2167"/>
      <c r="X60" s="2167"/>
      <c r="Y60" s="2167"/>
      <c r="Z60" s="2167"/>
      <c r="AA60" s="2167"/>
      <c r="AB60" s="2167"/>
      <c r="AC60" s="2167"/>
    </row>
    <row r="61" spans="1:29" s="1335" customFormat="1" ht="15.75" thickTop="1">
      <c r="A61" s="683"/>
      <c r="B61" s="669">
        <f>B13</f>
        <v>111</v>
      </c>
      <c r="C61" s="684"/>
      <c r="D61" s="684"/>
      <c r="E61" s="684"/>
      <c r="F61" s="684"/>
      <c r="G61" s="684"/>
      <c r="H61" s="685"/>
      <c r="I61" s="685"/>
      <c r="J61" s="685"/>
      <c r="K61" s="685"/>
      <c r="L61" s="686"/>
      <c r="M61" s="687"/>
      <c r="N61" s="2164"/>
      <c r="O61" s="2164"/>
      <c r="P61" s="2168"/>
      <c r="Q61" s="2169"/>
      <c r="R61" s="2167"/>
      <c r="S61" s="2167"/>
      <c r="T61" s="2167"/>
      <c r="U61" s="2167"/>
      <c r="V61" s="2167"/>
      <c r="W61" s="2167"/>
      <c r="X61" s="2167"/>
      <c r="Y61" s="2167"/>
      <c r="Z61" s="2167"/>
      <c r="AA61" s="2167"/>
      <c r="AB61" s="2167"/>
      <c r="AC61" s="2167"/>
    </row>
    <row r="62" spans="1:29" s="1335" customFormat="1" ht="15.75" thickBot="1">
      <c r="A62" s="683"/>
      <c r="B62" s="674"/>
      <c r="C62" s="688"/>
      <c r="D62" s="688"/>
      <c r="E62" s="688"/>
      <c r="F62" s="688"/>
      <c r="G62" s="688"/>
      <c r="H62" s="689"/>
      <c r="I62" s="689"/>
      <c r="J62" s="689"/>
      <c r="K62" s="689"/>
      <c r="L62" s="689"/>
      <c r="M62" s="690"/>
      <c r="N62" s="2164"/>
      <c r="O62" s="2164"/>
      <c r="P62" s="2165"/>
      <c r="Q62" s="2166"/>
      <c r="R62" s="2167"/>
      <c r="S62" s="2167"/>
      <c r="T62" s="2167"/>
      <c r="U62" s="2167"/>
      <c r="V62" s="2167"/>
      <c r="W62" s="2167"/>
      <c r="X62" s="2167"/>
      <c r="Y62" s="2167"/>
      <c r="Z62" s="2167"/>
      <c r="AA62" s="2167"/>
      <c r="AB62" s="2167"/>
      <c r="AC62" s="2167"/>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61"/>
      <c r="O63" s="2161"/>
      <c r="P63" s="2171"/>
      <c r="Q63" s="2155"/>
      <c r="R63" s="2142"/>
      <c r="S63" s="2142"/>
      <c r="T63" s="2142"/>
      <c r="U63" s="2142"/>
      <c r="V63" s="2142"/>
      <c r="W63" s="2142"/>
      <c r="X63" s="2142"/>
      <c r="Y63" s="2142"/>
      <c r="Z63" s="2142"/>
      <c r="AA63" s="2142"/>
      <c r="AB63" s="2142"/>
      <c r="AC63" s="2142"/>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3"/>
      <c r="O64" s="2163"/>
      <c r="P64" s="2162"/>
      <c r="Q64" s="2155"/>
      <c r="R64" s="2142"/>
      <c r="S64" s="2142"/>
      <c r="T64" s="2142"/>
      <c r="U64" s="2142"/>
      <c r="V64" s="2142"/>
      <c r="W64" s="2142"/>
      <c r="X64" s="2142"/>
      <c r="Y64" s="2142"/>
      <c r="Z64" s="2142"/>
      <c r="AA64" s="2142"/>
      <c r="AB64" s="2142"/>
      <c r="AC64" s="2142"/>
    </row>
    <row r="65" spans="1:29" ht="15.75" thickTop="1">
      <c r="A65" s="665"/>
      <c r="B65" s="1893" t="s">
        <v>2552</v>
      </c>
      <c r="C65" s="704" t="s">
        <v>573</v>
      </c>
      <c r="D65" s="704" t="s">
        <v>574</v>
      </c>
      <c r="E65" s="704" t="s">
        <v>575</v>
      </c>
      <c r="F65" s="704" t="s">
        <v>576</v>
      </c>
      <c r="G65" s="704" t="s">
        <v>577</v>
      </c>
      <c r="H65" s="670"/>
      <c r="I65" s="670"/>
      <c r="J65" s="670"/>
      <c r="K65" s="671"/>
      <c r="L65" s="672"/>
      <c r="M65" s="673"/>
      <c r="N65" s="2161"/>
      <c r="O65" s="2161"/>
      <c r="P65" s="2162"/>
      <c r="Q65" s="2155"/>
      <c r="R65" s="2142"/>
      <c r="S65" s="2142"/>
      <c r="T65" s="2142"/>
      <c r="U65" s="2142"/>
      <c r="V65" s="2142"/>
      <c r="W65" s="2142"/>
      <c r="X65" s="2142"/>
      <c r="Y65" s="2142"/>
      <c r="Z65" s="2142"/>
      <c r="AA65" s="2142"/>
      <c r="AB65" s="2142"/>
      <c r="AC65" s="2142"/>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3"/>
      <c r="O66" s="2163"/>
      <c r="P66" s="2162"/>
      <c r="Q66" s="2155"/>
      <c r="R66" s="2142"/>
      <c r="S66" s="2142"/>
      <c r="T66" s="2142"/>
      <c r="U66" s="2142"/>
      <c r="V66" s="2142"/>
      <c r="W66" s="2142"/>
      <c r="X66" s="2142"/>
      <c r="Y66" s="2142"/>
      <c r="Z66" s="2142"/>
      <c r="AA66" s="2142"/>
      <c r="AB66" s="2142"/>
      <c r="AC66" s="2142"/>
    </row>
    <row r="67" spans="1:29" ht="15.75" thickTop="1">
      <c r="A67" s="665"/>
      <c r="B67" s="2594" t="s">
        <v>2553</v>
      </c>
      <c r="C67" s="2595" t="s">
        <v>2554</v>
      </c>
      <c r="D67" s="2595" t="s">
        <v>2555</v>
      </c>
      <c r="E67" s="2595" t="s">
        <v>2556</v>
      </c>
      <c r="F67" s="2595" t="s">
        <v>2557</v>
      </c>
      <c r="G67" s="2595" t="s">
        <v>2558</v>
      </c>
      <c r="H67" s="670"/>
      <c r="I67" s="670"/>
      <c r="J67" s="670"/>
      <c r="K67" s="670"/>
      <c r="L67" s="670"/>
      <c r="M67" s="2598"/>
      <c r="N67" s="2163"/>
      <c r="O67" s="2163"/>
      <c r="P67" s="2162"/>
      <c r="Q67" s="2155"/>
      <c r="R67" s="2142"/>
      <c r="S67" s="2142"/>
      <c r="T67" s="2142"/>
      <c r="U67" s="2142"/>
      <c r="V67" s="2142"/>
      <c r="W67" s="2142"/>
      <c r="X67" s="2142"/>
      <c r="Y67" s="2142"/>
      <c r="Z67" s="2142"/>
      <c r="AA67" s="2142"/>
      <c r="AB67" s="2142"/>
      <c r="AC67" s="2142"/>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3"/>
      <c r="O68" s="2163"/>
      <c r="P68" s="2162"/>
      <c r="Q68" s="2155"/>
      <c r="R68" s="2142"/>
      <c r="S68" s="2142"/>
      <c r="T68" s="2142"/>
      <c r="U68" s="2142"/>
      <c r="V68" s="2142"/>
      <c r="W68" s="2142"/>
      <c r="X68" s="2142"/>
      <c r="Y68" s="2142"/>
      <c r="Z68" s="2142"/>
      <c r="AA68" s="2142"/>
      <c r="AB68" s="2142"/>
      <c r="AC68" s="2142"/>
    </row>
    <row r="69" spans="1:29" ht="15.75" thickTop="1">
      <c r="A69" s="665"/>
      <c r="B69" s="669" t="s">
        <v>738</v>
      </c>
      <c r="C69" s="704" t="s">
        <v>573</v>
      </c>
      <c r="D69" s="704" t="s">
        <v>574</v>
      </c>
      <c r="E69" s="704" t="s">
        <v>575</v>
      </c>
      <c r="F69" s="704" t="s">
        <v>576</v>
      </c>
      <c r="G69" s="704" t="s">
        <v>577</v>
      </c>
      <c r="H69" s="670"/>
      <c r="I69" s="670"/>
      <c r="J69" s="670"/>
      <c r="K69" s="671"/>
      <c r="L69" s="672"/>
      <c r="M69" s="673"/>
      <c r="N69" s="2161"/>
      <c r="O69" s="2161"/>
      <c r="P69" s="2162"/>
      <c r="Q69" s="2155"/>
      <c r="R69" s="2142"/>
      <c r="S69" s="2142"/>
      <c r="T69" s="2142"/>
      <c r="U69" s="2142"/>
      <c r="V69" s="2142"/>
      <c r="W69" s="2142"/>
      <c r="X69" s="2142"/>
      <c r="Y69" s="2142"/>
      <c r="Z69" s="2142"/>
      <c r="AA69" s="2142"/>
      <c r="AB69" s="2142"/>
      <c r="AC69" s="2142"/>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3"/>
      <c r="O70" s="2163"/>
      <c r="P70" s="2162"/>
      <c r="Q70" s="2155"/>
      <c r="R70" s="2142"/>
      <c r="S70" s="2142"/>
      <c r="T70" s="2142"/>
      <c r="U70" s="2142"/>
      <c r="V70" s="2142"/>
      <c r="W70" s="2142"/>
      <c r="X70" s="2142"/>
      <c r="Y70" s="2142"/>
      <c r="Z70" s="2142"/>
      <c r="AA70" s="2142"/>
      <c r="AB70" s="2142"/>
      <c r="AC70" s="2142"/>
    </row>
    <row r="71" spans="1:29" ht="15.75" thickTop="1">
      <c r="A71" s="665"/>
      <c r="B71" s="669" t="s">
        <v>739</v>
      </c>
      <c r="C71" s="684"/>
      <c r="D71" s="684"/>
      <c r="E71" s="684"/>
      <c r="F71" s="684"/>
      <c r="G71" s="684"/>
      <c r="H71" s="714"/>
      <c r="I71" s="714"/>
      <c r="J71" s="714"/>
      <c r="K71" s="715"/>
      <c r="L71" s="716"/>
      <c r="M71" s="717"/>
      <c r="N71" s="2161"/>
      <c r="O71" s="2161"/>
      <c r="P71" s="2162"/>
      <c r="Q71" s="2155"/>
      <c r="R71" s="2142"/>
      <c r="S71" s="2142"/>
      <c r="T71" s="2142"/>
      <c r="U71" s="2142"/>
      <c r="V71" s="2142"/>
      <c r="W71" s="2142"/>
      <c r="X71" s="2142"/>
      <c r="Y71" s="2142"/>
      <c r="Z71" s="2142"/>
      <c r="AA71" s="2142"/>
      <c r="AB71" s="2142"/>
      <c r="AC71" s="2142"/>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3"/>
      <c r="O72" s="2163"/>
      <c r="P72" s="2162"/>
      <c r="Q72" s="2155"/>
      <c r="R72" s="2142"/>
      <c r="S72" s="2142"/>
      <c r="T72" s="2142"/>
      <c r="U72" s="2142"/>
      <c r="V72" s="2142"/>
      <c r="W72" s="2142"/>
      <c r="X72" s="2142"/>
      <c r="Y72" s="2142"/>
      <c r="Z72" s="2142"/>
      <c r="AA72" s="2142"/>
      <c r="AB72" s="2142"/>
      <c r="AC72" s="2142"/>
    </row>
    <row r="73" spans="1:29" s="1216" customFormat="1" ht="15.75" thickTop="1">
      <c r="A73" s="705"/>
      <c r="B73" s="669">
        <f>B23</f>
        <v>111</v>
      </c>
      <c r="C73" s="537"/>
      <c r="D73" s="537"/>
      <c r="E73" s="537"/>
      <c r="F73" s="537"/>
      <c r="G73" s="684"/>
      <c r="H73" s="684"/>
      <c r="I73" s="684"/>
      <c r="J73" s="684"/>
      <c r="K73" s="684"/>
      <c r="L73" s="886"/>
      <c r="M73" s="887"/>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5"/>
      <c r="B74" s="674"/>
      <c r="C74" s="688"/>
      <c r="D74" s="667"/>
      <c r="E74" s="667"/>
      <c r="F74" s="667"/>
      <c r="G74" s="667"/>
      <c r="H74" s="667"/>
      <c r="I74" s="667"/>
      <c r="J74" s="667"/>
      <c r="K74" s="667"/>
      <c r="L74" s="667"/>
      <c r="M74" s="668"/>
      <c r="N74" s="2163"/>
      <c r="O74" s="2163"/>
      <c r="P74" s="2162"/>
      <c r="Q74" s="2155"/>
      <c r="R74" s="1990"/>
      <c r="S74" s="1990"/>
      <c r="T74" s="1990"/>
      <c r="U74" s="1990"/>
      <c r="V74" s="1990"/>
      <c r="W74" s="1990"/>
      <c r="X74" s="1990"/>
      <c r="Y74" s="1990"/>
      <c r="Z74" s="1990"/>
      <c r="AA74" s="1990"/>
      <c r="AB74" s="1990"/>
      <c r="AC74" s="1990"/>
    </row>
    <row r="75" spans="1:29" s="1216" customFormat="1" ht="15.75" thickTop="1">
      <c r="A75" s="705"/>
      <c r="B75" s="669">
        <f>B24</f>
        <v>111</v>
      </c>
      <c r="C75" s="537"/>
      <c r="D75" s="537"/>
      <c r="E75" s="537"/>
      <c r="F75" s="537"/>
      <c r="G75" s="684"/>
      <c r="H75" s="684"/>
      <c r="I75" s="684"/>
      <c r="J75" s="684"/>
      <c r="K75" s="684"/>
      <c r="L75" s="684"/>
      <c r="M75" s="887"/>
      <c r="N75" s="2159"/>
      <c r="O75" s="2159"/>
      <c r="P75" s="2162"/>
      <c r="Q75" s="2155"/>
      <c r="R75" s="1990"/>
      <c r="S75" s="1990"/>
      <c r="T75" s="1990"/>
      <c r="U75" s="1990"/>
      <c r="V75" s="1990"/>
      <c r="W75" s="1990"/>
      <c r="X75" s="1990"/>
      <c r="Y75" s="1990"/>
      <c r="Z75" s="1990"/>
      <c r="AA75" s="1990"/>
      <c r="AB75" s="1990"/>
      <c r="AC75" s="1990"/>
    </row>
    <row r="76" spans="1:29" s="1216" customFormat="1" ht="15.75" thickBot="1">
      <c r="A76" s="705"/>
      <c r="B76" s="674"/>
      <c r="C76" s="688"/>
      <c r="D76" s="667"/>
      <c r="E76" s="667"/>
      <c r="F76" s="667"/>
      <c r="G76" s="667"/>
      <c r="H76" s="667"/>
      <c r="I76" s="667"/>
      <c r="J76" s="667"/>
      <c r="K76" s="667"/>
      <c r="L76" s="667"/>
      <c r="M76" s="668"/>
      <c r="N76" s="2163"/>
      <c r="O76" s="2163"/>
      <c r="P76" s="2162"/>
      <c r="Q76" s="2155"/>
      <c r="R76" s="1990"/>
      <c r="S76" s="1990"/>
      <c r="T76" s="1990"/>
      <c r="U76" s="1990"/>
      <c r="V76" s="1990"/>
      <c r="W76" s="1990"/>
      <c r="X76" s="1990"/>
      <c r="Y76" s="1990"/>
      <c r="Z76" s="1990"/>
      <c r="AA76" s="1990"/>
      <c r="AB76" s="1990"/>
      <c r="AC76" s="1990"/>
    </row>
    <row r="77" spans="1:29" s="1335" customFormat="1" ht="15.75" thickTop="1">
      <c r="A77" s="683"/>
      <c r="B77" s="669">
        <f>B25</f>
        <v>111</v>
      </c>
      <c r="C77" s="684"/>
      <c r="D77" s="684"/>
      <c r="E77" s="684"/>
      <c r="F77" s="684"/>
      <c r="G77" s="684"/>
      <c r="H77" s="685"/>
      <c r="I77" s="685"/>
      <c r="J77" s="685"/>
      <c r="K77" s="685"/>
      <c r="L77" s="686"/>
      <c r="M77" s="687"/>
      <c r="N77" s="2164"/>
      <c r="O77" s="2164"/>
      <c r="P77" s="2165"/>
      <c r="Q77" s="2166"/>
      <c r="R77" s="2167"/>
      <c r="S77" s="2167"/>
      <c r="T77" s="2167"/>
      <c r="U77" s="2167"/>
      <c r="V77" s="2167"/>
      <c r="W77" s="2167"/>
      <c r="X77" s="2167"/>
      <c r="Y77" s="2167"/>
      <c r="Z77" s="2167"/>
      <c r="AA77" s="2167"/>
      <c r="AB77" s="2167"/>
      <c r="AC77" s="2167"/>
    </row>
    <row r="78" spans="1:29" s="1335" customFormat="1" ht="15.75" thickBot="1">
      <c r="A78" s="683"/>
      <c r="B78" s="674"/>
      <c r="C78" s="688"/>
      <c r="D78" s="688"/>
      <c r="E78" s="688"/>
      <c r="F78" s="688"/>
      <c r="G78" s="667"/>
      <c r="H78" s="667"/>
      <c r="I78" s="667"/>
      <c r="J78" s="667"/>
      <c r="K78" s="667"/>
      <c r="L78" s="667"/>
      <c r="M78" s="668"/>
      <c r="N78" s="2164"/>
      <c r="O78" s="2164"/>
      <c r="P78" s="2165"/>
      <c r="Q78" s="2166"/>
      <c r="R78" s="2167"/>
      <c r="S78" s="2167"/>
      <c r="T78" s="2167"/>
      <c r="U78" s="2167"/>
      <c r="V78" s="2167"/>
      <c r="W78" s="2167"/>
      <c r="X78" s="2167"/>
      <c r="Y78" s="2167"/>
      <c r="Z78" s="2167"/>
      <c r="AA78" s="2167"/>
      <c r="AB78" s="2167"/>
      <c r="AC78" s="2167"/>
    </row>
    <row r="79" spans="1:29" ht="27.75" thickTop="1">
      <c r="A79" s="660" t="s">
        <v>545</v>
      </c>
      <c r="B79" s="661" t="s">
        <v>808</v>
      </c>
      <c r="C79" s="700">
        <f>C26</f>
        <v>0</v>
      </c>
      <c r="D79" s="594"/>
      <c r="E79" s="594"/>
      <c r="F79" s="594"/>
      <c r="G79" s="594"/>
      <c r="H79" s="594"/>
      <c r="I79" s="594"/>
      <c r="J79" s="594"/>
      <c r="K79" s="662"/>
      <c r="L79" s="663"/>
      <c r="M79" s="664"/>
      <c r="N79" s="2161"/>
      <c r="O79" s="2161"/>
      <c r="P79" s="2162"/>
      <c r="Q79" s="2155"/>
      <c r="R79" s="2142"/>
      <c r="S79" s="2142"/>
      <c r="T79" s="2142"/>
      <c r="U79" s="2142"/>
      <c r="V79" s="2142"/>
      <c r="W79" s="2142"/>
      <c r="X79" s="2142"/>
      <c r="Y79" s="2142"/>
      <c r="Z79" s="2142"/>
      <c r="AA79" s="2142"/>
      <c r="AB79" s="2142"/>
      <c r="AC79" s="2142"/>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5"/>
      <c r="B81" s="669" t="s">
        <v>809</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5.75" thickBot="1">
      <c r="A82" s="683"/>
      <c r="B82" s="674"/>
      <c r="C82" s="688"/>
      <c r="D82" s="667"/>
      <c r="E82" s="667"/>
      <c r="F82" s="667"/>
      <c r="G82" s="667"/>
      <c r="H82" s="667"/>
      <c r="I82" s="667"/>
      <c r="J82" s="667"/>
      <c r="K82" s="667"/>
      <c r="L82" s="667"/>
      <c r="M82" s="668"/>
      <c r="N82" s="2163"/>
      <c r="O82" s="2163"/>
      <c r="P82" s="2165"/>
      <c r="Q82" s="2166"/>
      <c r="R82" s="2167"/>
      <c r="S82" s="2167"/>
      <c r="T82" s="2167"/>
      <c r="U82" s="2167"/>
      <c r="V82" s="2167"/>
      <c r="W82" s="2167"/>
      <c r="X82" s="2167"/>
      <c r="Y82" s="2167"/>
      <c r="Z82" s="2167"/>
      <c r="AA82" s="2167"/>
      <c r="AB82" s="2167"/>
      <c r="AC82" s="2167"/>
    </row>
    <row r="83" spans="1:29" ht="15" thickTop="1">
      <c r="A83" s="731"/>
      <c r="B83" s="669" t="s">
        <v>745</v>
      </c>
      <c r="C83" s="684"/>
      <c r="D83" s="684"/>
      <c r="E83" s="714"/>
      <c r="F83" s="714"/>
      <c r="G83" s="714"/>
      <c r="H83" s="714"/>
      <c r="I83" s="714"/>
      <c r="J83" s="714"/>
      <c r="K83" s="715"/>
      <c r="L83" s="716"/>
      <c r="M83" s="717"/>
      <c r="N83" s="2161"/>
      <c r="O83" s="2161"/>
      <c r="P83" s="2162"/>
      <c r="Q83" s="2155"/>
      <c r="R83" s="2142"/>
      <c r="S83" s="2142"/>
      <c r="T83" s="2142"/>
      <c r="U83" s="2142"/>
      <c r="V83" s="2142"/>
      <c r="W83" s="2142"/>
      <c r="X83" s="2142"/>
      <c r="Y83" s="2142"/>
      <c r="Z83" s="2142"/>
      <c r="AA83" s="2142"/>
      <c r="AB83" s="2142"/>
      <c r="AC83" s="2142"/>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1"/>
      <c r="B85" s="669" t="s">
        <v>810</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1"/>
      <c r="O85" s="2161"/>
      <c r="P85" s="2162"/>
      <c r="Q85" s="2155"/>
      <c r="R85" s="2142"/>
      <c r="S85" s="2142"/>
      <c r="T85" s="2142"/>
      <c r="U85" s="2142"/>
      <c r="V85" s="2142"/>
      <c r="W85" s="2142"/>
      <c r="X85" s="2142"/>
      <c r="Y85" s="2142"/>
      <c r="Z85" s="2142"/>
      <c r="AA85" s="2142"/>
      <c r="AB85" s="2142"/>
      <c r="AC85" s="2142"/>
    </row>
    <row r="86" spans="1:29">
      <c r="A86" s="731"/>
      <c r="B86" s="677"/>
      <c r="C86" s="890">
        <v>0.5</v>
      </c>
      <c r="D86" s="890">
        <v>0.6</v>
      </c>
      <c r="E86" s="890">
        <v>0.7</v>
      </c>
      <c r="F86" s="890">
        <v>0.8</v>
      </c>
      <c r="G86" s="890">
        <v>0.9</v>
      </c>
      <c r="H86" s="890">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1"/>
      <c r="B88" s="677" t="s">
        <v>811</v>
      </c>
      <c r="C88" s="594"/>
      <c r="D88" s="594"/>
      <c r="E88" s="594"/>
      <c r="F88" s="594"/>
      <c r="G88" s="594"/>
      <c r="H88" s="594"/>
      <c r="I88" s="594"/>
      <c r="J88" s="594"/>
      <c r="K88" s="662"/>
      <c r="L88" s="663"/>
      <c r="M88" s="664"/>
      <c r="N88" s="2161"/>
      <c r="O88" s="2161"/>
      <c r="P88" s="2162"/>
      <c r="Q88" s="2155"/>
      <c r="R88" s="2142"/>
      <c r="S88" s="2142"/>
      <c r="T88" s="2142"/>
      <c r="U88" s="2142"/>
      <c r="V88" s="2142"/>
      <c r="W88" s="2142"/>
      <c r="X88" s="2142"/>
      <c r="Y88" s="2142"/>
      <c r="Z88" s="2142"/>
      <c r="AA88" s="2142"/>
      <c r="AB88" s="2142"/>
      <c r="AC88" s="2142"/>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4"/>
      <c r="B90" s="669" t="s">
        <v>812</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4"/>
      <c r="B91" s="677"/>
      <c r="C91" s="726"/>
      <c r="D91" s="726"/>
      <c r="E91" s="726"/>
      <c r="F91" s="726"/>
      <c r="G91" s="726"/>
      <c r="H91" s="726"/>
      <c r="I91" s="726"/>
      <c r="J91" s="727"/>
      <c r="K91" s="727"/>
      <c r="L91" s="728"/>
      <c r="M91" s="729"/>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3"/>
      <c r="B92" s="674"/>
      <c r="C92" s="688"/>
      <c r="D92" s="667"/>
      <c r="E92" s="667"/>
      <c r="F92" s="667"/>
      <c r="G92" s="667"/>
      <c r="H92" s="667"/>
      <c r="I92" s="667"/>
      <c r="J92" s="667"/>
      <c r="K92" s="667"/>
      <c r="L92" s="667"/>
      <c r="M92" s="668"/>
      <c r="N92" s="2164"/>
      <c r="O92" s="2164"/>
      <c r="P92" s="2165"/>
      <c r="Q92" s="2166"/>
      <c r="R92" s="2167"/>
      <c r="S92" s="2167"/>
      <c r="T92" s="2167"/>
      <c r="U92" s="2167"/>
      <c r="V92" s="2167"/>
      <c r="W92" s="2167"/>
      <c r="X92" s="2167"/>
      <c r="Y92" s="2167"/>
      <c r="Z92" s="2167"/>
      <c r="AA92" s="2167"/>
      <c r="AB92" s="2167"/>
      <c r="AC92" s="2167"/>
    </row>
    <row r="93" spans="1:29" ht="15" thickTop="1">
      <c r="A93" s="731"/>
      <c r="B93" s="669" t="s">
        <v>813</v>
      </c>
      <c r="C93" s="684"/>
      <c r="D93" s="684"/>
      <c r="E93" s="714"/>
      <c r="F93" s="714"/>
      <c r="G93" s="714"/>
      <c r="H93" s="714"/>
      <c r="I93" s="714"/>
      <c r="J93" s="714"/>
      <c r="K93" s="715"/>
      <c r="L93" s="716"/>
      <c r="M93" s="717"/>
      <c r="N93" s="2161"/>
      <c r="O93" s="2161"/>
      <c r="P93" s="2162"/>
      <c r="Q93" s="2155"/>
      <c r="R93" s="2142"/>
      <c r="S93" s="2142"/>
      <c r="T93" s="2142"/>
      <c r="U93" s="2142"/>
      <c r="V93" s="2142"/>
      <c r="W93" s="2142"/>
      <c r="X93" s="2142"/>
      <c r="Y93" s="2142"/>
      <c r="Z93" s="2142"/>
      <c r="AA93" s="2142"/>
      <c r="AB93" s="2142"/>
      <c r="AC93" s="2142"/>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1"/>
      <c r="B95" s="669" t="s">
        <v>814</v>
      </c>
      <c r="C95" s="594"/>
      <c r="D95" s="594"/>
      <c r="E95" s="594"/>
      <c r="F95" s="594"/>
      <c r="G95" s="594"/>
      <c r="H95" s="594"/>
      <c r="I95" s="594"/>
      <c r="J95" s="594"/>
      <c r="K95" s="662"/>
      <c r="L95" s="663"/>
      <c r="M95" s="664"/>
      <c r="N95" s="2161"/>
      <c r="O95" s="2161"/>
      <c r="P95" s="2162"/>
      <c r="Q95" s="2155"/>
      <c r="R95" s="2142"/>
      <c r="S95" s="2142"/>
      <c r="T95" s="2142"/>
      <c r="U95" s="2142"/>
      <c r="V95" s="2142"/>
      <c r="W95" s="2142"/>
      <c r="X95" s="2142"/>
      <c r="Y95" s="2142"/>
      <c r="Z95" s="2142"/>
      <c r="AA95" s="2142"/>
      <c r="AB95" s="2142"/>
      <c r="AC95" s="2142"/>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3"/>
      <c r="O96" s="2163"/>
      <c r="P96" s="2162"/>
      <c r="Q96" s="2155"/>
      <c r="R96" s="2142"/>
      <c r="S96" s="2142"/>
      <c r="T96" s="2142"/>
      <c r="U96" s="2142"/>
      <c r="V96" s="2142"/>
      <c r="W96" s="2142"/>
      <c r="X96" s="2142"/>
      <c r="Y96" s="2142"/>
      <c r="Z96" s="2142"/>
      <c r="AA96" s="2142"/>
      <c r="AB96" s="2142"/>
      <c r="AC96" s="2142"/>
    </row>
    <row r="97" spans="1:29" ht="15" thickTop="1">
      <c r="A97" s="731"/>
      <c r="B97" s="913">
        <f>B34</f>
        <v>111</v>
      </c>
      <c r="C97" s="537"/>
      <c r="D97" s="537"/>
      <c r="E97" s="537"/>
      <c r="F97" s="537"/>
      <c r="G97" s="684"/>
      <c r="H97" s="685"/>
      <c r="I97" s="685"/>
      <c r="J97" s="685"/>
      <c r="K97" s="685"/>
      <c r="L97" s="686"/>
      <c r="M97" s="687"/>
      <c r="N97" s="2163"/>
      <c r="O97" s="2163"/>
      <c r="P97" s="2202"/>
      <c r="Q97" s="2203"/>
      <c r="R97" s="2142"/>
      <c r="S97" s="2142"/>
      <c r="T97" s="2142"/>
      <c r="U97" s="2142"/>
      <c r="V97" s="2142"/>
      <c r="W97" s="2142"/>
      <c r="X97" s="2142"/>
      <c r="Y97" s="2142"/>
      <c r="Z97" s="2142"/>
      <c r="AA97" s="2142"/>
      <c r="AB97" s="2142"/>
      <c r="AC97" s="2142"/>
    </row>
    <row r="98" spans="1:29" ht="15.75" thickBot="1">
      <c r="A98" s="665"/>
      <c r="B98" s="674"/>
      <c r="C98" s="688"/>
      <c r="D98" s="667"/>
      <c r="E98" s="667"/>
      <c r="F98" s="667"/>
      <c r="G98" s="688"/>
      <c r="H98" s="689"/>
      <c r="I98" s="689"/>
      <c r="J98" s="689"/>
      <c r="K98" s="689"/>
      <c r="L98" s="689"/>
      <c r="M98" s="690"/>
      <c r="N98" s="2163"/>
      <c r="O98" s="2163"/>
      <c r="P98" s="2162"/>
      <c r="Q98" s="2155"/>
      <c r="R98" s="2142"/>
      <c r="S98" s="2142"/>
      <c r="T98" s="2142"/>
      <c r="U98" s="2142"/>
      <c r="V98" s="2142"/>
      <c r="W98" s="2142"/>
      <c r="X98" s="2142"/>
      <c r="Y98" s="2142"/>
      <c r="Z98" s="2142"/>
      <c r="AA98" s="2142"/>
      <c r="AB98" s="2142"/>
      <c r="AC98" s="2142"/>
    </row>
    <row r="99" spans="1:29" s="1335" customFormat="1" ht="15" thickTop="1">
      <c r="A99" s="724"/>
      <c r="B99" s="669">
        <f>B35</f>
        <v>111</v>
      </c>
      <c r="C99" s="537"/>
      <c r="D99" s="537"/>
      <c r="E99" s="537"/>
      <c r="F99" s="537"/>
      <c r="G99" s="684"/>
      <c r="H99" s="685"/>
      <c r="I99" s="685"/>
      <c r="J99" s="685"/>
      <c r="K99" s="685"/>
      <c r="L99" s="686"/>
      <c r="M99" s="687"/>
      <c r="N99" s="2164"/>
      <c r="O99" s="2164"/>
      <c r="P99" s="2165"/>
      <c r="Q99" s="2166"/>
      <c r="R99" s="2167"/>
      <c r="S99" s="2167"/>
      <c r="T99" s="2167"/>
      <c r="U99" s="2167"/>
      <c r="V99" s="2167"/>
      <c r="W99" s="2167"/>
      <c r="X99" s="2167"/>
      <c r="Y99" s="2167"/>
      <c r="Z99" s="2167"/>
      <c r="AA99" s="2167"/>
      <c r="AB99" s="2167"/>
      <c r="AC99" s="2167"/>
    </row>
    <row r="100" spans="1:29" s="1335" customFormat="1" ht="15.75" thickBot="1">
      <c r="A100" s="683"/>
      <c r="B100" s="666"/>
      <c r="C100" s="688"/>
      <c r="D100" s="667"/>
      <c r="E100" s="667"/>
      <c r="F100" s="667"/>
      <c r="G100" s="688"/>
      <c r="H100" s="689"/>
      <c r="I100" s="689"/>
      <c r="J100" s="689"/>
      <c r="K100" s="689"/>
      <c r="L100" s="689"/>
      <c r="M100" s="690"/>
      <c r="N100" s="2164"/>
      <c r="O100" s="2164"/>
      <c r="P100" s="2165"/>
      <c r="Q100" s="2166"/>
      <c r="R100" s="2167"/>
      <c r="S100" s="2167"/>
      <c r="T100" s="2167"/>
      <c r="U100" s="2167"/>
      <c r="V100" s="2167"/>
      <c r="W100" s="2167"/>
      <c r="X100" s="2167"/>
      <c r="Y100" s="2167"/>
      <c r="Z100" s="2167"/>
      <c r="AA100" s="2167"/>
      <c r="AB100" s="2167"/>
      <c r="AC100" s="2167"/>
    </row>
    <row r="101" spans="1:29" ht="15" thickTop="1">
      <c r="A101" s="731"/>
      <c r="B101" s="669">
        <f>B36</f>
        <v>111</v>
      </c>
      <c r="C101" s="684"/>
      <c r="D101" s="684"/>
      <c r="E101" s="684"/>
      <c r="F101" s="684"/>
      <c r="G101" s="684"/>
      <c r="H101" s="685"/>
      <c r="I101" s="685"/>
      <c r="J101" s="685"/>
      <c r="K101" s="685"/>
      <c r="L101" s="686"/>
      <c r="M101" s="687"/>
      <c r="N101" s="2161"/>
      <c r="O101" s="2161"/>
      <c r="P101" s="2162"/>
      <c r="Q101" s="2155"/>
      <c r="R101" s="2142"/>
      <c r="S101" s="2142"/>
      <c r="T101" s="2142"/>
      <c r="U101" s="2142"/>
      <c r="V101" s="2142"/>
      <c r="W101" s="2142"/>
      <c r="X101" s="2142"/>
      <c r="Y101" s="2142"/>
      <c r="Z101" s="2142"/>
      <c r="AA101" s="2142"/>
      <c r="AB101" s="2142"/>
      <c r="AC101" s="2142"/>
    </row>
    <row r="102" spans="1:29" ht="15.75" thickBot="1">
      <c r="A102" s="665"/>
      <c r="B102" s="674"/>
      <c r="C102" s="688"/>
      <c r="D102" s="688"/>
      <c r="E102" s="688"/>
      <c r="F102" s="688"/>
      <c r="G102" s="688"/>
      <c r="H102" s="689"/>
      <c r="I102" s="689"/>
      <c r="J102" s="689"/>
      <c r="K102" s="689"/>
      <c r="L102" s="689"/>
      <c r="M102" s="690"/>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712</v>
      </c>
      <c r="B1" s="919"/>
      <c r="C1" s="500" t="s">
        <v>786</v>
      </c>
      <c r="D1" s="845"/>
      <c r="E1" s="502"/>
      <c r="F1" s="2804"/>
      <c r="G1" s="1597" t="s">
        <v>787</v>
      </c>
      <c r="H1" s="502"/>
      <c r="I1" s="502"/>
      <c r="J1" s="502"/>
      <c r="K1" s="503"/>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19" t="s">
        <v>788</v>
      </c>
      <c r="B2" s="846"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5" t="s">
        <v>789</v>
      </c>
      <c r="B3" s="506" t="e">
        <f>C37</f>
        <v>#DIV/0!</v>
      </c>
      <c r="C3" s="848" t="s">
        <v>790</v>
      </c>
      <c r="D3" s="847">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4"/>
    </row>
    <row r="4" spans="1:29" ht="15">
      <c r="A4" s="508" t="s">
        <v>791</v>
      </c>
      <c r="B4" s="509"/>
      <c r="C4" s="3552" t="s">
        <v>792</v>
      </c>
      <c r="D4" s="3553"/>
      <c r="E4" s="3554" t="s">
        <v>793</v>
      </c>
      <c r="F4" s="3555"/>
      <c r="G4" s="3552" t="s">
        <v>794</v>
      </c>
      <c r="H4" s="3553"/>
      <c r="I4" s="3552" t="s">
        <v>795</v>
      </c>
      <c r="J4" s="3553"/>
      <c r="K4" s="510" t="s">
        <v>796</v>
      </c>
      <c r="L4" s="2130"/>
      <c r="M4" s="2131"/>
      <c r="N4" s="2131"/>
      <c r="O4" s="2131"/>
      <c r="P4" s="3556" t="s">
        <v>797</v>
      </c>
      <c r="Q4" s="3557"/>
      <c r="R4" s="3539" t="s">
        <v>793</v>
      </c>
      <c r="S4" s="3540"/>
      <c r="T4" s="3539" t="s">
        <v>794</v>
      </c>
      <c r="U4" s="3540"/>
      <c r="V4" s="3564" t="s">
        <v>795</v>
      </c>
      <c r="W4" s="3564"/>
      <c r="X4" s="1563"/>
      <c r="Y4" s="3539" t="s">
        <v>797</v>
      </c>
      <c r="Z4" s="3540"/>
      <c r="AA4" s="3534" t="s">
        <v>793</v>
      </c>
      <c r="AB4" s="3535" t="s">
        <v>794</v>
      </c>
      <c r="AC4" s="3534" t="s">
        <v>795</v>
      </c>
    </row>
    <row r="5" spans="1:29" ht="15">
      <c r="A5" s="511"/>
      <c r="B5" s="512"/>
      <c r="C5" s="3589" t="s">
        <v>2925</v>
      </c>
      <c r="D5" s="3546"/>
      <c r="E5" s="3599" t="s">
        <v>2926</v>
      </c>
      <c r="F5" s="3544"/>
      <c r="G5" s="3589" t="s">
        <v>2927</v>
      </c>
      <c r="H5" s="3546"/>
      <c r="I5" s="3589" t="s">
        <v>2928</v>
      </c>
      <c r="J5" s="3546"/>
      <c r="K5" s="510"/>
      <c r="L5" s="2130"/>
      <c r="M5" s="2131"/>
      <c r="N5" s="2131"/>
      <c r="O5" s="2131"/>
      <c r="P5" s="3558"/>
      <c r="Q5" s="3559"/>
      <c r="R5" s="3541"/>
      <c r="S5" s="3542"/>
      <c r="T5" s="3541"/>
      <c r="U5" s="3542"/>
      <c r="V5" s="3564"/>
      <c r="W5" s="3564"/>
      <c r="X5" s="1563"/>
      <c r="Y5" s="3541"/>
      <c r="Z5" s="3542"/>
      <c r="AA5" s="3535"/>
      <c r="AB5" s="3535"/>
      <c r="AC5" s="3535"/>
    </row>
    <row r="6" spans="1:29" ht="15.75" thickBot="1">
      <c r="A6" s="513"/>
      <c r="B6" s="514"/>
      <c r="C6" s="3547" t="s">
        <v>2929</v>
      </c>
      <c r="D6" s="3548"/>
      <c r="E6" s="3549" t="s">
        <v>2929</v>
      </c>
      <c r="F6" s="3550"/>
      <c r="G6" s="3547" t="s">
        <v>2929</v>
      </c>
      <c r="H6" s="3548"/>
      <c r="I6" s="3547" t="s">
        <v>2929</v>
      </c>
      <c r="J6" s="3548"/>
      <c r="K6" s="510" t="s">
        <v>522</v>
      </c>
      <c r="L6" s="2130"/>
      <c r="M6" s="2131"/>
      <c r="N6" s="2131"/>
      <c r="O6" s="2131"/>
      <c r="P6" s="3560"/>
      <c r="Q6" s="3561"/>
      <c r="R6" s="3541"/>
      <c r="S6" s="3542"/>
      <c r="T6" s="3562"/>
      <c r="U6" s="3563"/>
      <c r="V6" s="3564"/>
      <c r="W6" s="3564"/>
      <c r="X6" s="1563"/>
      <c r="Y6" s="3562"/>
      <c r="Z6" s="3563"/>
      <c r="AA6" s="3536"/>
      <c r="AB6" s="3536"/>
      <c r="AC6" s="3536"/>
    </row>
    <row r="7" spans="1:29" s="1216" customFormat="1" ht="15.75" thickBot="1">
      <c r="A7" s="2909"/>
      <c r="B7" s="2916" t="s">
        <v>523</v>
      </c>
      <c r="C7" s="515">
        <f>'数据-取费表'!B2</f>
        <v>43388</v>
      </c>
      <c r="D7" s="516">
        <v>100</v>
      </c>
      <c r="E7" s="517"/>
      <c r="F7" s="518">
        <f>SUMIF(46:46,YEAR(E7)&amp;"-"&amp;MONTH(E7),47:47)</f>
        <v>0</v>
      </c>
      <c r="G7" s="519"/>
      <c r="H7" s="516">
        <f>SUMIF(46:46,YEAR(G7)&amp;"-"&amp;MONTH(G7),47:47)</f>
        <v>0</v>
      </c>
      <c r="I7" s="519"/>
      <c r="J7" s="516">
        <f>SUMIF(46:46,YEAR(I7)&amp;"-"&amp;MONTH(I7),47:47)</f>
        <v>0</v>
      </c>
      <c r="K7" s="520"/>
      <c r="L7" s="2132"/>
      <c r="M7" s="2133"/>
      <c r="N7" s="2133"/>
      <c r="O7" s="2133"/>
      <c r="P7" s="3537" t="s">
        <v>524</v>
      </c>
      <c r="Q7" s="3565"/>
      <c r="R7" s="1564" t="s">
        <v>8</v>
      </c>
      <c r="S7" s="1565">
        <f t="shared" ref="S7:S14" si="0">F7</f>
        <v>0</v>
      </c>
      <c r="T7" s="1564" t="s">
        <v>8</v>
      </c>
      <c r="U7" s="1565">
        <f t="shared" ref="U7:U14" si="1">H7</f>
        <v>0</v>
      </c>
      <c r="V7" s="1564" t="s">
        <v>8</v>
      </c>
      <c r="W7" s="1565">
        <f t="shared" ref="W7:W14" si="2">J7</f>
        <v>0</v>
      </c>
      <c r="X7" s="1566"/>
      <c r="Y7" s="3537" t="s">
        <v>524</v>
      </c>
      <c r="Z7" s="3538"/>
      <c r="AA7" s="1567" t="e">
        <f>D7/F7</f>
        <v>#DIV/0!</v>
      </c>
      <c r="AB7" s="1567" t="e">
        <f>D7/H7</f>
        <v>#DIV/0!</v>
      </c>
      <c r="AC7" s="1567" t="e">
        <f>D7/J7</f>
        <v>#DIV/0!</v>
      </c>
    </row>
    <row r="8" spans="1:29" s="1216" customFormat="1" ht="15.75" thickBot="1">
      <c r="A8" s="2910"/>
      <c r="B8" s="2917" t="s">
        <v>525</v>
      </c>
      <c r="C8" s="521" t="s">
        <v>570</v>
      </c>
      <c r="D8" s="516">
        <v>100</v>
      </c>
      <c r="E8" s="521"/>
      <c r="F8" s="518">
        <f>SUMIF(49:49,E8,50:50)-SUMIF(49:49,C8,50:50)+100</f>
        <v>0</v>
      </c>
      <c r="G8" s="521"/>
      <c r="H8" s="516">
        <f>SUMIF(49:49,G8,50:50)-SUMIF(49:49,C8,50:50)+100</f>
        <v>0</v>
      </c>
      <c r="I8" s="521"/>
      <c r="J8" s="516">
        <f>SUMIF(49:49,I8,50:50)-SUMIF(49:49,C8,50:50)+100</f>
        <v>0</v>
      </c>
      <c r="K8" s="520"/>
      <c r="L8" s="2132"/>
      <c r="M8" s="2133"/>
      <c r="N8" s="2133"/>
      <c r="O8" s="2133"/>
      <c r="P8" s="3537" t="s">
        <v>527</v>
      </c>
      <c r="Q8" s="3538"/>
      <c r="R8" s="1564" t="s">
        <v>8</v>
      </c>
      <c r="S8" s="1565">
        <f t="shared" si="0"/>
        <v>0</v>
      </c>
      <c r="T8" s="1564" t="s">
        <v>8</v>
      </c>
      <c r="U8" s="1565">
        <f t="shared" si="1"/>
        <v>0</v>
      </c>
      <c r="V8" s="1564" t="s">
        <v>8</v>
      </c>
      <c r="W8" s="1565">
        <f t="shared" si="2"/>
        <v>0</v>
      </c>
      <c r="X8" s="1566"/>
      <c r="Y8" s="3537" t="s">
        <v>527</v>
      </c>
      <c r="Z8" s="3538"/>
      <c r="AA8" s="1567" t="e">
        <f t="shared" ref="AA8:AA34" si="3">D8/F8</f>
        <v>#DIV/0!</v>
      </c>
      <c r="AB8" s="1567" t="e">
        <f t="shared" ref="AB8:AB34" si="4">D8/H8</f>
        <v>#DIV/0!</v>
      </c>
      <c r="AC8" s="1567" t="e">
        <f t="shared" ref="AC8:AC34" si="5">D8/J8</f>
        <v>#DIV/0!</v>
      </c>
    </row>
    <row r="9" spans="1:29" s="1216" customFormat="1" ht="15">
      <c r="A9" s="2911"/>
      <c r="B9" s="2918" t="s">
        <v>2751</v>
      </c>
      <c r="C9" s="853"/>
      <c r="D9" s="253">
        <v>100</v>
      </c>
      <c r="E9" s="856"/>
      <c r="F9" s="253">
        <f>SUMIF(51:51,E9,52:52)-SUMIF(51:51,C9,52:52)+100</f>
        <v>100</v>
      </c>
      <c r="G9" s="856"/>
      <c r="H9" s="253">
        <f>SUMIF(51:51,G9,52:52)-SUMIF(51:51,C9,52:52)+100</f>
        <v>100</v>
      </c>
      <c r="I9" s="856"/>
      <c r="J9" s="253">
        <f>SUMIF(51:51,I9,52:52)-SUMIF(51:51,C9,52:52)+100</f>
        <v>100</v>
      </c>
      <c r="K9" s="520"/>
      <c r="L9" s="2132"/>
      <c r="M9" s="2133"/>
      <c r="N9" s="2133"/>
      <c r="O9" s="2134"/>
      <c r="P9" s="3551" t="s">
        <v>529</v>
      </c>
      <c r="Q9" s="1147" t="str">
        <f t="shared" ref="Q9:Q14" si="6">B9</f>
        <v>用途</v>
      </c>
      <c r="R9" s="1564" t="s">
        <v>8</v>
      </c>
      <c r="S9" s="1565">
        <f t="shared" si="0"/>
        <v>100</v>
      </c>
      <c r="T9" s="1564" t="s">
        <v>8</v>
      </c>
      <c r="U9" s="1565">
        <f t="shared" si="1"/>
        <v>100</v>
      </c>
      <c r="V9" s="1564" t="s">
        <v>8</v>
      </c>
      <c r="W9" s="1565">
        <f t="shared" si="2"/>
        <v>100</v>
      </c>
      <c r="X9" s="1566"/>
      <c r="Y9" s="3489" t="s">
        <v>530</v>
      </c>
      <c r="Z9" s="1146" t="str">
        <f t="shared" ref="Z9:Z14" si="7">Q9</f>
        <v>用途</v>
      </c>
      <c r="AA9" s="1567">
        <f t="shared" si="3"/>
        <v>1</v>
      </c>
      <c r="AB9" s="1567">
        <f t="shared" si="4"/>
        <v>1</v>
      </c>
      <c r="AC9" s="1567">
        <f t="shared" si="5"/>
        <v>1</v>
      </c>
    </row>
    <row r="10" spans="1:29" s="1334" customFormat="1" ht="27">
      <c r="A10" s="2912"/>
      <c r="B10" s="2917" t="s">
        <v>2752</v>
      </c>
      <c r="C10" s="857"/>
      <c r="D10" s="254">
        <v>100</v>
      </c>
      <c r="E10" s="857"/>
      <c r="F10" s="254">
        <f>SUMIF(53:53,E10,54:54)-SUMIF(53:53,C10,54:54)+100</f>
        <v>100</v>
      </c>
      <c r="G10" s="858"/>
      <c r="H10" s="254">
        <f>SUMIF(53:53,G10,54:54)-SUMIF(53:53,C10,54:54)+100</f>
        <v>100</v>
      </c>
      <c r="I10" s="857"/>
      <c r="J10" s="254">
        <f>SUMIF(53:53,I10,54:54)-SUMIF(53:53,C10,54:54)+100</f>
        <v>100</v>
      </c>
      <c r="K10" s="580"/>
      <c r="L10" s="2135"/>
      <c r="M10" s="2175"/>
      <c r="N10" s="2175"/>
      <c r="O10" s="2136"/>
      <c r="P10" s="3551"/>
      <c r="Q10" s="1147" t="str">
        <f t="shared" si="6"/>
        <v>土地使用年限（年）</v>
      </c>
      <c r="R10" s="1564" t="s">
        <v>8</v>
      </c>
      <c r="S10" s="1565">
        <f t="shared" si="0"/>
        <v>100</v>
      </c>
      <c r="T10" s="1564" t="s">
        <v>8</v>
      </c>
      <c r="U10" s="1565">
        <f t="shared" si="1"/>
        <v>100</v>
      </c>
      <c r="V10" s="1564" t="s">
        <v>8</v>
      </c>
      <c r="W10" s="1565">
        <f t="shared" si="2"/>
        <v>100</v>
      </c>
      <c r="X10" s="1566"/>
      <c r="Y10" s="3489"/>
      <c r="Z10" s="1146" t="str">
        <f t="shared" si="7"/>
        <v>土地使用年限（年）</v>
      </c>
      <c r="AA10" s="1567">
        <f t="shared" si="3"/>
        <v>1</v>
      </c>
      <c r="AB10" s="1567">
        <f t="shared" si="4"/>
        <v>1</v>
      </c>
      <c r="AC10" s="1567">
        <f t="shared" si="5"/>
        <v>1</v>
      </c>
    </row>
    <row r="11" spans="1:29" ht="15">
      <c r="A11" s="2914"/>
      <c r="B11" s="2920">
        <v>111</v>
      </c>
      <c r="C11" s="524"/>
      <c r="D11" s="254">
        <v>100</v>
      </c>
      <c r="E11" s="876"/>
      <c r="F11" s="254">
        <f>SUMIF(55:55,E11,56:56)-SUMIF(55:55,C11,56:56)+100</f>
        <v>100</v>
      </c>
      <c r="G11" s="876"/>
      <c r="H11" s="254">
        <f>SUMIF(55:55,G11,56:56)-SUMIF(55:55,C11,56:56)+100</f>
        <v>100</v>
      </c>
      <c r="I11" s="876"/>
      <c r="J11" s="254">
        <f>SUMIF(55:55,I11,56:56)-SUMIF(55:55,C11,56:56)+100</f>
        <v>100</v>
      </c>
      <c r="K11" s="577"/>
      <c r="L11" s="2137"/>
      <c r="M11" s="2131"/>
      <c r="N11" s="2131"/>
      <c r="O11" s="2138"/>
      <c r="P11" s="3551"/>
      <c r="Q11" s="1147">
        <f t="shared" si="6"/>
        <v>111</v>
      </c>
      <c r="R11" s="1564" t="s">
        <v>8</v>
      </c>
      <c r="S11" s="1565">
        <f t="shared" si="0"/>
        <v>100</v>
      </c>
      <c r="T11" s="1564" t="s">
        <v>8</v>
      </c>
      <c r="U11" s="1565">
        <f t="shared" si="1"/>
        <v>100</v>
      </c>
      <c r="V11" s="1564" t="s">
        <v>8</v>
      </c>
      <c r="W11" s="1565">
        <f t="shared" si="2"/>
        <v>100</v>
      </c>
      <c r="X11" s="1566"/>
      <c r="Y11" s="3489"/>
      <c r="Z11" s="1146">
        <f t="shared" si="7"/>
        <v>111</v>
      </c>
      <c r="AA11" s="1567">
        <f t="shared" si="3"/>
        <v>1</v>
      </c>
      <c r="AB11" s="1567">
        <f t="shared" si="4"/>
        <v>1</v>
      </c>
      <c r="AC11" s="1567">
        <f t="shared" si="5"/>
        <v>1</v>
      </c>
    </row>
    <row r="12" spans="1:29" s="1216" customFormat="1" ht="15">
      <c r="A12" s="2914"/>
      <c r="B12" s="2920">
        <v>111</v>
      </c>
      <c r="C12" s="524"/>
      <c r="D12" s="534">
        <v>100</v>
      </c>
      <c r="E12" s="876"/>
      <c r="F12" s="254">
        <f>SUMIF(57:57,E12,58:58)-SUMIF(57:57,C12,58:58)+100</f>
        <v>100</v>
      </c>
      <c r="G12" s="876"/>
      <c r="H12" s="254">
        <f>SUMIF(57:57,G12,58:58)-SUMIF(57:57,C12,58:58)+100</f>
        <v>100</v>
      </c>
      <c r="I12" s="876"/>
      <c r="J12" s="254">
        <f>SUMIF(57:57,I12,58:58)-SUMIF(57:57,C12,58:58)+100</f>
        <v>100</v>
      </c>
      <c r="K12" s="577"/>
      <c r="L12" s="2132"/>
      <c r="M12" s="2133"/>
      <c r="N12" s="2133"/>
      <c r="O12" s="2134"/>
      <c r="P12" s="3551"/>
      <c r="Q12" s="1147">
        <f t="shared" si="6"/>
        <v>111</v>
      </c>
      <c r="R12" s="1564" t="s">
        <v>8</v>
      </c>
      <c r="S12" s="1565">
        <f t="shared" si="0"/>
        <v>100</v>
      </c>
      <c r="T12" s="1564" t="s">
        <v>8</v>
      </c>
      <c r="U12" s="1565">
        <f t="shared" si="1"/>
        <v>100</v>
      </c>
      <c r="V12" s="1564" t="s">
        <v>8</v>
      </c>
      <c r="W12" s="1565">
        <f t="shared" si="2"/>
        <v>100</v>
      </c>
      <c r="X12" s="1566"/>
      <c r="Y12" s="3489"/>
      <c r="Z12" s="1146">
        <f t="shared" si="7"/>
        <v>111</v>
      </c>
      <c r="AA12" s="1567">
        <f>D12/F12</f>
        <v>1</v>
      </c>
      <c r="AB12" s="1567">
        <f>D12/H12</f>
        <v>1</v>
      </c>
      <c r="AC12" s="1567">
        <f>D12/J12</f>
        <v>1</v>
      </c>
    </row>
    <row r="13" spans="1:29" ht="15.75" thickBot="1">
      <c r="A13" s="2915"/>
      <c r="B13" s="2921">
        <v>111</v>
      </c>
      <c r="C13" s="535"/>
      <c r="D13" s="536">
        <v>100</v>
      </c>
      <c r="E13" s="876"/>
      <c r="F13" s="254">
        <f>SUMIF(59:59,E13,60:60)-SUMIF(59:59,C13,60:60)+100</f>
        <v>100</v>
      </c>
      <c r="G13" s="876"/>
      <c r="H13" s="536">
        <f>SUMIF(59:59,G13,60:60)-SUMIF(59:59,C13,60:60)+100</f>
        <v>100</v>
      </c>
      <c r="I13" s="876"/>
      <c r="J13" s="536">
        <f>SUMIF(59:59,I13,60:60)-SUMIF(59:59,C13,60:60)+100</f>
        <v>100</v>
      </c>
      <c r="K13" s="577"/>
      <c r="L13" s="2139"/>
      <c r="M13" s="2131"/>
      <c r="N13" s="2131"/>
      <c r="O13" s="2138"/>
      <c r="P13" s="3551"/>
      <c r="Q13" s="1147">
        <f t="shared" si="6"/>
        <v>111</v>
      </c>
      <c r="R13" s="1564" t="s">
        <v>8</v>
      </c>
      <c r="S13" s="1565">
        <f t="shared" si="0"/>
        <v>100</v>
      </c>
      <c r="T13" s="1564" t="s">
        <v>8</v>
      </c>
      <c r="U13" s="1565">
        <f t="shared" si="1"/>
        <v>100</v>
      </c>
      <c r="V13" s="1564" t="s">
        <v>8</v>
      </c>
      <c r="W13" s="1565">
        <f t="shared" si="2"/>
        <v>100</v>
      </c>
      <c r="X13" s="1566"/>
      <c r="Y13" s="3489"/>
      <c r="Z13" s="1146">
        <f t="shared" si="7"/>
        <v>111</v>
      </c>
      <c r="AA13" s="1567">
        <f t="shared" si="3"/>
        <v>1</v>
      </c>
      <c r="AB13" s="1567">
        <f t="shared" si="4"/>
        <v>1</v>
      </c>
      <c r="AC13" s="1567">
        <f t="shared" si="5"/>
        <v>1</v>
      </c>
    </row>
    <row r="14" spans="1:29" ht="85.5">
      <c r="A14" s="2907" t="s">
        <v>2749</v>
      </c>
      <c r="B14" s="165" t="s">
        <v>537</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9"/>
      <c r="M14" s="2131"/>
      <c r="N14" s="2131"/>
      <c r="O14" s="2138"/>
      <c r="P14" s="3570" t="s">
        <v>534</v>
      </c>
      <c r="Q14" s="1568" t="str">
        <f t="shared" si="6"/>
        <v>交通便捷度</v>
      </c>
      <c r="R14" s="1569" t="s">
        <v>8</v>
      </c>
      <c r="S14" s="1570">
        <f t="shared" si="0"/>
        <v>100</v>
      </c>
      <c r="T14" s="1569" t="s">
        <v>8</v>
      </c>
      <c r="U14" s="1570">
        <f t="shared" si="1"/>
        <v>100</v>
      </c>
      <c r="V14" s="1569" t="s">
        <v>8</v>
      </c>
      <c r="W14" s="1570">
        <f t="shared" si="2"/>
        <v>100</v>
      </c>
      <c r="X14" s="1563"/>
      <c r="Y14" s="3570" t="s">
        <v>534</v>
      </c>
      <c r="Z14" s="1571" t="str">
        <f t="shared" si="7"/>
        <v>交通便捷度</v>
      </c>
      <c r="AA14" s="1572">
        <f t="shared" si="3"/>
        <v>1</v>
      </c>
      <c r="AB14" s="1572">
        <f t="shared" si="4"/>
        <v>1</v>
      </c>
      <c r="AC14" s="1572">
        <f t="shared" si="5"/>
        <v>1</v>
      </c>
    </row>
    <row r="15" spans="1:29" ht="15">
      <c r="A15" s="528"/>
      <c r="B15" s="865"/>
      <c r="C15" s="572"/>
      <c r="D15" s="551"/>
      <c r="E15" s="572"/>
      <c r="F15" s="553"/>
      <c r="G15" s="572"/>
      <c r="H15" s="555"/>
      <c r="I15" s="572"/>
      <c r="J15" s="551"/>
      <c r="K15" s="895"/>
      <c r="L15" s="2139"/>
      <c r="M15" s="2131"/>
      <c r="N15" s="2131"/>
      <c r="O15" s="2138"/>
      <c r="P15" s="3571"/>
      <c r="Q15" s="1568"/>
      <c r="R15" s="1569"/>
      <c r="S15" s="1570"/>
      <c r="T15" s="1569"/>
      <c r="U15" s="1570"/>
      <c r="V15" s="1569"/>
      <c r="W15" s="1570"/>
      <c r="X15" s="1563"/>
      <c r="Y15" s="3571"/>
      <c r="Z15" s="1571"/>
      <c r="AA15" s="1572">
        <v>1</v>
      </c>
      <c r="AB15" s="1572">
        <v>1</v>
      </c>
      <c r="AC15" s="1572">
        <v>1</v>
      </c>
    </row>
    <row r="16" spans="1:29" ht="42.75">
      <c r="A16" s="528"/>
      <c r="B16" s="2600" t="s">
        <v>2541</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9"/>
      <c r="M16" s="2131"/>
      <c r="N16" s="2131"/>
      <c r="O16" s="2138"/>
      <c r="P16" s="3571"/>
      <c r="Q16" s="1568" t="str">
        <f>B16</f>
        <v>公共配套设施</v>
      </c>
      <c r="R16" s="1569" t="s">
        <v>8</v>
      </c>
      <c r="S16" s="1570">
        <f>F16</f>
        <v>100</v>
      </c>
      <c r="T16" s="1569" t="s">
        <v>8</v>
      </c>
      <c r="U16" s="1570">
        <f>H16</f>
        <v>100</v>
      </c>
      <c r="V16" s="1569" t="s">
        <v>8</v>
      </c>
      <c r="W16" s="1570">
        <f>J16</f>
        <v>100</v>
      </c>
      <c r="X16" s="1563"/>
      <c r="Y16" s="3571"/>
      <c r="Z16" s="1571" t="str">
        <f>Q16</f>
        <v>公共配套设施</v>
      </c>
      <c r="AA16" s="1572">
        <f t="shared" si="3"/>
        <v>1</v>
      </c>
      <c r="AB16" s="1572">
        <f t="shared" si="4"/>
        <v>1</v>
      </c>
      <c r="AC16" s="1572">
        <f t="shared" si="5"/>
        <v>1</v>
      </c>
    </row>
    <row r="17" spans="1:29" ht="15">
      <c r="A17" s="528"/>
      <c r="B17" s="562"/>
      <c r="C17" s="869"/>
      <c r="D17" s="551"/>
      <c r="E17" s="572"/>
      <c r="F17" s="553"/>
      <c r="G17" s="572"/>
      <c r="H17" s="551"/>
      <c r="I17" s="572"/>
      <c r="J17" s="551"/>
      <c r="K17" s="895"/>
      <c r="L17" s="2139"/>
      <c r="M17" s="2131"/>
      <c r="N17" s="2131"/>
      <c r="O17" s="2138"/>
      <c r="P17" s="3571"/>
      <c r="Q17" s="1568"/>
      <c r="R17" s="1569"/>
      <c r="S17" s="1570"/>
      <c r="T17" s="1569"/>
      <c r="U17" s="1570"/>
      <c r="V17" s="1569"/>
      <c r="W17" s="1570"/>
      <c r="X17" s="1563"/>
      <c r="Y17" s="3571"/>
      <c r="Z17" s="1571"/>
      <c r="AA17" s="1572">
        <v>1</v>
      </c>
      <c r="AB17" s="1572">
        <v>1</v>
      </c>
      <c r="AC17" s="1572">
        <v>1</v>
      </c>
    </row>
    <row r="18" spans="1:29" ht="28.5">
      <c r="A18" s="528"/>
      <c r="B18" s="2588" t="s">
        <v>2553</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9"/>
      <c r="M18" s="2131"/>
      <c r="N18" s="2131"/>
      <c r="O18" s="2138"/>
      <c r="P18" s="3571"/>
      <c r="Q18" s="2576" t="str">
        <f>B18</f>
        <v>基础设施水平</v>
      </c>
      <c r="R18" s="1569" t="s">
        <v>8</v>
      </c>
      <c r="S18" s="1570">
        <f>F18</f>
        <v>100</v>
      </c>
      <c r="T18" s="1569" t="s">
        <v>8</v>
      </c>
      <c r="U18" s="1570">
        <f>H18</f>
        <v>100</v>
      </c>
      <c r="V18" s="1569" t="s">
        <v>8</v>
      </c>
      <c r="W18" s="1570">
        <f>J18</f>
        <v>100</v>
      </c>
      <c r="X18" s="2578"/>
      <c r="Y18" s="3571"/>
      <c r="Z18" s="2577" t="str">
        <f>Q18</f>
        <v>基础设施水平</v>
      </c>
      <c r="AA18" s="1572">
        <f t="shared" ref="AA18" si="8">D18/F18</f>
        <v>1</v>
      </c>
      <c r="AB18" s="1572">
        <f t="shared" ref="AB18" si="9">D18/H18</f>
        <v>1</v>
      </c>
      <c r="AC18" s="1572">
        <f t="shared" ref="AC18" si="10">D18/J18</f>
        <v>1</v>
      </c>
    </row>
    <row r="19" spans="1:29" ht="15">
      <c r="A19" s="528"/>
      <c r="B19" s="574"/>
      <c r="C19" s="869"/>
      <c r="D19" s="555"/>
      <c r="E19" s="869"/>
      <c r="F19" s="559"/>
      <c r="G19" s="869"/>
      <c r="H19" s="551"/>
      <c r="I19" s="572"/>
      <c r="J19" s="551"/>
      <c r="K19" s="2599"/>
      <c r="L19" s="2139"/>
      <c r="M19" s="2131"/>
      <c r="N19" s="2131"/>
      <c r="O19" s="2138"/>
      <c r="P19" s="3571"/>
      <c r="Q19" s="2576"/>
      <c r="R19" s="1569"/>
      <c r="S19" s="1570"/>
      <c r="T19" s="1569"/>
      <c r="U19" s="1570"/>
      <c r="V19" s="1569"/>
      <c r="W19" s="1570"/>
      <c r="X19" s="2578"/>
      <c r="Y19" s="3571"/>
      <c r="Z19" s="2577"/>
      <c r="AA19" s="1572">
        <v>1</v>
      </c>
      <c r="AB19" s="1572">
        <v>1</v>
      </c>
      <c r="AC19" s="1572">
        <v>1</v>
      </c>
    </row>
    <row r="20" spans="1:29" ht="57">
      <c r="A20" s="528"/>
      <c r="B20" s="867" t="s">
        <v>798</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9"/>
      <c r="M20" s="2131"/>
      <c r="N20" s="2131"/>
      <c r="O20" s="2138"/>
      <c r="P20" s="3571"/>
      <c r="Q20" s="1568" t="str">
        <f>B20</f>
        <v>自然及人文环境</v>
      </c>
      <c r="R20" s="1569" t="s">
        <v>8</v>
      </c>
      <c r="S20" s="1570">
        <f>F20</f>
        <v>100</v>
      </c>
      <c r="T20" s="1569" t="s">
        <v>8</v>
      </c>
      <c r="U20" s="1570">
        <f>H20</f>
        <v>100</v>
      </c>
      <c r="V20" s="1569" t="s">
        <v>8</v>
      </c>
      <c r="W20" s="1570">
        <f>J20</f>
        <v>100</v>
      </c>
      <c r="X20" s="1563"/>
      <c r="Y20" s="3571"/>
      <c r="Z20" s="1571" t="str">
        <f>Q20</f>
        <v>自然及人文环境</v>
      </c>
      <c r="AA20" s="1572">
        <f t="shared" si="3"/>
        <v>1</v>
      </c>
      <c r="AB20" s="1572">
        <f t="shared" si="4"/>
        <v>1</v>
      </c>
      <c r="AC20" s="1572">
        <f t="shared" si="5"/>
        <v>1</v>
      </c>
    </row>
    <row r="21" spans="1:29" ht="15">
      <c r="A21" s="528"/>
      <c r="B21" s="591"/>
      <c r="C21" s="572"/>
      <c r="D21" s="551"/>
      <c r="E21" s="572"/>
      <c r="F21" s="553"/>
      <c r="G21" s="572"/>
      <c r="H21" s="551"/>
      <c r="I21" s="572"/>
      <c r="J21" s="551"/>
      <c r="K21" s="895"/>
      <c r="L21" s="2139"/>
      <c r="M21" s="2131"/>
      <c r="N21" s="2131"/>
      <c r="O21" s="2138"/>
      <c r="P21" s="3571"/>
      <c r="Q21" s="1568"/>
      <c r="R21" s="1569"/>
      <c r="S21" s="1570"/>
      <c r="T21" s="1569"/>
      <c r="U21" s="1570"/>
      <c r="V21" s="1569"/>
      <c r="W21" s="1570"/>
      <c r="X21" s="1563"/>
      <c r="Y21" s="3571"/>
      <c r="Z21" s="1571"/>
      <c r="AA21" s="1572">
        <v>1</v>
      </c>
      <c r="AB21" s="1572">
        <v>1</v>
      </c>
      <c r="AC21" s="1572">
        <v>1</v>
      </c>
    </row>
    <row r="22" spans="1:29" ht="15">
      <c r="A22" s="528"/>
      <c r="B22" s="867" t="s">
        <v>799</v>
      </c>
      <c r="C22" s="579"/>
      <c r="D22" s="555">
        <v>100</v>
      </c>
      <c r="E22" s="579"/>
      <c r="F22" s="571">
        <f>SUMIF(69:69,E22,70:70)-SUMIF(69:69,C22,70:70)+100</f>
        <v>100</v>
      </c>
      <c r="G22" s="579"/>
      <c r="H22" s="536">
        <f>SUMIF(69:69,G22,70:70)-SUMIF(69:69,C22,70:70)+100</f>
        <v>100</v>
      </c>
      <c r="I22" s="579"/>
      <c r="J22" s="536">
        <f>SUMIF(69:69,I22,70:70)-SUMIF(69:69,C22,70:70)+100</f>
        <v>100</v>
      </c>
      <c r="K22" s="580"/>
      <c r="L22" s="2139"/>
      <c r="M22" s="2131"/>
      <c r="N22" s="2131"/>
      <c r="O22" s="2138"/>
      <c r="P22" s="3571"/>
      <c r="Q22" s="1568" t="str">
        <f>B22</f>
        <v>楼层</v>
      </c>
      <c r="R22" s="1569" t="s">
        <v>8</v>
      </c>
      <c r="S22" s="1570">
        <f>F22</f>
        <v>100</v>
      </c>
      <c r="T22" s="1569" t="s">
        <v>8</v>
      </c>
      <c r="U22" s="1570">
        <f>H22</f>
        <v>100</v>
      </c>
      <c r="V22" s="1569" t="s">
        <v>8</v>
      </c>
      <c r="W22" s="1570">
        <f>J22</f>
        <v>100</v>
      </c>
      <c r="X22" s="1563"/>
      <c r="Y22" s="3571"/>
      <c r="Z22" s="1571" t="str">
        <f>Q22</f>
        <v>楼层</v>
      </c>
      <c r="AA22" s="1572">
        <f t="shared" si="3"/>
        <v>1</v>
      </c>
      <c r="AB22" s="1572">
        <f t="shared" si="4"/>
        <v>1</v>
      </c>
      <c r="AC22" s="1572">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9"/>
      <c r="M23" s="2131"/>
      <c r="N23" s="2131"/>
      <c r="O23" s="2138"/>
      <c r="P23" s="3571"/>
      <c r="Q23" s="1568">
        <f>B23</f>
        <v>111</v>
      </c>
      <c r="R23" s="1569" t="s">
        <v>8</v>
      </c>
      <c r="S23" s="1570">
        <f>F23</f>
        <v>100</v>
      </c>
      <c r="T23" s="1569" t="s">
        <v>8</v>
      </c>
      <c r="U23" s="1570">
        <f>H23</f>
        <v>100</v>
      </c>
      <c r="V23" s="1569" t="s">
        <v>8</v>
      </c>
      <c r="W23" s="1570">
        <f>J23</f>
        <v>100</v>
      </c>
      <c r="X23" s="1563"/>
      <c r="Y23" s="3571"/>
      <c r="Z23" s="1571">
        <f>Q23</f>
        <v>111</v>
      </c>
      <c r="AA23" s="1572">
        <f t="shared" si="3"/>
        <v>1</v>
      </c>
      <c r="AB23" s="1572">
        <f t="shared" si="4"/>
        <v>1</v>
      </c>
      <c r="AC23" s="1572">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9"/>
      <c r="M24" s="2131"/>
      <c r="N24" s="2131"/>
      <c r="O24" s="2138"/>
      <c r="P24" s="3571"/>
      <c r="Q24" s="1568">
        <f t="shared" ref="Q24:Q34" si="11">B24</f>
        <v>111</v>
      </c>
      <c r="R24" s="1569" t="s">
        <v>8</v>
      </c>
      <c r="S24" s="1570">
        <f>F24</f>
        <v>100</v>
      </c>
      <c r="T24" s="1569" t="s">
        <v>8</v>
      </c>
      <c r="U24" s="1570">
        <f>H24</f>
        <v>100</v>
      </c>
      <c r="V24" s="1569" t="s">
        <v>8</v>
      </c>
      <c r="W24" s="1570">
        <f>J24</f>
        <v>100</v>
      </c>
      <c r="X24" s="1563"/>
      <c r="Y24" s="3571"/>
      <c r="Z24" s="1571">
        <f>Q24</f>
        <v>111</v>
      </c>
      <c r="AA24" s="1572">
        <f t="shared" si="3"/>
        <v>1</v>
      </c>
      <c r="AB24" s="1572">
        <f t="shared" si="4"/>
        <v>1</v>
      </c>
      <c r="AC24" s="1572">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2"/>
      <c r="M25" s="2133"/>
      <c r="N25" s="2133"/>
      <c r="O25" s="2134"/>
      <c r="P25" s="3571"/>
      <c r="Q25" s="1147">
        <f t="shared" si="11"/>
        <v>111</v>
      </c>
      <c r="R25" s="1564" t="s">
        <v>8</v>
      </c>
      <c r="S25" s="1565">
        <f>F25</f>
        <v>100</v>
      </c>
      <c r="T25" s="1564" t="s">
        <v>8</v>
      </c>
      <c r="U25" s="1565">
        <f>H25</f>
        <v>100</v>
      </c>
      <c r="V25" s="1564" t="s">
        <v>8</v>
      </c>
      <c r="W25" s="1565">
        <f>J25</f>
        <v>100</v>
      </c>
      <c r="X25" s="1566"/>
      <c r="Y25" s="3571"/>
      <c r="Z25" s="1146">
        <f>Q25</f>
        <v>111</v>
      </c>
      <c r="AA25" s="1572">
        <f>D25/F25</f>
        <v>1</v>
      </c>
      <c r="AB25" s="1572">
        <f>D25/H25</f>
        <v>1</v>
      </c>
      <c r="AC25" s="1572">
        <f>D25/J25</f>
        <v>1</v>
      </c>
    </row>
    <row r="26" spans="1:29" ht="15">
      <c r="A26" s="2904" t="s">
        <v>2750</v>
      </c>
      <c r="B26" s="171" t="s">
        <v>802</v>
      </c>
      <c r="C26" s="912"/>
      <c r="D26" s="593">
        <v>100</v>
      </c>
      <c r="E26" s="912"/>
      <c r="F26" s="939">
        <f>SUMIF(77:77,E26,78:78)-SUMIF(77:77,C26,78:78)+100</f>
        <v>100</v>
      </c>
      <c r="G26" s="912"/>
      <c r="H26" s="593">
        <f>SUMIF(77:77,G26,78:78)-SUMIF(77:77,C26,78:78)+100</f>
        <v>100</v>
      </c>
      <c r="I26" s="912"/>
      <c r="J26" s="593">
        <f>SUMIF(77:77,I26,78:78)-SUMIF(77:77,C26,78:78)+100</f>
        <v>100</v>
      </c>
      <c r="K26" s="580"/>
      <c r="L26" s="2139"/>
      <c r="M26" s="2131"/>
      <c r="N26" s="2131"/>
      <c r="O26" s="2138"/>
      <c r="P26" s="3572" t="s">
        <v>815</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73" t="s">
        <v>815</v>
      </c>
      <c r="Z26" s="1571" t="str">
        <f t="shared" ref="Z26:Z34" si="15">Q26</f>
        <v>公共部分装修</v>
      </c>
      <c r="AA26" s="1572">
        <f t="shared" si="3"/>
        <v>1</v>
      </c>
      <c r="AB26" s="1572">
        <f t="shared" si="4"/>
        <v>1</v>
      </c>
      <c r="AC26" s="1572">
        <f t="shared" si="5"/>
        <v>1</v>
      </c>
    </row>
    <row r="27" spans="1:29" s="1335" customFormat="1" ht="15">
      <c r="A27" s="599"/>
      <c r="B27" s="523" t="s">
        <v>803</v>
      </c>
      <c r="C27" s="879"/>
      <c r="D27" s="254">
        <v>100</v>
      </c>
      <c r="E27" s="880"/>
      <c r="F27" s="571" t="e">
        <f>LOOKUP(E27,80:80,81:81)-LOOKUP(C27,80:80,81:81)+100</f>
        <v>#N/A</v>
      </c>
      <c r="G27" s="881"/>
      <c r="H27" s="536" t="e">
        <f>LOOKUP(G27,80:80,81:81)-LOOKUP(C27,80:80,81:81)+100</f>
        <v>#N/A</v>
      </c>
      <c r="I27" s="881"/>
      <c r="J27" s="536" t="e">
        <f>LOOKUP(I27,80:80,81:81)-LOOKUP(C27,80:80,81:81)+100</f>
        <v>#N/A</v>
      </c>
      <c r="K27" s="580"/>
      <c r="L27" s="2137"/>
      <c r="M27" s="2168"/>
      <c r="N27" s="2168"/>
      <c r="O27" s="2140"/>
      <c r="P27" s="3573"/>
      <c r="Q27" s="1601" t="str">
        <f t="shared" si="11"/>
        <v>成新率</v>
      </c>
      <c r="R27" s="1573" t="s">
        <v>8</v>
      </c>
      <c r="S27" s="1574" t="e">
        <f t="shared" si="12"/>
        <v>#N/A</v>
      </c>
      <c r="T27" s="1573" t="s">
        <v>8</v>
      </c>
      <c r="U27" s="1574" t="e">
        <f t="shared" si="13"/>
        <v>#N/A</v>
      </c>
      <c r="V27" s="1573" t="s">
        <v>8</v>
      </c>
      <c r="W27" s="1574" t="e">
        <f t="shared" si="14"/>
        <v>#N/A</v>
      </c>
      <c r="X27" s="1575"/>
      <c r="Y27" s="3573"/>
      <c r="Z27" s="1576" t="str">
        <f t="shared" si="15"/>
        <v>成新率</v>
      </c>
      <c r="AA27" s="1572" t="e">
        <f t="shared" si="3"/>
        <v>#N/A</v>
      </c>
      <c r="AB27" s="1572" t="e">
        <f t="shared" si="4"/>
        <v>#N/A</v>
      </c>
      <c r="AC27" s="1572" t="e">
        <f t="shared" si="5"/>
        <v>#N/A</v>
      </c>
    </row>
    <row r="28" spans="1:29" ht="15">
      <c r="A28" s="590"/>
      <c r="B28" s="523" t="s">
        <v>804</v>
      </c>
      <c r="C28" s="570"/>
      <c r="D28" s="536">
        <v>100</v>
      </c>
      <c r="E28" s="570"/>
      <c r="F28" s="571">
        <f>SUMIF(82:82,E28,83:83)-SUMIF(82:82,C28,83:83)+100</f>
        <v>100</v>
      </c>
      <c r="G28" s="570"/>
      <c r="H28" s="536">
        <f>SUMIF(82:82,G28,83:83)-SUMIF(82:82,C28,83:83)+100</f>
        <v>100</v>
      </c>
      <c r="I28" s="570"/>
      <c r="J28" s="536">
        <f>SUMIF(82:82,I28,83:83)-SUMIF(82:82,C28,83:83)+100</f>
        <v>100</v>
      </c>
      <c r="K28" s="580"/>
      <c r="L28" s="2139"/>
      <c r="M28" s="2131"/>
      <c r="N28" s="2131"/>
      <c r="O28" s="2138"/>
      <c r="P28" s="3573"/>
      <c r="Q28" s="1568" t="str">
        <f t="shared" si="11"/>
        <v>物业等级</v>
      </c>
      <c r="R28" s="1569" t="s">
        <v>8</v>
      </c>
      <c r="S28" s="1570">
        <f t="shared" si="12"/>
        <v>100</v>
      </c>
      <c r="T28" s="1569" t="s">
        <v>8</v>
      </c>
      <c r="U28" s="1570">
        <f t="shared" si="13"/>
        <v>100</v>
      </c>
      <c r="V28" s="1569" t="s">
        <v>8</v>
      </c>
      <c r="W28" s="1570">
        <f t="shared" si="14"/>
        <v>100</v>
      </c>
      <c r="X28" s="1563"/>
      <c r="Y28" s="3573"/>
      <c r="Z28" s="1571" t="str">
        <f t="shared" si="15"/>
        <v>物业等级</v>
      </c>
      <c r="AA28" s="1572">
        <f t="shared" si="3"/>
        <v>1</v>
      </c>
      <c r="AB28" s="1572">
        <f t="shared" si="4"/>
        <v>1</v>
      </c>
      <c r="AC28" s="1572">
        <f t="shared" si="5"/>
        <v>1</v>
      </c>
    </row>
    <row r="29" spans="1:29" ht="15">
      <c r="A29" s="590"/>
      <c r="B29" s="523" t="s">
        <v>816</v>
      </c>
      <c r="C29" s="928"/>
      <c r="D29" s="536">
        <v>100</v>
      </c>
      <c r="E29" s="928"/>
      <c r="F29" s="571">
        <f>SUMIF(84:84,E29,85:85)-SUMIF(84:84,C29,85:85)+100</f>
        <v>100</v>
      </c>
      <c r="G29" s="928"/>
      <c r="H29" s="536">
        <f>SUMIF(84:84,G29,85:85)-SUMIF(84:84,C29,85:85)+100</f>
        <v>100</v>
      </c>
      <c r="I29" s="928"/>
      <c r="J29" s="536">
        <f>SUMIF(84:84,I29,85:85)-SUMIF(84:84,C29,85:85)+100</f>
        <v>100</v>
      </c>
      <c r="K29" s="580"/>
      <c r="L29" s="2139"/>
      <c r="M29" s="2131"/>
      <c r="N29" s="2131"/>
      <c r="O29" s="2138"/>
      <c r="P29" s="3573"/>
      <c r="Q29" s="1568" t="str">
        <f t="shared" si="11"/>
        <v>有无电梯</v>
      </c>
      <c r="R29" s="1569" t="s">
        <v>8</v>
      </c>
      <c r="S29" s="1570">
        <f t="shared" si="12"/>
        <v>100</v>
      </c>
      <c r="T29" s="1569" t="s">
        <v>8</v>
      </c>
      <c r="U29" s="1570">
        <f t="shared" si="13"/>
        <v>100</v>
      </c>
      <c r="V29" s="1569" t="s">
        <v>8</v>
      </c>
      <c r="W29" s="1570">
        <f t="shared" si="14"/>
        <v>100</v>
      </c>
      <c r="X29" s="1563"/>
      <c r="Y29" s="3573"/>
      <c r="Z29" s="1571" t="str">
        <f t="shared" si="15"/>
        <v>有无电梯</v>
      </c>
      <c r="AA29" s="1572">
        <f t="shared" si="3"/>
        <v>1</v>
      </c>
      <c r="AB29" s="1572">
        <f t="shared" si="4"/>
        <v>1</v>
      </c>
      <c r="AC29" s="1572">
        <f t="shared" si="5"/>
        <v>1</v>
      </c>
    </row>
    <row r="30" spans="1:29" ht="15">
      <c r="A30" s="590"/>
      <c r="B30" s="523" t="s">
        <v>817</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9"/>
      <c r="M30" s="2131"/>
      <c r="N30" s="2131"/>
      <c r="O30" s="2138"/>
      <c r="P30" s="3573"/>
      <c r="Q30" s="1568" t="str">
        <f t="shared" si="11"/>
        <v>建筑面积</v>
      </c>
      <c r="R30" s="1569" t="s">
        <v>8</v>
      </c>
      <c r="S30" s="1570" t="e">
        <f t="shared" si="12"/>
        <v>#N/A</v>
      </c>
      <c r="T30" s="1569" t="s">
        <v>8</v>
      </c>
      <c r="U30" s="1570" t="e">
        <f t="shared" si="13"/>
        <v>#N/A</v>
      </c>
      <c r="V30" s="1569" t="s">
        <v>8</v>
      </c>
      <c r="W30" s="1570" t="e">
        <f t="shared" si="14"/>
        <v>#N/A</v>
      </c>
      <c r="X30" s="1563"/>
      <c r="Y30" s="3573"/>
      <c r="Z30" s="1571" t="str">
        <f t="shared" si="15"/>
        <v>建筑面积</v>
      </c>
      <c r="AA30" s="1572" t="e">
        <f t="shared" si="3"/>
        <v>#N/A</v>
      </c>
      <c r="AB30" s="1572" t="e">
        <f t="shared" si="4"/>
        <v>#N/A</v>
      </c>
      <c r="AC30" s="1572" t="e">
        <f t="shared" si="5"/>
        <v>#N/A</v>
      </c>
    </row>
    <row r="31" spans="1:29" s="1216" customFormat="1" ht="15">
      <c r="A31" s="596"/>
      <c r="B31" s="523" t="s">
        <v>818</v>
      </c>
      <c r="C31" s="928"/>
      <c r="D31" s="254">
        <v>100</v>
      </c>
      <c r="E31" s="928"/>
      <c r="F31" s="571">
        <f>SUMIF(89:89,E31,90:90)-SUMIF(89:89,C31,90:90)+100</f>
        <v>100</v>
      </c>
      <c r="G31" s="928"/>
      <c r="H31" s="536">
        <f>SUMIF(89:89,G31,90:90)-SUMIF(89:89,C31,90:90)+100</f>
        <v>100</v>
      </c>
      <c r="I31" s="928"/>
      <c r="J31" s="536">
        <f>SUMIF(89:89,I31,90:90)-SUMIF(89:89,C31,90:90)+100</f>
        <v>100</v>
      </c>
      <c r="K31" s="580"/>
      <c r="L31" s="2132"/>
      <c r="M31" s="2133"/>
      <c r="N31" s="2133"/>
      <c r="O31" s="2134"/>
      <c r="P31" s="3573"/>
      <c r="Q31" s="1147" t="str">
        <f t="shared" si="11"/>
        <v>是否封闭</v>
      </c>
      <c r="R31" s="1564" t="s">
        <v>8</v>
      </c>
      <c r="S31" s="1565">
        <f t="shared" si="12"/>
        <v>100</v>
      </c>
      <c r="T31" s="1564" t="s">
        <v>8</v>
      </c>
      <c r="U31" s="1565">
        <f t="shared" si="13"/>
        <v>100</v>
      </c>
      <c r="V31" s="1564" t="s">
        <v>8</v>
      </c>
      <c r="W31" s="1565">
        <f t="shared" si="14"/>
        <v>100</v>
      </c>
      <c r="X31" s="1566"/>
      <c r="Y31" s="3573"/>
      <c r="Z31" s="1146" t="str">
        <f t="shared" si="15"/>
        <v>是否封闭</v>
      </c>
      <c r="AA31" s="1567">
        <f t="shared" si="3"/>
        <v>1</v>
      </c>
      <c r="AB31" s="1567">
        <f t="shared" si="4"/>
        <v>1</v>
      </c>
      <c r="AC31" s="1567">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9"/>
      <c r="M32" s="2131"/>
      <c r="N32" s="2131"/>
      <c r="O32" s="2138"/>
      <c r="P32" s="3573" t="s">
        <v>544</v>
      </c>
      <c r="Q32" s="1568">
        <f t="shared" si="11"/>
        <v>111</v>
      </c>
      <c r="R32" s="1569" t="s">
        <v>8</v>
      </c>
      <c r="S32" s="1570">
        <f t="shared" si="12"/>
        <v>100</v>
      </c>
      <c r="T32" s="1569" t="s">
        <v>8</v>
      </c>
      <c r="U32" s="1570">
        <f t="shared" si="13"/>
        <v>100</v>
      </c>
      <c r="V32" s="1569" t="s">
        <v>8</v>
      </c>
      <c r="W32" s="1570">
        <f t="shared" si="14"/>
        <v>100</v>
      </c>
      <c r="X32" s="1563"/>
      <c r="Y32" s="3573" t="s">
        <v>544</v>
      </c>
      <c r="Z32" s="1571">
        <f t="shared" si="15"/>
        <v>111</v>
      </c>
      <c r="AA32" s="1572">
        <f t="shared" si="3"/>
        <v>1</v>
      </c>
      <c r="AB32" s="1572">
        <f t="shared" si="4"/>
        <v>1</v>
      </c>
      <c r="AC32" s="1572">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9"/>
      <c r="M33" s="2131"/>
      <c r="N33" s="2131"/>
      <c r="O33" s="2138"/>
      <c r="P33" s="3573"/>
      <c r="Q33" s="1568">
        <f t="shared" si="11"/>
        <v>111</v>
      </c>
      <c r="R33" s="1569" t="s">
        <v>8</v>
      </c>
      <c r="S33" s="1570">
        <f t="shared" si="12"/>
        <v>100</v>
      </c>
      <c r="T33" s="1569" t="s">
        <v>8</v>
      </c>
      <c r="U33" s="1570">
        <f t="shared" si="13"/>
        <v>100</v>
      </c>
      <c r="V33" s="1569" t="s">
        <v>8</v>
      </c>
      <c r="W33" s="1570">
        <f t="shared" si="14"/>
        <v>100</v>
      </c>
      <c r="X33" s="1563"/>
      <c r="Y33" s="3573"/>
      <c r="Z33" s="1571">
        <f t="shared" si="15"/>
        <v>111</v>
      </c>
      <c r="AA33" s="1572">
        <f t="shared" si="3"/>
        <v>1</v>
      </c>
      <c r="AB33" s="1572">
        <f t="shared" si="4"/>
        <v>1</v>
      </c>
      <c r="AC33" s="1572">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9"/>
      <c r="M34" s="2131"/>
      <c r="N34" s="2131"/>
      <c r="O34" s="2138"/>
      <c r="P34" s="3573"/>
      <c r="Q34" s="1568">
        <f t="shared" si="11"/>
        <v>111</v>
      </c>
      <c r="R34" s="1569" t="s">
        <v>8</v>
      </c>
      <c r="S34" s="1570">
        <f t="shared" si="12"/>
        <v>100</v>
      </c>
      <c r="T34" s="1569" t="s">
        <v>8</v>
      </c>
      <c r="U34" s="1570">
        <f t="shared" si="13"/>
        <v>100</v>
      </c>
      <c r="V34" s="1569" t="s">
        <v>8</v>
      </c>
      <c r="W34" s="1570">
        <f t="shared" si="14"/>
        <v>100</v>
      </c>
      <c r="X34" s="1563"/>
      <c r="Y34" s="3573"/>
      <c r="Z34" s="1571">
        <f t="shared" si="15"/>
        <v>111</v>
      </c>
      <c r="AA34" s="1572">
        <f t="shared" si="3"/>
        <v>1</v>
      </c>
      <c r="AB34" s="1572">
        <f t="shared" si="4"/>
        <v>1</v>
      </c>
      <c r="AC34" s="1572">
        <f t="shared" si="5"/>
        <v>1</v>
      </c>
    </row>
    <row r="35" spans="1:29" ht="15">
      <c r="A35" s="603" t="s">
        <v>730</v>
      </c>
      <c r="B35" s="883"/>
      <c r="C35" s="2624" t="s">
        <v>1</v>
      </c>
      <c r="D35" s="2625"/>
      <c r="E35" s="2626"/>
      <c r="F35" s="2627"/>
      <c r="G35" s="2628"/>
      <c r="H35" s="2629"/>
      <c r="I35" s="2626"/>
      <c r="J35" s="2629"/>
      <c r="K35" s="1607"/>
      <c r="L35" s="2141"/>
      <c r="M35" s="2142"/>
      <c r="N35" s="2131"/>
      <c r="O35" s="2142"/>
      <c r="P35" s="3551" t="str">
        <f>A35</f>
        <v>成交单价（元/平方米）</v>
      </c>
      <c r="Q35" s="3551"/>
      <c r="R35" s="3569">
        <f>E35</f>
        <v>0</v>
      </c>
      <c r="S35" s="3569"/>
      <c r="T35" s="3569">
        <f>G35</f>
        <v>0</v>
      </c>
      <c r="U35" s="3569"/>
      <c r="V35" s="3569">
        <f>I35</f>
        <v>0</v>
      </c>
      <c r="W35" s="3569"/>
      <c r="X35" s="1555"/>
      <c r="Y35" s="1577"/>
      <c r="Z35" s="1555"/>
      <c r="AA35" s="1555"/>
      <c r="AB35" s="1555"/>
      <c r="AC35" s="1555"/>
    </row>
    <row r="36" spans="1:29" ht="15.75" thickBot="1">
      <c r="A36" s="611" t="s">
        <v>2755</v>
      </c>
      <c r="B36" s="884"/>
      <c r="C36" s="2630" t="e">
        <f>R37</f>
        <v>#DIV/0!</v>
      </c>
      <c r="D36" s="2631"/>
      <c r="E36" s="2632" t="e">
        <f>R36</f>
        <v>#DIV/0!</v>
      </c>
      <c r="F36" s="2632"/>
      <c r="G36" s="2630" t="e">
        <f>T36</f>
        <v>#DIV/0!</v>
      </c>
      <c r="H36" s="2631"/>
      <c r="I36" s="2632" t="e">
        <f>V36</f>
        <v>#DIV/0!</v>
      </c>
      <c r="J36" s="2631"/>
      <c r="K36" s="1608"/>
      <c r="L36" s="2141"/>
      <c r="M36" s="2142"/>
      <c r="N36" s="2131"/>
      <c r="O36" s="2142"/>
      <c r="P36" s="3551" t="str">
        <f>A36</f>
        <v>比较价格（元/平方米）</v>
      </c>
      <c r="Q36" s="3551"/>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1555"/>
      <c r="Y36" s="1555"/>
      <c r="Z36" s="1555"/>
      <c r="AA36" s="1555"/>
      <c r="AB36" s="1555"/>
      <c r="AC36" s="1555"/>
    </row>
    <row r="37" spans="1:29" ht="15.75" thickBot="1">
      <c r="A37" s="617" t="s">
        <v>2931</v>
      </c>
      <c r="B37" s="618"/>
      <c r="C37" s="2633" t="e">
        <f>R37</f>
        <v>#DIV/0!</v>
      </c>
      <c r="D37" s="2633"/>
      <c r="E37" s="2633"/>
      <c r="F37" s="2633"/>
      <c r="G37" s="2633"/>
      <c r="H37" s="2633"/>
      <c r="I37" s="2633"/>
      <c r="J37" s="2633"/>
      <c r="K37" s="1609"/>
      <c r="L37" s="2141"/>
      <c r="M37" s="2142"/>
      <c r="N37" s="2142"/>
      <c r="O37" s="2142"/>
      <c r="P37" s="3566" t="str">
        <f>A37</f>
        <v>估价对象XX用房的比较价格（楼面单价，元/平方米）</v>
      </c>
      <c r="Q37" s="3567"/>
      <c r="R37" s="3568" t="e">
        <f>IF(F1="售价",ROUND(AVERAGE(R36:V36),0),ROUND(AVERAGE(R36:V36),1))</f>
        <v>#DIV/0!</v>
      </c>
      <c r="S37" s="3568"/>
      <c r="T37" s="3568"/>
      <c r="U37" s="3568"/>
      <c r="V37" s="3568"/>
      <c r="W37" s="356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568</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5">
      <c r="A46" s="641" t="s">
        <v>523</v>
      </c>
      <c r="B46" s="642"/>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6" customFormat="1" ht="15">
      <c r="A47" s="643"/>
      <c r="B47" s="644"/>
      <c r="C47" s="645">
        <v>100</v>
      </c>
      <c r="D47" s="646"/>
      <c r="E47" s="646"/>
      <c r="F47" s="646"/>
      <c r="G47" s="646"/>
      <c r="H47" s="646"/>
      <c r="I47" s="646"/>
      <c r="J47" s="646"/>
      <c r="K47" s="646"/>
      <c r="L47" s="646"/>
      <c r="M47" s="647"/>
      <c r="N47" s="646"/>
      <c r="O47" s="648"/>
      <c r="P47" s="2155"/>
      <c r="Q47" s="1990"/>
      <c r="R47" s="1990"/>
      <c r="S47" s="1990"/>
      <c r="T47" s="1990"/>
      <c r="U47" s="1990"/>
      <c r="V47" s="1990"/>
      <c r="W47" s="1990"/>
      <c r="X47" s="1990"/>
      <c r="Y47" s="1990"/>
      <c r="Z47" s="1990"/>
      <c r="AA47" s="1990"/>
      <c r="AB47" s="1990"/>
      <c r="AC47" s="1990"/>
    </row>
    <row r="48" spans="1:29" s="1216" customFormat="1" ht="15.75" thickBot="1">
      <c r="A48" s="649" t="s">
        <v>569</v>
      </c>
      <c r="B48" s="650"/>
      <c r="C48" s="651"/>
      <c r="D48" s="652"/>
      <c r="E48" s="652"/>
      <c r="F48" s="652"/>
      <c r="G48" s="652"/>
      <c r="H48" s="652"/>
      <c r="I48" s="652"/>
      <c r="J48" s="652"/>
      <c r="K48" s="652"/>
      <c r="L48" s="652"/>
      <c r="M48" s="653"/>
      <c r="N48" s="652"/>
      <c r="O48" s="654"/>
      <c r="P48" s="2155"/>
      <c r="Q48" s="2155"/>
      <c r="R48" s="1990"/>
      <c r="S48" s="1990"/>
      <c r="T48" s="1990"/>
      <c r="U48" s="1990"/>
      <c r="V48" s="1990"/>
      <c r="W48" s="1990"/>
      <c r="X48" s="1990"/>
      <c r="Y48" s="1990"/>
      <c r="Z48" s="1990"/>
      <c r="AA48" s="1990"/>
      <c r="AB48" s="1990"/>
      <c r="AC48" s="1990"/>
    </row>
    <row r="49" spans="1:29" s="1216" customFormat="1" ht="15">
      <c r="A49" s="655" t="s">
        <v>525</v>
      </c>
      <c r="B49" s="644"/>
      <c r="C49" s="656" t="s">
        <v>570</v>
      </c>
      <c r="D49" s="657"/>
      <c r="E49" s="657"/>
      <c r="F49" s="657"/>
      <c r="G49" s="657"/>
      <c r="H49" s="657"/>
      <c r="I49" s="657"/>
      <c r="J49" s="657"/>
      <c r="K49" s="657"/>
      <c r="L49" s="658"/>
      <c r="M49" s="659"/>
      <c r="N49" s="2159"/>
      <c r="O49" s="2159"/>
      <c r="P49" s="2160"/>
      <c r="Q49" s="2155"/>
      <c r="R49" s="1990"/>
      <c r="S49" s="1990"/>
      <c r="T49" s="1990"/>
      <c r="U49" s="1990"/>
      <c r="V49" s="1990"/>
      <c r="W49" s="1990"/>
      <c r="X49" s="1990"/>
      <c r="Y49" s="1990"/>
      <c r="Z49" s="1990"/>
      <c r="AA49" s="1990"/>
      <c r="AB49" s="1990"/>
      <c r="AC49" s="1990"/>
    </row>
    <row r="50" spans="1:29" s="1216" customFormat="1" ht="15.75" thickBot="1">
      <c r="A50" s="655"/>
      <c r="B50" s="644"/>
      <c r="C50" s="645">
        <v>100</v>
      </c>
      <c r="D50" s="646"/>
      <c r="E50" s="646"/>
      <c r="F50" s="646"/>
      <c r="G50" s="646"/>
      <c r="H50" s="646"/>
      <c r="I50" s="646"/>
      <c r="J50" s="646"/>
      <c r="K50" s="646"/>
      <c r="L50" s="646"/>
      <c r="M50" s="648"/>
      <c r="N50" s="2159"/>
      <c r="O50" s="2159"/>
      <c r="P50" s="2155"/>
      <c r="Q50" s="2155"/>
      <c r="R50" s="1990"/>
      <c r="S50" s="1990"/>
      <c r="T50" s="1990"/>
      <c r="U50" s="1990"/>
      <c r="V50" s="1990"/>
      <c r="W50" s="1990"/>
      <c r="X50" s="1990"/>
      <c r="Y50" s="1990"/>
      <c r="Z50" s="1990"/>
      <c r="AA50" s="1990"/>
      <c r="AB50" s="1990"/>
      <c r="AC50" s="1990"/>
    </row>
    <row r="51" spans="1:29">
      <c r="A51" s="660" t="s">
        <v>571</v>
      </c>
      <c r="B51" s="661" t="s">
        <v>528</v>
      </c>
      <c r="C51" s="700">
        <f>C9</f>
        <v>0</v>
      </c>
      <c r="D51" s="594"/>
      <c r="E51" s="594"/>
      <c r="F51" s="594"/>
      <c r="G51" s="594"/>
      <c r="H51" s="594"/>
      <c r="I51" s="594"/>
      <c r="J51" s="594"/>
      <c r="K51" s="662"/>
      <c r="L51" s="663"/>
      <c r="M51" s="664"/>
      <c r="N51" s="2161"/>
      <c r="O51" s="2161"/>
      <c r="P51" s="2162"/>
      <c r="Q51" s="2155"/>
      <c r="R51" s="2142"/>
      <c r="S51" s="2142"/>
      <c r="T51" s="2142"/>
      <c r="U51" s="2142"/>
      <c r="V51" s="2142"/>
      <c r="W51" s="2142"/>
      <c r="X51" s="2142"/>
      <c r="Y51" s="2142"/>
      <c r="Z51" s="2142"/>
      <c r="AA51" s="2142"/>
      <c r="AB51" s="2142"/>
      <c r="AC51" s="2142"/>
    </row>
    <row r="52" spans="1:29" ht="15.75" thickBot="1">
      <c r="A52" s="665"/>
      <c r="B52" s="666"/>
      <c r="C52" s="667">
        <v>100</v>
      </c>
      <c r="D52" s="667"/>
      <c r="E52" s="667"/>
      <c r="F52" s="667"/>
      <c r="G52" s="667"/>
      <c r="H52" s="667"/>
      <c r="I52" s="667"/>
      <c r="J52" s="667"/>
      <c r="K52" s="667"/>
      <c r="L52" s="667"/>
      <c r="M52" s="668"/>
      <c r="N52" s="2163"/>
      <c r="O52" s="2163"/>
      <c r="P52" s="2162"/>
      <c r="Q52" s="2155"/>
      <c r="R52" s="2142"/>
      <c r="S52" s="2142"/>
      <c r="T52" s="2142"/>
      <c r="U52" s="2142"/>
      <c r="V52" s="2142"/>
      <c r="W52" s="2142"/>
      <c r="X52" s="2142"/>
      <c r="Y52" s="2142"/>
      <c r="Z52" s="2142"/>
      <c r="AA52" s="2142"/>
      <c r="AB52" s="2142"/>
      <c r="AC52" s="2142"/>
    </row>
    <row r="53" spans="1:29" ht="27.75" thickTop="1">
      <c r="A53" s="665"/>
      <c r="B53" s="669" t="s">
        <v>531</v>
      </c>
      <c r="C53" s="670" t="s">
        <v>731</v>
      </c>
      <c r="D53" s="670" t="s">
        <v>732</v>
      </c>
      <c r="E53" s="670" t="s">
        <v>733</v>
      </c>
      <c r="F53" s="670" t="s">
        <v>734</v>
      </c>
      <c r="G53" s="670" t="s">
        <v>735</v>
      </c>
      <c r="H53" s="670" t="s">
        <v>736</v>
      </c>
      <c r="I53" s="670" t="s">
        <v>737</v>
      </c>
      <c r="J53" s="670"/>
      <c r="K53" s="671"/>
      <c r="L53" s="672"/>
      <c r="M53" s="673"/>
      <c r="N53" s="2161"/>
      <c r="O53" s="2161"/>
      <c r="P53" s="2162"/>
      <c r="Q53" s="2155"/>
      <c r="R53" s="2142"/>
      <c r="S53" s="2142"/>
      <c r="T53" s="2142"/>
      <c r="U53" s="2142"/>
      <c r="V53" s="2142"/>
      <c r="W53" s="2142"/>
      <c r="X53" s="2142"/>
      <c r="Y53" s="2142"/>
      <c r="Z53" s="2142"/>
      <c r="AA53" s="2142"/>
      <c r="AB53" s="2142"/>
      <c r="AC53" s="2142"/>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3"/>
      <c r="O54" s="2163"/>
      <c r="P54" s="2162"/>
      <c r="Q54" s="2155"/>
      <c r="R54" s="2142"/>
      <c r="S54" s="2142"/>
      <c r="T54" s="2142"/>
      <c r="U54" s="2142"/>
      <c r="V54" s="2142"/>
      <c r="W54" s="2142"/>
      <c r="X54" s="2142"/>
      <c r="Y54" s="2142"/>
      <c r="Z54" s="2142"/>
      <c r="AA54" s="2142"/>
      <c r="AB54" s="2142"/>
      <c r="AC54" s="2142"/>
    </row>
    <row r="55" spans="1:29" ht="15.75" thickTop="1">
      <c r="A55" s="665"/>
      <c r="B55" s="931">
        <f>B11</f>
        <v>111</v>
      </c>
      <c r="C55" s="537"/>
      <c r="D55" s="537"/>
      <c r="E55" s="537"/>
      <c r="F55" s="537"/>
      <c r="G55" s="537"/>
      <c r="H55" s="537"/>
      <c r="I55" s="537"/>
      <c r="J55" s="537"/>
      <c r="K55" s="680"/>
      <c r="L55" s="681"/>
      <c r="M55" s="682"/>
      <c r="N55" s="2161"/>
      <c r="O55" s="2161"/>
      <c r="P55" s="2162"/>
      <c r="Q55" s="2155"/>
      <c r="R55" s="2142"/>
      <c r="S55" s="2142"/>
      <c r="T55" s="2142"/>
      <c r="U55" s="2142"/>
      <c r="V55" s="2142"/>
      <c r="W55" s="2142"/>
      <c r="X55" s="2142"/>
      <c r="Y55" s="2142"/>
      <c r="Z55" s="2142"/>
      <c r="AA55" s="2142"/>
      <c r="AB55" s="2142"/>
      <c r="AC55" s="2142"/>
    </row>
    <row r="56" spans="1:29" ht="15.75" thickBot="1">
      <c r="A56" s="665"/>
      <c r="B56" s="666"/>
      <c r="C56" s="688"/>
      <c r="D56" s="667"/>
      <c r="E56" s="667"/>
      <c r="F56" s="667"/>
      <c r="G56" s="667"/>
      <c r="H56" s="667"/>
      <c r="I56" s="667"/>
      <c r="J56" s="667"/>
      <c r="K56" s="667"/>
      <c r="L56" s="667"/>
      <c r="M56" s="668"/>
      <c r="N56" s="2163"/>
      <c r="O56" s="2163"/>
      <c r="P56" s="2162"/>
      <c r="Q56" s="2155"/>
      <c r="R56" s="2142"/>
      <c r="S56" s="2142"/>
      <c r="T56" s="2142"/>
      <c r="U56" s="2142"/>
      <c r="V56" s="2142"/>
      <c r="W56" s="2142"/>
      <c r="X56" s="2142"/>
      <c r="Y56" s="2142"/>
      <c r="Z56" s="2142"/>
      <c r="AA56" s="2142"/>
      <c r="AB56" s="2142"/>
      <c r="AC56" s="2142"/>
    </row>
    <row r="57" spans="1:29" s="1335" customFormat="1" ht="15.75" thickTop="1">
      <c r="A57" s="683"/>
      <c r="B57" s="669">
        <f>B12</f>
        <v>111</v>
      </c>
      <c r="C57" s="537"/>
      <c r="D57" s="537"/>
      <c r="E57" s="537"/>
      <c r="F57" s="537"/>
      <c r="G57" s="684"/>
      <c r="H57" s="685"/>
      <c r="I57" s="685"/>
      <c r="J57" s="685"/>
      <c r="K57" s="685"/>
      <c r="L57" s="686"/>
      <c r="M57" s="687"/>
      <c r="N57" s="2164"/>
      <c r="O57" s="2164"/>
      <c r="P57" s="2165"/>
      <c r="Q57" s="2166"/>
      <c r="R57" s="2167"/>
      <c r="S57" s="2167"/>
      <c r="T57" s="2167"/>
      <c r="U57" s="2167"/>
      <c r="V57" s="2167"/>
      <c r="W57" s="2167"/>
      <c r="X57" s="2167"/>
      <c r="Y57" s="2167"/>
      <c r="Z57" s="2167"/>
      <c r="AA57" s="2167"/>
      <c r="AB57" s="2167"/>
      <c r="AC57" s="2167"/>
    </row>
    <row r="58" spans="1:29" s="1335" customFormat="1" ht="15.75" thickBot="1">
      <c r="A58" s="683"/>
      <c r="B58" s="674"/>
      <c r="C58" s="688"/>
      <c r="D58" s="667"/>
      <c r="E58" s="667"/>
      <c r="F58" s="667"/>
      <c r="G58" s="667"/>
      <c r="H58" s="667"/>
      <c r="I58" s="667"/>
      <c r="J58" s="667"/>
      <c r="K58" s="667"/>
      <c r="L58" s="667"/>
      <c r="M58" s="668"/>
      <c r="N58" s="2163"/>
      <c r="O58" s="2163"/>
      <c r="P58" s="2165"/>
      <c r="Q58" s="2166"/>
      <c r="R58" s="2167"/>
      <c r="S58" s="2167"/>
      <c r="T58" s="2167"/>
      <c r="U58" s="2167"/>
      <c r="V58" s="2167"/>
      <c r="W58" s="2167"/>
      <c r="X58" s="2167"/>
      <c r="Y58" s="2167"/>
      <c r="Z58" s="2167"/>
      <c r="AA58" s="2167"/>
      <c r="AB58" s="2167"/>
      <c r="AC58" s="2167"/>
    </row>
    <row r="59" spans="1:29" s="1335" customFormat="1" ht="15.75" thickTop="1">
      <c r="A59" s="683"/>
      <c r="B59" s="669">
        <f>B13</f>
        <v>111</v>
      </c>
      <c r="C59" s="537"/>
      <c r="D59" s="537"/>
      <c r="E59" s="537"/>
      <c r="F59" s="537"/>
      <c r="G59" s="684"/>
      <c r="H59" s="685"/>
      <c r="I59" s="685"/>
      <c r="J59" s="685"/>
      <c r="K59" s="685"/>
      <c r="L59" s="686"/>
      <c r="M59" s="687"/>
      <c r="N59" s="2164"/>
      <c r="O59" s="2164"/>
      <c r="P59" s="2168"/>
      <c r="Q59" s="2169"/>
      <c r="R59" s="2167"/>
      <c r="S59" s="2167"/>
      <c r="T59" s="2167"/>
      <c r="U59" s="2167"/>
      <c r="V59" s="2167"/>
      <c r="W59" s="2167"/>
      <c r="X59" s="2167"/>
      <c r="Y59" s="2167"/>
      <c r="Z59" s="2167"/>
      <c r="AA59" s="2167"/>
      <c r="AB59" s="2167"/>
      <c r="AC59" s="2167"/>
    </row>
    <row r="60" spans="1:29" s="1335" customFormat="1" ht="15.75" thickBot="1">
      <c r="A60" s="683"/>
      <c r="B60" s="674"/>
      <c r="C60" s="688"/>
      <c r="D60" s="688"/>
      <c r="E60" s="688"/>
      <c r="F60" s="688"/>
      <c r="G60" s="688"/>
      <c r="H60" s="689"/>
      <c r="I60" s="689"/>
      <c r="J60" s="689"/>
      <c r="K60" s="689"/>
      <c r="L60" s="689"/>
      <c r="M60" s="690"/>
      <c r="N60" s="2164"/>
      <c r="O60" s="2164"/>
      <c r="P60" s="2165"/>
      <c r="Q60" s="2166"/>
      <c r="R60" s="2167"/>
      <c r="S60" s="2167"/>
      <c r="T60" s="2167"/>
      <c r="U60" s="2167"/>
      <c r="V60" s="2167"/>
      <c r="W60" s="2167"/>
      <c r="X60" s="2167"/>
      <c r="Y60" s="2167"/>
      <c r="Z60" s="2167"/>
      <c r="AA60" s="2167"/>
      <c r="AB60" s="2167"/>
      <c r="AC60" s="2167"/>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61"/>
      <c r="O61" s="2161"/>
      <c r="P61" s="2171"/>
      <c r="Q61" s="2155"/>
      <c r="R61" s="2142"/>
      <c r="S61" s="2142"/>
      <c r="T61" s="2142"/>
      <c r="U61" s="2142"/>
      <c r="V61" s="2142"/>
      <c r="W61" s="2142"/>
      <c r="X61" s="2142"/>
      <c r="Y61" s="2142"/>
      <c r="Z61" s="2142"/>
      <c r="AA61" s="2142"/>
      <c r="AB61" s="2142"/>
      <c r="AC61" s="2142"/>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3"/>
      <c r="O62" s="2163"/>
      <c r="P62" s="2162"/>
      <c r="Q62" s="2155"/>
      <c r="R62" s="2142"/>
      <c r="S62" s="2142"/>
      <c r="T62" s="2142"/>
      <c r="U62" s="2142"/>
      <c r="V62" s="2142"/>
      <c r="W62" s="2142"/>
      <c r="X62" s="2142"/>
      <c r="Y62" s="2142"/>
      <c r="Z62" s="2142"/>
      <c r="AA62" s="2142"/>
      <c r="AB62" s="2142"/>
      <c r="AC62" s="2142"/>
    </row>
    <row r="63" spans="1:29" ht="15.75" thickTop="1">
      <c r="A63" s="665"/>
      <c r="B63" s="1893" t="s">
        <v>2552</v>
      </c>
      <c r="C63" s="704" t="s">
        <v>573</v>
      </c>
      <c r="D63" s="704" t="s">
        <v>574</v>
      </c>
      <c r="E63" s="704" t="s">
        <v>575</v>
      </c>
      <c r="F63" s="704" t="s">
        <v>576</v>
      </c>
      <c r="G63" s="704" t="s">
        <v>577</v>
      </c>
      <c r="H63" s="670"/>
      <c r="I63" s="670"/>
      <c r="J63" s="670"/>
      <c r="K63" s="671"/>
      <c r="L63" s="672"/>
      <c r="M63" s="673"/>
      <c r="N63" s="2161"/>
      <c r="O63" s="2161"/>
      <c r="P63" s="2162"/>
      <c r="Q63" s="2155"/>
      <c r="R63" s="2142"/>
      <c r="S63" s="2142"/>
      <c r="T63" s="2142"/>
      <c r="U63" s="2142"/>
      <c r="V63" s="2142"/>
      <c r="W63" s="2142"/>
      <c r="X63" s="2142"/>
      <c r="Y63" s="2142"/>
      <c r="Z63" s="2142"/>
      <c r="AA63" s="2142"/>
      <c r="AB63" s="2142"/>
      <c r="AC63" s="2142"/>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3"/>
      <c r="O64" s="2163"/>
      <c r="P64" s="2162"/>
      <c r="Q64" s="2155"/>
      <c r="R64" s="2142"/>
      <c r="S64" s="2142"/>
      <c r="T64" s="2142"/>
      <c r="U64" s="2142"/>
      <c r="V64" s="2142"/>
      <c r="W64" s="2142"/>
      <c r="X64" s="2142"/>
      <c r="Y64" s="2142"/>
      <c r="Z64" s="2142"/>
      <c r="AA64" s="2142"/>
      <c r="AB64" s="2142"/>
      <c r="AC64" s="2142"/>
    </row>
    <row r="65" spans="1:29" ht="15.75" thickTop="1">
      <c r="A65" s="665"/>
      <c r="B65" s="2594" t="s">
        <v>2553</v>
      </c>
      <c r="C65" s="2595" t="s">
        <v>2554</v>
      </c>
      <c r="D65" s="2595" t="s">
        <v>2555</v>
      </c>
      <c r="E65" s="2595" t="s">
        <v>2556</v>
      </c>
      <c r="F65" s="2595" t="s">
        <v>2557</v>
      </c>
      <c r="G65" s="2595" t="s">
        <v>2558</v>
      </c>
      <c r="H65" s="670"/>
      <c r="I65" s="670"/>
      <c r="J65" s="670"/>
      <c r="K65" s="670"/>
      <c r="L65" s="670"/>
      <c r="M65" s="2598"/>
      <c r="N65" s="2163"/>
      <c r="O65" s="2163"/>
      <c r="P65" s="2162"/>
      <c r="Q65" s="2155"/>
      <c r="R65" s="2142"/>
      <c r="S65" s="2142"/>
      <c r="T65" s="2142"/>
      <c r="U65" s="2142"/>
      <c r="V65" s="2142"/>
      <c r="W65" s="2142"/>
      <c r="X65" s="2142"/>
      <c r="Y65" s="2142"/>
      <c r="Z65" s="2142"/>
      <c r="AA65" s="2142"/>
      <c r="AB65" s="2142"/>
      <c r="AC65" s="2142"/>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3"/>
      <c r="O66" s="2163"/>
      <c r="P66" s="2162"/>
      <c r="Q66" s="2155"/>
      <c r="R66" s="2142"/>
      <c r="S66" s="2142"/>
      <c r="T66" s="2142"/>
      <c r="U66" s="2142"/>
      <c r="V66" s="2142"/>
      <c r="W66" s="2142"/>
      <c r="X66" s="2142"/>
      <c r="Y66" s="2142"/>
      <c r="Z66" s="2142"/>
      <c r="AA66" s="2142"/>
      <c r="AB66" s="2142"/>
      <c r="AC66" s="2142"/>
    </row>
    <row r="67" spans="1:29" ht="15.75" thickTop="1">
      <c r="A67" s="665"/>
      <c r="B67" s="669" t="s">
        <v>738</v>
      </c>
      <c r="C67" s="704" t="s">
        <v>573</v>
      </c>
      <c r="D67" s="704" t="s">
        <v>574</v>
      </c>
      <c r="E67" s="704" t="s">
        <v>575</v>
      </c>
      <c r="F67" s="704" t="s">
        <v>576</v>
      </c>
      <c r="G67" s="704" t="s">
        <v>577</v>
      </c>
      <c r="H67" s="670"/>
      <c r="I67" s="670"/>
      <c r="J67" s="670"/>
      <c r="K67" s="671"/>
      <c r="L67" s="672"/>
      <c r="M67" s="673"/>
      <c r="N67" s="2161"/>
      <c r="O67" s="2161"/>
      <c r="P67" s="2162"/>
      <c r="Q67" s="2155"/>
      <c r="R67" s="2142"/>
      <c r="S67" s="2142"/>
      <c r="T67" s="2142"/>
      <c r="U67" s="2142"/>
      <c r="V67" s="2142"/>
      <c r="W67" s="2142"/>
      <c r="X67" s="2142"/>
      <c r="Y67" s="2142"/>
      <c r="Z67" s="2142"/>
      <c r="AA67" s="2142"/>
      <c r="AB67" s="2142"/>
      <c r="AC67" s="2142"/>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3"/>
      <c r="O68" s="2163"/>
      <c r="P68" s="2162"/>
      <c r="Q68" s="2155"/>
      <c r="R68" s="2142"/>
      <c r="S68" s="2142"/>
      <c r="T68" s="2142"/>
      <c r="U68" s="2142"/>
      <c r="V68" s="2142"/>
      <c r="W68" s="2142"/>
      <c r="X68" s="2142"/>
      <c r="Y68" s="2142"/>
      <c r="Z68" s="2142"/>
      <c r="AA68" s="2142"/>
      <c r="AB68" s="2142"/>
      <c r="AC68" s="2142"/>
    </row>
    <row r="69" spans="1:29" ht="15.75" thickTop="1">
      <c r="A69" s="665"/>
      <c r="B69" s="669" t="s">
        <v>739</v>
      </c>
      <c r="C69" s="684"/>
      <c r="D69" s="684"/>
      <c r="E69" s="684"/>
      <c r="F69" s="684"/>
      <c r="G69" s="684"/>
      <c r="H69" s="714"/>
      <c r="I69" s="714"/>
      <c r="J69" s="714"/>
      <c r="K69" s="715"/>
      <c r="L69" s="716"/>
      <c r="M69" s="717"/>
      <c r="N69" s="2161"/>
      <c r="O69" s="2161"/>
      <c r="P69" s="2162"/>
      <c r="Q69" s="2155"/>
      <c r="R69" s="2142"/>
      <c r="S69" s="2142"/>
      <c r="T69" s="2142"/>
      <c r="U69" s="2142"/>
      <c r="V69" s="2142"/>
      <c r="W69" s="2142"/>
      <c r="X69" s="2142"/>
      <c r="Y69" s="2142"/>
      <c r="Z69" s="2142"/>
      <c r="AA69" s="2142"/>
      <c r="AB69" s="2142"/>
      <c r="AC69" s="2142"/>
    </row>
    <row r="70" spans="1:29" ht="15.75" thickBot="1">
      <c r="A70" s="665"/>
      <c r="B70" s="674"/>
      <c r="C70" s="675">
        <v>100</v>
      </c>
      <c r="D70" s="675">
        <f>C70-$K22</f>
        <v>100</v>
      </c>
      <c r="E70" s="675"/>
      <c r="F70" s="675"/>
      <c r="G70" s="675"/>
      <c r="H70" s="675"/>
      <c r="I70" s="675"/>
      <c r="J70" s="675"/>
      <c r="K70" s="675"/>
      <c r="L70" s="675"/>
      <c r="M70" s="676"/>
      <c r="N70" s="2163"/>
      <c r="O70" s="2163"/>
      <c r="P70" s="2162"/>
      <c r="Q70" s="2155"/>
      <c r="R70" s="2142"/>
      <c r="S70" s="2142"/>
      <c r="T70" s="2142"/>
      <c r="U70" s="2142"/>
      <c r="V70" s="2142"/>
      <c r="W70" s="2142"/>
      <c r="X70" s="2142"/>
      <c r="Y70" s="2142"/>
      <c r="Z70" s="2142"/>
      <c r="AA70" s="2142"/>
      <c r="AB70" s="2142"/>
      <c r="AC70" s="2142"/>
    </row>
    <row r="71" spans="1:29" s="1216" customFormat="1" ht="15.75" thickTop="1">
      <c r="A71" s="705"/>
      <c r="B71" s="669">
        <f>B23</f>
        <v>111</v>
      </c>
      <c r="C71" s="537"/>
      <c r="D71" s="537"/>
      <c r="E71" s="537"/>
      <c r="F71" s="537"/>
      <c r="G71" s="684"/>
      <c r="H71" s="684"/>
      <c r="I71" s="684"/>
      <c r="J71" s="684"/>
      <c r="K71" s="684"/>
      <c r="L71" s="886"/>
      <c r="M71" s="887"/>
      <c r="N71" s="2159"/>
      <c r="O71" s="2159"/>
      <c r="P71" s="2162"/>
      <c r="Q71" s="2155"/>
      <c r="R71" s="1990"/>
      <c r="S71" s="1990"/>
      <c r="T71" s="1990"/>
      <c r="U71" s="1990"/>
      <c r="V71" s="1990"/>
      <c r="W71" s="1990"/>
      <c r="X71" s="1990"/>
      <c r="Y71" s="1990"/>
      <c r="Z71" s="1990"/>
      <c r="AA71" s="1990"/>
      <c r="AB71" s="1990"/>
      <c r="AC71" s="1990"/>
    </row>
    <row r="72" spans="1:29" s="1216" customFormat="1" ht="15.75" thickBot="1">
      <c r="A72" s="705"/>
      <c r="B72" s="674"/>
      <c r="C72" s="688"/>
      <c r="D72" s="667"/>
      <c r="E72" s="667"/>
      <c r="F72" s="667"/>
      <c r="G72" s="667"/>
      <c r="H72" s="667"/>
      <c r="I72" s="667"/>
      <c r="J72" s="667"/>
      <c r="K72" s="667"/>
      <c r="L72" s="667"/>
      <c r="M72" s="668"/>
      <c r="N72" s="2163"/>
      <c r="O72" s="2163"/>
      <c r="P72" s="2162"/>
      <c r="Q72" s="2155"/>
      <c r="R72" s="1990"/>
      <c r="S72" s="1990"/>
      <c r="T72" s="1990"/>
      <c r="U72" s="1990"/>
      <c r="V72" s="1990"/>
      <c r="W72" s="1990"/>
      <c r="X72" s="1990"/>
      <c r="Y72" s="1990"/>
      <c r="Z72" s="1990"/>
      <c r="AA72" s="1990"/>
      <c r="AB72" s="1990"/>
      <c r="AC72" s="1990"/>
    </row>
    <row r="73" spans="1:29" s="1216" customFormat="1" ht="15.75" thickTop="1">
      <c r="A73" s="705"/>
      <c r="B73" s="669">
        <f>B24</f>
        <v>111</v>
      </c>
      <c r="C73" s="537"/>
      <c r="D73" s="537"/>
      <c r="E73" s="537"/>
      <c r="F73" s="537"/>
      <c r="G73" s="684"/>
      <c r="H73" s="684"/>
      <c r="I73" s="684"/>
      <c r="J73" s="684"/>
      <c r="K73" s="684"/>
      <c r="L73" s="684"/>
      <c r="M73" s="887"/>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5"/>
      <c r="B74" s="674"/>
      <c r="C74" s="688"/>
      <c r="D74" s="667"/>
      <c r="E74" s="667"/>
      <c r="F74" s="667"/>
      <c r="G74" s="667"/>
      <c r="H74" s="667"/>
      <c r="I74" s="667"/>
      <c r="J74" s="667"/>
      <c r="K74" s="667"/>
      <c r="L74" s="667"/>
      <c r="M74" s="668"/>
      <c r="N74" s="2163"/>
      <c r="O74" s="2163"/>
      <c r="P74" s="2162"/>
      <c r="Q74" s="2155"/>
      <c r="R74" s="1990"/>
      <c r="S74" s="1990"/>
      <c r="T74" s="1990"/>
      <c r="U74" s="1990"/>
      <c r="V74" s="1990"/>
      <c r="W74" s="1990"/>
      <c r="X74" s="1990"/>
      <c r="Y74" s="1990"/>
      <c r="Z74" s="1990"/>
      <c r="AA74" s="1990"/>
      <c r="AB74" s="1990"/>
      <c r="AC74" s="1990"/>
    </row>
    <row r="75" spans="1:29" s="1335" customFormat="1" ht="15.75" thickTop="1">
      <c r="A75" s="683"/>
      <c r="B75" s="669">
        <f>B25</f>
        <v>111</v>
      </c>
      <c r="C75" s="537"/>
      <c r="D75" s="537"/>
      <c r="E75" s="537"/>
      <c r="F75" s="537"/>
      <c r="G75" s="684"/>
      <c r="H75" s="685"/>
      <c r="I75" s="685"/>
      <c r="J75" s="685"/>
      <c r="K75" s="685"/>
      <c r="L75" s="686"/>
      <c r="M75" s="687"/>
      <c r="N75" s="2164"/>
      <c r="O75" s="2164"/>
      <c r="P75" s="2165"/>
      <c r="Q75" s="2166"/>
      <c r="R75" s="2167"/>
      <c r="S75" s="2167"/>
      <c r="T75" s="2167"/>
      <c r="U75" s="2167"/>
      <c r="V75" s="2167"/>
      <c r="W75" s="2167"/>
      <c r="X75" s="2167"/>
      <c r="Y75" s="2167"/>
      <c r="Z75" s="2167"/>
      <c r="AA75" s="2167"/>
      <c r="AB75" s="2167"/>
      <c r="AC75" s="2167"/>
    </row>
    <row r="76" spans="1:29" s="1335" customFormat="1" ht="15.75" thickBot="1">
      <c r="A76" s="683"/>
      <c r="B76" s="674"/>
      <c r="C76" s="688"/>
      <c r="D76" s="688"/>
      <c r="E76" s="688"/>
      <c r="F76" s="688"/>
      <c r="G76" s="667"/>
      <c r="H76" s="667"/>
      <c r="I76" s="667"/>
      <c r="J76" s="667"/>
      <c r="K76" s="667"/>
      <c r="L76" s="667"/>
      <c r="M76" s="668"/>
      <c r="N76" s="2164"/>
      <c r="O76" s="2164"/>
      <c r="P76" s="2165"/>
      <c r="Q76" s="2166"/>
      <c r="R76" s="2167"/>
      <c r="S76" s="2167"/>
      <c r="T76" s="2167"/>
      <c r="U76" s="2167"/>
      <c r="V76" s="2167"/>
      <c r="W76" s="2167"/>
      <c r="X76" s="2167"/>
      <c r="Y76" s="2167"/>
      <c r="Z76" s="2167"/>
      <c r="AA76" s="2167"/>
      <c r="AB76" s="2167"/>
      <c r="AC76" s="2167"/>
    </row>
    <row r="77" spans="1:29" ht="15" thickTop="1">
      <c r="A77" s="660" t="s">
        <v>545</v>
      </c>
      <c r="B77" s="661" t="s">
        <v>745</v>
      </c>
      <c r="C77" s="684"/>
      <c r="D77" s="684"/>
      <c r="E77" s="594"/>
      <c r="F77" s="594"/>
      <c r="G77" s="594"/>
      <c r="H77" s="594"/>
      <c r="I77" s="594"/>
      <c r="J77" s="594"/>
      <c r="K77" s="662"/>
      <c r="L77" s="663"/>
      <c r="M77" s="664"/>
      <c r="N77" s="2161"/>
      <c r="O77" s="2161"/>
      <c r="P77" s="2162"/>
      <c r="Q77" s="2155"/>
      <c r="R77" s="2142"/>
      <c r="S77" s="2142"/>
      <c r="T77" s="2142"/>
      <c r="U77" s="2142"/>
      <c r="V77" s="2142"/>
      <c r="W77" s="2142"/>
      <c r="X77" s="2142"/>
      <c r="Y77" s="2142"/>
      <c r="Z77" s="2142"/>
      <c r="AA77" s="2142"/>
      <c r="AB77" s="2142"/>
      <c r="AC77" s="2142"/>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5"/>
      <c r="B79" s="669" t="s">
        <v>810</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9"/>
      <c r="O79" s="2159"/>
      <c r="P79" s="2162"/>
      <c r="Q79" s="2155"/>
      <c r="R79" s="2142"/>
      <c r="S79" s="2142"/>
      <c r="T79" s="2142"/>
      <c r="U79" s="2142"/>
      <c r="V79" s="2142"/>
      <c r="W79" s="2142"/>
      <c r="X79" s="2142"/>
      <c r="Y79" s="2142"/>
      <c r="Z79" s="2142"/>
      <c r="AA79" s="2142"/>
      <c r="AB79" s="2142"/>
      <c r="AC79" s="2142"/>
    </row>
    <row r="80" spans="1:29" ht="15">
      <c r="A80" s="665"/>
      <c r="B80" s="677"/>
      <c r="C80" s="890">
        <v>0.5</v>
      </c>
      <c r="D80" s="890">
        <v>0.6</v>
      </c>
      <c r="E80" s="890">
        <v>0.7</v>
      </c>
      <c r="F80" s="890">
        <v>0.8</v>
      </c>
      <c r="G80" s="890">
        <v>0.9</v>
      </c>
      <c r="H80" s="890">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1"/>
      <c r="B82" s="677" t="s">
        <v>811</v>
      </c>
      <c r="C82" s="684"/>
      <c r="D82" s="684"/>
      <c r="E82" s="714"/>
      <c r="F82" s="714"/>
      <c r="G82" s="714"/>
      <c r="H82" s="714"/>
      <c r="I82" s="714"/>
      <c r="J82" s="714"/>
      <c r="K82" s="715"/>
      <c r="L82" s="716"/>
      <c r="M82" s="717"/>
      <c r="N82" s="2161"/>
      <c r="O82" s="2161"/>
      <c r="P82" s="2162"/>
      <c r="Q82" s="2155"/>
      <c r="R82" s="2142"/>
      <c r="S82" s="2142"/>
      <c r="T82" s="2142"/>
      <c r="U82" s="2142"/>
      <c r="V82" s="2142"/>
      <c r="W82" s="2142"/>
      <c r="X82" s="2142"/>
      <c r="Y82" s="2142"/>
      <c r="Z82" s="2142"/>
      <c r="AA82" s="2142"/>
      <c r="AB82" s="2142"/>
      <c r="AC82" s="2142"/>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1"/>
      <c r="B84" s="669" t="s">
        <v>819</v>
      </c>
      <c r="C84" s="684"/>
      <c r="D84" s="684"/>
      <c r="E84" s="684"/>
      <c r="F84" s="684"/>
      <c r="G84" s="684"/>
      <c r="H84" s="684"/>
      <c r="I84" s="714"/>
      <c r="J84" s="714"/>
      <c r="K84" s="715"/>
      <c r="L84" s="716"/>
      <c r="M84" s="717"/>
      <c r="N84" s="2161"/>
      <c r="O84" s="2161"/>
      <c r="P84" s="2162"/>
      <c r="Q84" s="2155"/>
      <c r="R84" s="2142"/>
      <c r="S84" s="2142"/>
      <c r="T84" s="2142"/>
      <c r="U84" s="2142"/>
      <c r="V84" s="2142"/>
      <c r="W84" s="2142"/>
      <c r="X84" s="2142"/>
      <c r="Y84" s="2142"/>
      <c r="Z84" s="2142"/>
      <c r="AA84" s="2142"/>
      <c r="AB84" s="2142"/>
      <c r="AC84" s="2142"/>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1"/>
      <c r="B86" s="677" t="s">
        <v>820</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1"/>
      <c r="O86" s="2161"/>
      <c r="P86" s="2162"/>
      <c r="Q86" s="2155"/>
      <c r="R86" s="2142"/>
      <c r="S86" s="2142"/>
      <c r="T86" s="2142"/>
      <c r="U86" s="2142"/>
      <c r="V86" s="2142"/>
      <c r="W86" s="2142"/>
      <c r="X86" s="2142"/>
      <c r="Y86" s="2142"/>
      <c r="Z86" s="2142"/>
      <c r="AA86" s="2142"/>
      <c r="AB86" s="2142"/>
      <c r="AC86" s="2142"/>
    </row>
    <row r="87" spans="1:29">
      <c r="A87" s="731"/>
      <c r="B87" s="677"/>
      <c r="C87" s="726"/>
      <c r="D87" s="726"/>
      <c r="E87" s="726"/>
      <c r="F87" s="726"/>
      <c r="G87" s="726"/>
      <c r="H87" s="726"/>
      <c r="I87" s="726"/>
      <c r="J87" s="727"/>
      <c r="K87" s="727"/>
      <c r="L87" s="728"/>
      <c r="M87" s="729"/>
      <c r="N87" s="2161"/>
      <c r="O87" s="2161"/>
      <c r="P87" s="2162"/>
      <c r="Q87" s="2155"/>
      <c r="R87" s="2142"/>
      <c r="S87" s="2142"/>
      <c r="T87" s="2142"/>
      <c r="U87" s="2142"/>
      <c r="V87" s="2142"/>
      <c r="W87" s="2142"/>
      <c r="X87" s="2142"/>
      <c r="Y87" s="2142"/>
      <c r="Z87" s="2142"/>
      <c r="AA87" s="2142"/>
      <c r="AB87" s="2142"/>
      <c r="AC87" s="2142"/>
    </row>
    <row r="88" spans="1:29" ht="15.75" thickBot="1">
      <c r="A88" s="665"/>
      <c r="B88" s="674"/>
      <c r="C88" s="688"/>
      <c r="D88" s="667"/>
      <c r="E88" s="667"/>
      <c r="F88" s="667"/>
      <c r="G88" s="667"/>
      <c r="H88" s="667"/>
      <c r="I88" s="667"/>
      <c r="J88" s="667"/>
      <c r="K88" s="667"/>
      <c r="L88" s="667"/>
      <c r="M88" s="667"/>
      <c r="N88" s="2163"/>
      <c r="O88" s="2163"/>
      <c r="P88" s="2162"/>
      <c r="Q88" s="2155"/>
      <c r="R88" s="2142"/>
      <c r="S88" s="2142"/>
      <c r="T88" s="2142"/>
      <c r="U88" s="2142"/>
      <c r="V88" s="2142"/>
      <c r="W88" s="2142"/>
      <c r="X88" s="2142"/>
      <c r="Y88" s="2142"/>
      <c r="Z88" s="2142"/>
      <c r="AA88" s="2142"/>
      <c r="AB88" s="2142"/>
      <c r="AC88" s="2142"/>
    </row>
    <row r="89" spans="1:29" s="1335" customFormat="1" ht="15" thickTop="1">
      <c r="A89" s="724"/>
      <c r="B89" s="669" t="s">
        <v>821</v>
      </c>
      <c r="C89" s="684"/>
      <c r="D89" s="684"/>
      <c r="E89" s="684"/>
      <c r="F89" s="684"/>
      <c r="G89" s="684"/>
      <c r="H89" s="684"/>
      <c r="I89" s="684"/>
      <c r="J89" s="684"/>
      <c r="K89" s="684"/>
      <c r="L89" s="684"/>
      <c r="M89" s="887"/>
      <c r="N89" s="2164"/>
      <c r="O89" s="2164"/>
      <c r="P89" s="2165"/>
      <c r="Q89" s="2166"/>
      <c r="R89" s="2167"/>
      <c r="S89" s="2167"/>
      <c r="T89" s="2167"/>
      <c r="U89" s="2167"/>
      <c r="V89" s="2167"/>
      <c r="W89" s="2167"/>
      <c r="X89" s="2167"/>
      <c r="Y89" s="2167"/>
      <c r="Z89" s="2167"/>
      <c r="AA89" s="2167"/>
      <c r="AB89" s="2167"/>
      <c r="AC89" s="2167"/>
    </row>
    <row r="90" spans="1:29" s="1335" customFormat="1" ht="15.75" thickBot="1">
      <c r="A90" s="683"/>
      <c r="B90" s="674"/>
      <c r="C90" s="688"/>
      <c r="D90" s="667"/>
      <c r="E90" s="667"/>
      <c r="F90" s="667"/>
      <c r="G90" s="667"/>
      <c r="H90" s="667"/>
      <c r="I90" s="667"/>
      <c r="J90" s="667"/>
      <c r="K90" s="667"/>
      <c r="L90" s="667"/>
      <c r="M90" s="668"/>
      <c r="N90" s="2164"/>
      <c r="O90" s="2164"/>
      <c r="P90" s="2165"/>
      <c r="Q90" s="2166"/>
      <c r="R90" s="2167"/>
      <c r="S90" s="2167"/>
      <c r="T90" s="2167"/>
      <c r="U90" s="2167"/>
      <c r="V90" s="2167"/>
      <c r="W90" s="2167"/>
      <c r="X90" s="2167"/>
      <c r="Y90" s="2167"/>
      <c r="Z90" s="2167"/>
      <c r="AA90" s="2167"/>
      <c r="AB90" s="2167"/>
      <c r="AC90" s="2167"/>
    </row>
    <row r="91" spans="1:29" ht="15" thickTop="1">
      <c r="A91" s="731"/>
      <c r="B91" s="669">
        <f>B32</f>
        <v>111</v>
      </c>
      <c r="C91" s="537"/>
      <c r="D91" s="537"/>
      <c r="E91" s="537"/>
      <c r="F91" s="537"/>
      <c r="G91" s="684"/>
      <c r="H91" s="685"/>
      <c r="I91" s="685"/>
      <c r="J91" s="685"/>
      <c r="K91" s="685"/>
      <c r="L91" s="686"/>
      <c r="M91" s="687"/>
      <c r="N91" s="2161"/>
      <c r="O91" s="2161"/>
      <c r="P91" s="2162"/>
      <c r="Q91" s="2155"/>
      <c r="R91" s="2142"/>
      <c r="S91" s="2142"/>
      <c r="T91" s="2142"/>
      <c r="U91" s="2142"/>
      <c r="V91" s="2142"/>
      <c r="W91" s="2142"/>
      <c r="X91" s="2142"/>
      <c r="Y91" s="2142"/>
      <c r="Z91" s="2142"/>
      <c r="AA91" s="2142"/>
      <c r="AB91" s="2142"/>
      <c r="AC91" s="2142"/>
    </row>
    <row r="92" spans="1:29" ht="15.75" thickBot="1">
      <c r="A92" s="665"/>
      <c r="B92" s="674"/>
      <c r="C92" s="688"/>
      <c r="D92" s="667"/>
      <c r="E92" s="667"/>
      <c r="F92" s="667"/>
      <c r="G92" s="688"/>
      <c r="H92" s="689"/>
      <c r="I92" s="689"/>
      <c r="J92" s="689"/>
      <c r="K92" s="689"/>
      <c r="L92" s="689"/>
      <c r="M92" s="690"/>
      <c r="N92" s="2163"/>
      <c r="O92" s="2163"/>
      <c r="P92" s="2162"/>
      <c r="Q92" s="2155"/>
      <c r="R92" s="2142"/>
      <c r="S92" s="2142"/>
      <c r="T92" s="2142"/>
      <c r="U92" s="2142"/>
      <c r="V92" s="2142"/>
      <c r="W92" s="2142"/>
      <c r="X92" s="2142"/>
      <c r="Y92" s="2142"/>
      <c r="Z92" s="2142"/>
      <c r="AA92" s="2142"/>
      <c r="AB92" s="2142"/>
      <c r="AC92" s="2142"/>
    </row>
    <row r="93" spans="1:29" ht="15" thickTop="1">
      <c r="A93" s="731"/>
      <c r="B93" s="669">
        <f>B33</f>
        <v>111</v>
      </c>
      <c r="C93" s="537"/>
      <c r="D93" s="537"/>
      <c r="E93" s="537"/>
      <c r="F93" s="537"/>
      <c r="G93" s="684"/>
      <c r="H93" s="685"/>
      <c r="I93" s="685"/>
      <c r="J93" s="685"/>
      <c r="K93" s="685"/>
      <c r="L93" s="686"/>
      <c r="M93" s="687"/>
      <c r="N93" s="2161"/>
      <c r="O93" s="2161"/>
      <c r="P93" s="2162"/>
      <c r="Q93" s="2155"/>
      <c r="R93" s="2142"/>
      <c r="S93" s="2142"/>
      <c r="T93" s="2142"/>
      <c r="U93" s="2142"/>
      <c r="V93" s="2142"/>
      <c r="W93" s="2142"/>
      <c r="X93" s="2142"/>
      <c r="Y93" s="2142"/>
      <c r="Z93" s="2142"/>
      <c r="AA93" s="2142"/>
      <c r="AB93" s="2142"/>
      <c r="AC93" s="2142"/>
    </row>
    <row r="94" spans="1:29" ht="15.75" thickBot="1">
      <c r="A94" s="665"/>
      <c r="B94" s="674"/>
      <c r="C94" s="688"/>
      <c r="D94" s="667"/>
      <c r="E94" s="667"/>
      <c r="F94" s="667"/>
      <c r="G94" s="688"/>
      <c r="H94" s="689"/>
      <c r="I94" s="689"/>
      <c r="J94" s="689"/>
      <c r="K94" s="689"/>
      <c r="L94" s="689"/>
      <c r="M94" s="690"/>
      <c r="N94" s="2163"/>
      <c r="O94" s="2163"/>
      <c r="P94" s="2162"/>
      <c r="Q94" s="2155"/>
      <c r="R94" s="2142"/>
      <c r="S94" s="2142"/>
      <c r="T94" s="2142"/>
      <c r="U94" s="2142"/>
      <c r="V94" s="2142"/>
      <c r="W94" s="2142"/>
      <c r="X94" s="2142"/>
      <c r="Y94" s="2142"/>
      <c r="Z94" s="2142"/>
      <c r="AA94" s="2142"/>
      <c r="AB94" s="2142"/>
      <c r="AC94" s="2142"/>
    </row>
    <row r="95" spans="1:29" ht="15" thickTop="1">
      <c r="A95" s="731"/>
      <c r="B95" s="913">
        <f>B34</f>
        <v>111</v>
      </c>
      <c r="C95" s="537"/>
      <c r="D95" s="537"/>
      <c r="E95" s="537"/>
      <c r="F95" s="537"/>
      <c r="G95" s="684"/>
      <c r="H95" s="685"/>
      <c r="I95" s="685"/>
      <c r="J95" s="685"/>
      <c r="K95" s="685"/>
      <c r="L95" s="686"/>
      <c r="M95" s="687"/>
      <c r="N95" s="2163"/>
      <c r="O95" s="2163"/>
      <c r="P95" s="2202"/>
      <c r="Q95" s="2203"/>
      <c r="R95" s="2142"/>
      <c r="S95" s="2142"/>
      <c r="T95" s="2142"/>
      <c r="U95" s="2142"/>
      <c r="V95" s="2142"/>
      <c r="W95" s="2142"/>
      <c r="X95" s="2142"/>
      <c r="Y95" s="2142"/>
      <c r="Z95" s="2142"/>
      <c r="AA95" s="2142"/>
      <c r="AB95" s="2142"/>
      <c r="AC95" s="2142"/>
    </row>
    <row r="96" spans="1:29" ht="15.75" thickBot="1">
      <c r="A96" s="665"/>
      <c r="B96" s="674"/>
      <c r="C96" s="688"/>
      <c r="D96" s="688"/>
      <c r="E96" s="688"/>
      <c r="F96" s="688"/>
      <c r="G96" s="688"/>
      <c r="H96" s="689"/>
      <c r="I96" s="689"/>
      <c r="J96" s="689"/>
      <c r="K96" s="689"/>
      <c r="L96" s="689"/>
      <c r="M96" s="690"/>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1"/>
      <c r="B1" s="2231" t="s">
        <v>2298</v>
      </c>
      <c r="C1" s="3643" t="s">
        <v>2299</v>
      </c>
      <c r="D1" s="3644"/>
      <c r="E1" s="3644"/>
      <c r="F1" s="3644"/>
      <c r="G1" s="3644"/>
      <c r="H1" s="3644"/>
      <c r="I1" s="3644"/>
      <c r="J1" s="3644"/>
      <c r="K1" s="3644"/>
      <c r="L1" s="3644"/>
      <c r="M1" s="3644"/>
      <c r="N1" s="3644"/>
      <c r="O1" s="3644"/>
      <c r="P1" s="3644"/>
      <c r="Q1" s="3644"/>
      <c r="R1" s="3644"/>
      <c r="S1" s="3645"/>
      <c r="T1" s="2231" t="s">
        <v>2300</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2301</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4"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6" t="s">
        <v>2923</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6" t="s">
        <v>2922</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5"/>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4"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4"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4"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2302</v>
      </c>
      <c r="B17" s="2275" t="s">
        <v>2303</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7"/>
      <c r="B19" s="944"/>
      <c r="C19" s="1987"/>
      <c r="D19" s="1987"/>
      <c r="E19" s="1987"/>
      <c r="F19" s="1987"/>
      <c r="G19" s="1987"/>
      <c r="H19" s="1987"/>
      <c r="I19" s="1987"/>
      <c r="J19" s="1987"/>
      <c r="K19" s="1987"/>
      <c r="L19" s="1987"/>
      <c r="M19" s="1987"/>
      <c r="N19" s="1987"/>
      <c r="O19" s="1987"/>
      <c r="P19" s="1987"/>
      <c r="Q19" s="1987"/>
      <c r="R19" s="2222"/>
      <c r="S19" s="2025"/>
    </row>
    <row r="20" spans="1:45" ht="15.75">
      <c r="A20" s="956" t="s">
        <v>822</v>
      </c>
      <c r="B20" s="771">
        <f>S22</f>
        <v>0</v>
      </c>
      <c r="C20" s="1987"/>
      <c r="D20" s="1987"/>
      <c r="E20" s="1987"/>
      <c r="F20" s="1987"/>
      <c r="G20" s="1987"/>
      <c r="H20" s="1987"/>
      <c r="I20" s="1987"/>
      <c r="J20" s="1987"/>
      <c r="K20" s="1987"/>
      <c r="L20" s="1987"/>
      <c r="M20" s="1987"/>
      <c r="N20" s="1987"/>
      <c r="O20" s="1987"/>
      <c r="P20" s="1987"/>
      <c r="Q20" s="1987"/>
      <c r="R20" s="2222"/>
      <c r="S20" s="2025"/>
    </row>
    <row r="21" spans="1:45" ht="15.75">
      <c r="A21" s="956" t="s">
        <v>823</v>
      </c>
      <c r="B21" s="771" t="e">
        <f>R22</f>
        <v>#DIV/0!</v>
      </c>
      <c r="C21" s="1987"/>
      <c r="D21" s="1987"/>
      <c r="E21" s="1987"/>
      <c r="F21" s="1987"/>
      <c r="G21" s="1987"/>
      <c r="H21" s="1987"/>
      <c r="I21" s="1987"/>
      <c r="J21" s="1987"/>
      <c r="K21" s="1987"/>
      <c r="L21" s="1987"/>
      <c r="M21" s="1987"/>
      <c r="N21" s="1987"/>
      <c r="O21" s="1987"/>
      <c r="P21" s="1987"/>
      <c r="Q21" s="1987"/>
      <c r="R21" s="2222"/>
      <c r="S21" s="2025"/>
    </row>
    <row r="22" spans="1:45">
      <c r="A22" s="795" t="s">
        <v>824</v>
      </c>
      <c r="B22" s="53">
        <f>SUM(B24:B10000)</f>
        <v>0</v>
      </c>
      <c r="C22" s="3640" t="s">
        <v>20</v>
      </c>
      <c r="D22" s="3641"/>
      <c r="E22" s="3641"/>
      <c r="F22" s="3641"/>
      <c r="G22" s="3641"/>
      <c r="H22" s="3641"/>
      <c r="I22" s="3641"/>
      <c r="J22" s="3641"/>
      <c r="K22" s="3641"/>
      <c r="L22" s="3641"/>
      <c r="M22" s="3641"/>
      <c r="N22" s="3641"/>
      <c r="O22" s="3641"/>
      <c r="P22" s="3641"/>
      <c r="Q22" s="3642"/>
      <c r="R22" s="486" t="e">
        <f>ROUND(S22*10000/B22,0)</f>
        <v>#DIV/0!</v>
      </c>
      <c r="S22" s="53">
        <f>SUM(S24:S10000)</f>
        <v>0</v>
      </c>
    </row>
    <row r="23" spans="1:45" s="1610" customFormat="1" ht="24">
      <c r="A23" s="17" t="s">
        <v>825</v>
      </c>
      <c r="B23" s="17" t="s">
        <v>826</v>
      </c>
      <c r="C23" s="17" t="s">
        <v>827</v>
      </c>
      <c r="D23" s="17" t="str">
        <f>B5</f>
        <v>修正项2</v>
      </c>
      <c r="E23" s="17" t="s">
        <v>827</v>
      </c>
      <c r="F23" s="17" t="str">
        <f>B7</f>
        <v>修正项3</v>
      </c>
      <c r="G23" s="17" t="s">
        <v>827</v>
      </c>
      <c r="H23" s="17" t="str">
        <f>B9</f>
        <v>修正项4</v>
      </c>
      <c r="I23" s="17" t="s">
        <v>827</v>
      </c>
      <c r="J23" s="17" t="str">
        <f>B11</f>
        <v>修正项5</v>
      </c>
      <c r="K23" s="17" t="s">
        <v>827</v>
      </c>
      <c r="L23" s="17" t="str">
        <f>B13</f>
        <v>修正项6</v>
      </c>
      <c r="M23" s="17" t="s">
        <v>827</v>
      </c>
      <c r="N23" s="17" t="str">
        <f>B15</f>
        <v>修正项7</v>
      </c>
      <c r="O23" s="17" t="s">
        <v>827</v>
      </c>
      <c r="P23" s="17" t="str">
        <f>B17</f>
        <v>楼层</v>
      </c>
      <c r="Q23" s="17" t="s">
        <v>827</v>
      </c>
      <c r="R23" s="487" t="s">
        <v>828</v>
      </c>
      <c r="S23" s="17" t="s">
        <v>829</v>
      </c>
      <c r="T23" s="18"/>
      <c r="U23" s="18"/>
      <c r="V23" s="18"/>
      <c r="W23" s="18"/>
      <c r="X23" s="18"/>
      <c r="Y23" s="18"/>
      <c r="Z23" s="18"/>
      <c r="AA23" s="18"/>
      <c r="AB23" s="18"/>
      <c r="AC23" s="18"/>
      <c r="AD23" s="18"/>
      <c r="AE23" s="18"/>
      <c r="AF23" s="18"/>
      <c r="AG23" s="18"/>
      <c r="AH23" s="18"/>
      <c r="AI23" s="18"/>
    </row>
    <row r="24" spans="1:45" s="1611" customFormat="1">
      <c r="A24" s="957" t="s">
        <v>830</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2783</v>
      </c>
      <c r="C1" s="3001">
        <f>项目基本情况!D3</f>
        <v>43388</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2814</v>
      </c>
      <c r="C2" s="3002">
        <f>'数据-取费表'!B22</f>
        <v>3</v>
      </c>
      <c r="D2" s="2997" t="s">
        <v>2784</v>
      </c>
      <c r="E2" s="3000">
        <f ca="1">INDIRECT("I"&amp;$I$1)/100</f>
        <v>4.7500000000000001E-2</v>
      </c>
      <c r="G2" s="2937"/>
      <c r="H2" s="2937"/>
      <c r="I2" s="2937" t="s">
        <v>2785</v>
      </c>
      <c r="K2" s="2937"/>
      <c r="L2" s="2937"/>
      <c r="M2" s="2937"/>
      <c r="N2" s="2937" t="s">
        <v>2786</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2816</v>
      </c>
      <c r="C3" s="2999">
        <f>'数据-取费表'!B19</f>
        <v>0</v>
      </c>
      <c r="D3" s="2997" t="s">
        <v>2784</v>
      </c>
      <c r="E3" s="3000">
        <f ca="1">INDIRECT("J"&amp;$J$1)/100</f>
        <v>0</v>
      </c>
      <c r="G3" s="2939" t="s">
        <v>2787</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2815</v>
      </c>
      <c r="C4" s="3000">
        <f ca="1">N4/100</f>
        <v>1.4999999999999999E-2</v>
      </c>
      <c r="G4" s="2945" t="s">
        <v>2788</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2789</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2790</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2791</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2792</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2793</v>
      </c>
      <c r="C10" s="2964"/>
      <c r="D10" s="2964"/>
      <c r="E10" s="2964"/>
      <c r="F10" s="2964"/>
      <c r="G10" s="2964"/>
      <c r="H10" s="2964"/>
      <c r="I10" s="2938"/>
      <c r="J10" s="2938"/>
      <c r="K10" s="2964"/>
      <c r="L10" s="2965" t="s">
        <v>2794</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2795</v>
      </c>
      <c r="C11" s="2969" t="s">
        <v>2796</v>
      </c>
      <c r="D11" s="2970" t="s">
        <v>2797</v>
      </c>
      <c r="E11" s="2971"/>
      <c r="F11" s="2970" t="s">
        <v>2798</v>
      </c>
      <c r="G11" s="2972"/>
      <c r="H11" s="2971"/>
      <c r="I11" s="2970" t="s">
        <v>2799</v>
      </c>
      <c r="J11" s="2971"/>
      <c r="K11" s="2967"/>
      <c r="L11" s="2968" t="s">
        <v>2795</v>
      </c>
      <c r="M11" s="2969" t="s">
        <v>2796</v>
      </c>
      <c r="N11" s="2968" t="s">
        <v>2800</v>
      </c>
      <c r="O11" s="2970" t="s">
        <v>2801</v>
      </c>
      <c r="P11" s="2972"/>
      <c r="Q11" s="2972"/>
      <c r="R11" s="2972"/>
      <c r="S11" s="2972"/>
      <c r="T11" s="2971"/>
      <c r="U11" s="2970" t="s">
        <v>2802</v>
      </c>
      <c r="V11" s="2972"/>
      <c r="W11" s="2971"/>
      <c r="X11" s="2968" t="s">
        <v>2803</v>
      </c>
      <c r="Y11" s="2968" t="s">
        <v>2804</v>
      </c>
      <c r="Z11" s="2968" t="s">
        <v>2805</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2806</v>
      </c>
      <c r="E12" s="2977" t="s">
        <v>2807</v>
      </c>
      <c r="F12" s="2977" t="s">
        <v>2808</v>
      </c>
      <c r="G12" s="2977" t="s">
        <v>2809</v>
      </c>
      <c r="H12" s="2977" t="s">
        <v>2791</v>
      </c>
      <c r="I12" s="2978" t="s">
        <v>2810</v>
      </c>
      <c r="J12" s="2978" t="s">
        <v>2810</v>
      </c>
      <c r="K12" s="2974"/>
      <c r="L12" s="2975"/>
      <c r="M12" s="2976"/>
      <c r="N12" s="2975"/>
      <c r="O12" s="2978" t="s">
        <v>2811</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2812</v>
      </c>
      <c r="C13" s="2982">
        <v>42301</v>
      </c>
      <c r="D13" s="2983">
        <v>4.3499999999999996</v>
      </c>
      <c r="E13" s="2983">
        <v>4.3499999999999996</v>
      </c>
      <c r="F13" s="2983">
        <v>4.75</v>
      </c>
      <c r="G13" s="2983">
        <v>4.75</v>
      </c>
      <c r="H13" s="2983">
        <v>4.9000000000000004</v>
      </c>
      <c r="I13" s="2983">
        <v>2.75</v>
      </c>
      <c r="J13" s="2983">
        <v>3.25</v>
      </c>
      <c r="K13" s="2980"/>
      <c r="L13" s="2981" t="s">
        <v>2812</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2813</v>
      </c>
      <c r="Y42" s="2987" t="s">
        <v>2813</v>
      </c>
      <c r="Z42" s="2987" t="s">
        <v>2813</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2813</v>
      </c>
      <c r="Y43" s="2987" t="s">
        <v>2813</v>
      </c>
      <c r="Z43" s="2987" t="s">
        <v>2813</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2813</v>
      </c>
      <c r="Y44" s="2987" t="s">
        <v>2813</v>
      </c>
      <c r="Z44" s="2987" t="s">
        <v>2813</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2813</v>
      </c>
      <c r="Y45" s="2987" t="s">
        <v>2813</v>
      </c>
      <c r="Z45" s="2987" t="s">
        <v>2813</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2813</v>
      </c>
      <c r="Y46" s="2987" t="s">
        <v>2813</v>
      </c>
      <c r="Z46" s="2987" t="s">
        <v>2813</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2813</v>
      </c>
      <c r="Y47" s="2987" t="s">
        <v>2813</v>
      </c>
      <c r="Z47" s="2987" t="s">
        <v>2813</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2813</v>
      </c>
      <c r="Y48" s="2987" t="s">
        <v>2813</v>
      </c>
      <c r="Z48" s="2987" t="s">
        <v>2813</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2813</v>
      </c>
      <c r="Y49" s="2987" t="s">
        <v>2813</v>
      </c>
      <c r="Z49" s="2987" t="s">
        <v>2813</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2813</v>
      </c>
      <c r="Y50" s="2987" t="s">
        <v>2813</v>
      </c>
      <c r="Z50" s="2987" t="s">
        <v>2813</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2813</v>
      </c>
      <c r="V51" s="2987" t="s">
        <v>2813</v>
      </c>
      <c r="W51" s="2987" t="s">
        <v>2813</v>
      </c>
      <c r="X51" s="2987" t="s">
        <v>2813</v>
      </c>
      <c r="Y51" s="2987" t="s">
        <v>2813</v>
      </c>
      <c r="Z51" s="2987" t="s">
        <v>2813</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2813</v>
      </c>
      <c r="J55" s="2987" t="s">
        <v>2813</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1" sqref="M11"/>
    </sheetView>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320" t="s">
        <v>2060</v>
      </c>
      <c r="B1" s="3320"/>
      <c r="C1" s="3320"/>
      <c r="D1" s="3320"/>
    </row>
    <row r="2" spans="1:4" ht="47.25" customHeight="1">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spans="1:4" ht="48" customHeight="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0"/>
      <c r="C3" s="3320"/>
      <c r="D3" s="3320"/>
    </row>
    <row r="4" spans="1:4" ht="36.75" customHeight="1">
      <c r="A4" s="3320" t="str">
        <f>"3.估价规划限制条件：详见"&amp;项目基本情况!E21&amp;"。"</f>
        <v>3.估价规划限制条件：详见《建设工程规划许可证》[]、《出让合同》[]。</v>
      </c>
      <c r="B4" s="3320"/>
      <c r="C4" s="3320"/>
      <c r="D4" s="3320"/>
    </row>
    <row r="5" spans="1:4">
      <c r="A5" s="3323" t="s">
        <v>2061</v>
      </c>
      <c r="B5" s="3323"/>
      <c r="C5" s="3323"/>
      <c r="D5" s="3323"/>
    </row>
    <row r="6" spans="1:4">
      <c r="A6" s="3320" t="s">
        <v>2039</v>
      </c>
      <c r="B6" s="3320"/>
      <c r="C6" s="3320"/>
      <c r="D6" s="3320"/>
    </row>
    <row r="7" spans="1:4" ht="33" customHeight="1">
      <c r="A7" s="3320" t="s">
        <v>2570</v>
      </c>
      <c r="B7" s="3320"/>
      <c r="C7" s="3320"/>
      <c r="D7" s="3320"/>
    </row>
    <row r="8" spans="1:4" ht="32.25" customHeight="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0"/>
      <c r="C8" s="3320"/>
      <c r="D8" s="3320"/>
    </row>
    <row r="9" spans="1:4" ht="33.75" customHeight="1">
      <c r="A9" s="3320" t="str">
        <f>IF(项目基本情况!B8="抵押","3.抵押双方在办理抵押登记手续时，应使用本公司出具的正式《土地估价报告》，特提请报告使用者注意。","——")</f>
        <v>——</v>
      </c>
      <c r="B9" s="3320"/>
      <c r="C9" s="3320"/>
      <c r="D9" s="3320"/>
    </row>
    <row r="10" spans="1:4">
      <c r="A10" s="3320" t="str">
        <f>IF(项目基本情况!B8="抵押","4.估价师所知悉的法定优先受偿款情况为：","——")</f>
        <v>——</v>
      </c>
      <c r="B10" s="3320"/>
      <c r="C10" s="3320"/>
      <c r="D10" s="3320"/>
    </row>
    <row r="11" spans="1:4" ht="37.5" customHeight="1">
      <c r="A11" s="3322" t="str">
        <f>IF(项目基本情况!B8="抵押","（1）"&amp;CONCATENATE(项目基本情况!L24,项目基本情况!L25,项目基本情况!L26),"——")</f>
        <v>——</v>
      </c>
      <c r="B11" s="3322"/>
      <c r="C11" s="3322"/>
      <c r="D11" s="3322"/>
    </row>
    <row r="12" spans="1:4" ht="168" customHeight="1">
      <c r="A12" s="3323" t="s">
        <v>2063</v>
      </c>
      <c r="B12" s="3323"/>
      <c r="C12" s="3323"/>
      <c r="D12" s="3323"/>
    </row>
    <row r="13" spans="1:4">
      <c r="A13" s="3321" t="s">
        <v>2741</v>
      </c>
      <c r="B13" s="3321"/>
      <c r="C13" s="3321"/>
      <c r="D13" s="3321"/>
    </row>
    <row r="14" spans="1:4">
      <c r="A14" s="3322" t="str">
        <f>IF(项目基本情况!B8="抵押","综上，"&amp;'结果表-住宅'!K47,"——")</f>
        <v>——</v>
      </c>
      <c r="B14" s="3322"/>
      <c r="C14" s="3322"/>
      <c r="D14" s="3322"/>
    </row>
    <row r="15" spans="1:4" ht="58.5" customHeight="1">
      <c r="A15" s="3320" t="str">
        <f>IF('结果表-住宅'!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0"/>
      <c r="C15" s="3320"/>
      <c r="D15" s="3320"/>
    </row>
    <row r="16" spans="1:4" ht="70.5" customHeight="1">
      <c r="A16" s="3320" t="str">
        <f>IF('结果表-住宅'!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0"/>
      <c r="C16" s="3320"/>
      <c r="D16" s="3320"/>
    </row>
    <row r="17" spans="1:4">
      <c r="A17" s="3320" t="s">
        <v>2697</v>
      </c>
      <c r="B17" s="3320"/>
      <c r="C17" s="3320"/>
      <c r="D17" s="3320"/>
    </row>
    <row r="18" spans="1:4">
      <c r="A18" s="3320" t="s">
        <v>2689</v>
      </c>
      <c r="B18" s="3320"/>
      <c r="C18" s="3320"/>
      <c r="D18" s="3320"/>
    </row>
    <row r="19" spans="1:4">
      <c r="A19" s="2865" t="s">
        <v>2690</v>
      </c>
      <c r="B19" s="2865" t="s">
        <v>2691</v>
      </c>
      <c r="C19" s="2865" t="s">
        <v>2692</v>
      </c>
      <c r="D19" s="2865" t="s">
        <v>2693</v>
      </c>
    </row>
    <row r="20" spans="1:4">
      <c r="A20" s="2865" t="str">
        <f>项目基本情况!B4</f>
        <v>叶凌</v>
      </c>
      <c r="B20" s="2865">
        <f ca="1">项目基本情况!C4</f>
        <v>94010078</v>
      </c>
      <c r="C20" s="2867"/>
      <c r="D20" s="1797" t="s">
        <v>2698</v>
      </c>
    </row>
    <row r="21" spans="1:4">
      <c r="A21" s="2865" t="str">
        <f>项目基本情况!D4</f>
        <v>杨红英</v>
      </c>
      <c r="B21" s="2865">
        <f>项目基本情况!E4</f>
        <v>2004110128</v>
      </c>
      <c r="C21" s="2867"/>
      <c r="D21" s="1797" t="s">
        <v>2699</v>
      </c>
    </row>
    <row r="23" spans="1:4">
      <c r="A23" s="3320" t="s">
        <v>2694</v>
      </c>
      <c r="B23" s="3320"/>
      <c r="C23" s="3320"/>
      <c r="D23" s="3320"/>
    </row>
    <row r="24" spans="1:4">
      <c r="A24" s="2865" t="s">
        <v>2690</v>
      </c>
      <c r="B24" s="2865" t="s">
        <v>2695</v>
      </c>
      <c r="C24" s="2865" t="s">
        <v>2692</v>
      </c>
      <c r="D24" s="2865" t="s">
        <v>2693</v>
      </c>
    </row>
    <row r="25" spans="1:4">
      <c r="A25" s="2868" t="s">
        <v>2696</v>
      </c>
      <c r="B25" s="2865" t="s">
        <v>946</v>
      </c>
      <c r="C25" s="2867"/>
      <c r="D25" s="1797" t="s">
        <v>2699</v>
      </c>
    </row>
    <row r="29" spans="1:4">
      <c r="D29" s="2866" t="s">
        <v>2034</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866</v>
      </c>
    </row>
    <row r="13" spans="1:7">
      <c r="A13" s="1167" t="s">
        <v>52</v>
      </c>
    </row>
    <row r="15" spans="1:7" ht="14.25">
      <c r="A15" s="3332" t="s">
        <v>53</v>
      </c>
      <c r="B15" s="3333" t="s">
        <v>840</v>
      </c>
      <c r="C15" s="3329"/>
    </row>
    <row r="16" spans="1:7" ht="14.25">
      <c r="A16" s="3332"/>
      <c r="B16" s="3330" t="s">
        <v>54</v>
      </c>
      <c r="C16" s="1168" t="s">
        <v>53</v>
      </c>
    </row>
    <row r="17" spans="1:3" ht="14.25">
      <c r="A17" s="3332"/>
      <c r="B17" s="3330"/>
      <c r="C17" s="1168" t="s">
        <v>55</v>
      </c>
    </row>
    <row r="18" spans="1:3" ht="14.25">
      <c r="A18" s="3332"/>
      <c r="B18" s="3330"/>
      <c r="C18" s="1168" t="s">
        <v>56</v>
      </c>
    </row>
    <row r="19" spans="1:3" ht="14.25">
      <c r="A19" s="3332"/>
      <c r="B19" s="3328" t="s">
        <v>57</v>
      </c>
      <c r="C19" s="3329"/>
    </row>
    <row r="20" spans="1:3" ht="14.25">
      <c r="A20" s="1169" t="s">
        <v>58</v>
      </c>
      <c r="B20" s="1170"/>
      <c r="C20" s="1171"/>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72" t="s">
        <v>831</v>
      </c>
    </row>
    <row r="25" spans="1:3" ht="14.25">
      <c r="A25" s="3331"/>
      <c r="B25" s="3335"/>
      <c r="C25" s="1172" t="s">
        <v>832</v>
      </c>
    </row>
    <row r="26" spans="1:3" ht="14.25">
      <c r="A26" s="3331"/>
      <c r="B26" s="3335"/>
      <c r="C26" s="1172" t="s">
        <v>833</v>
      </c>
    </row>
    <row r="27" spans="1:3" ht="14.25">
      <c r="A27" s="3331"/>
      <c r="B27" s="3335"/>
      <c r="C27" s="1172" t="s">
        <v>834</v>
      </c>
    </row>
    <row r="28" spans="1:3" ht="14.25">
      <c r="A28" s="3331"/>
      <c r="B28" s="3335"/>
      <c r="C28" s="1172" t="s">
        <v>835</v>
      </c>
    </row>
    <row r="29" spans="1:3" ht="14.25">
      <c r="A29" s="3331"/>
      <c r="B29" s="3335"/>
      <c r="C29" s="1172" t="s">
        <v>836</v>
      </c>
    </row>
    <row r="30" spans="1:3" ht="14.25">
      <c r="A30" s="3331"/>
      <c r="B30" s="3335"/>
      <c r="C30" s="1172" t="s">
        <v>837</v>
      </c>
    </row>
    <row r="31" spans="1:3" ht="14.25">
      <c r="A31" s="3331"/>
      <c r="B31" s="3335"/>
      <c r="C31" s="1172" t="s">
        <v>838</v>
      </c>
    </row>
    <row r="32" spans="1:3" ht="14.25">
      <c r="A32" s="3331"/>
      <c r="B32" s="3335"/>
      <c r="C32" s="1172" t="s">
        <v>1641</v>
      </c>
    </row>
    <row r="33" spans="1:3" ht="14.25">
      <c r="A33" s="3331"/>
      <c r="B33" s="3325" t="s">
        <v>1647</v>
      </c>
      <c r="C33" s="1172" t="s">
        <v>1642</v>
      </c>
    </row>
    <row r="34" spans="1:3" ht="14.25">
      <c r="A34" s="3331"/>
      <c r="B34" s="3326"/>
      <c r="C34" s="1177" t="s">
        <v>1643</v>
      </c>
    </row>
    <row r="35" spans="1:3" ht="14.25">
      <c r="A35" s="3331"/>
      <c r="B35" s="3326"/>
      <c r="C35" s="1178" t="s">
        <v>1644</v>
      </c>
    </row>
    <row r="36" spans="1:3" ht="14.25">
      <c r="A36" s="3331"/>
      <c r="B36" s="3326"/>
      <c r="C36" s="1178" t="s">
        <v>1645</v>
      </c>
    </row>
    <row r="37" spans="1:3" ht="14.25">
      <c r="A37" s="3331"/>
      <c r="B37" s="3327"/>
      <c r="C37" s="1179" t="s">
        <v>1646</v>
      </c>
    </row>
    <row r="38" spans="1:3">
      <c r="A38" s="1173" t="s">
        <v>839</v>
      </c>
    </row>
    <row r="41" spans="1:3">
      <c r="A41" s="1173" t="s">
        <v>68</v>
      </c>
    </row>
    <row r="42" spans="1:3" ht="14.25">
      <c r="A42" s="1174" t="s">
        <v>847</v>
      </c>
    </row>
    <row r="43" spans="1:3" ht="14.25">
      <c r="A43" s="1175" t="s">
        <v>69</v>
      </c>
    </row>
    <row r="44" spans="1:3" ht="14.25">
      <c r="A44" s="1174" t="s">
        <v>846</v>
      </c>
    </row>
    <row r="45" spans="1:3" ht="14.25">
      <c r="A45" s="1176" t="s">
        <v>848</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1900</v>
      </c>
      <c r="B2" s="1653">
        <f ca="1">TODAY()</f>
        <v>43451</v>
      </c>
      <c r="C2" s="2336" t="s">
        <v>1901</v>
      </c>
      <c r="D2" s="2337"/>
    </row>
    <row r="3" spans="1:6" ht="20.25" customHeight="1">
      <c r="A3" s="2339" t="s">
        <v>1902</v>
      </c>
      <c r="B3" s="2340" t="s">
        <v>1903</v>
      </c>
      <c r="C3" s="2340" t="s">
        <v>1904</v>
      </c>
      <c r="D3" s="2341" t="s">
        <v>1905</v>
      </c>
      <c r="E3" s="2340" t="s">
        <v>1906</v>
      </c>
      <c r="F3" s="2340" t="s">
        <v>1904</v>
      </c>
    </row>
    <row r="4" spans="1:6" ht="20.25" customHeight="1">
      <c r="A4" s="2340" t="s">
        <v>1907</v>
      </c>
      <c r="B4" s="2340">
        <f ca="1">IF(C4&lt;B2,"已过期",1119970066)</f>
        <v>1119970066</v>
      </c>
      <c r="C4" s="3003">
        <v>43849</v>
      </c>
      <c r="D4" s="2340" t="s">
        <v>1907</v>
      </c>
      <c r="E4" s="2340">
        <f ca="1">IF(F4&lt;B2,"已过期",96010014)</f>
        <v>96010014</v>
      </c>
      <c r="F4" s="3004">
        <v>47118</v>
      </c>
    </row>
    <row r="5" spans="1:6" ht="20.25" customHeight="1">
      <c r="A5" s="2340" t="s">
        <v>1908</v>
      </c>
      <c r="B5" s="2340">
        <f ca="1">IF(C5&lt;B2,"已过期",1119970074)</f>
        <v>1119970074</v>
      </c>
      <c r="C5" s="3003">
        <v>43849</v>
      </c>
      <c r="D5" s="2340" t="s">
        <v>1908</v>
      </c>
      <c r="E5" s="2340">
        <f ca="1">IF(F5&lt;B2,"已过期",2002110027)</f>
        <v>2002110027</v>
      </c>
      <c r="F5" s="3004">
        <v>46752</v>
      </c>
    </row>
    <row r="6" spans="1:6" ht="20.25" customHeight="1">
      <c r="A6" s="2340" t="s">
        <v>1909</v>
      </c>
      <c r="B6" s="2340">
        <f ca="1">IF(C6&lt;B2,"已过期",1119970111)</f>
        <v>1119970111</v>
      </c>
      <c r="C6" s="3003">
        <v>43849</v>
      </c>
      <c r="D6" s="2340" t="s">
        <v>1909</v>
      </c>
      <c r="E6" s="2340">
        <f ca="1">IF(F6&lt;B2,"已过期",94010078)</f>
        <v>94010078</v>
      </c>
      <c r="F6" s="3004">
        <v>46387</v>
      </c>
    </row>
    <row r="7" spans="1:6" ht="20.25" customHeight="1">
      <c r="A7" s="2340" t="s">
        <v>1910</v>
      </c>
      <c r="B7" s="2340">
        <f ca="1">IF(C7&lt;B2,"已过期",1120050019)</f>
        <v>1120050019</v>
      </c>
      <c r="C7" s="3003">
        <v>44395</v>
      </c>
      <c r="D7" s="2340" t="s">
        <v>1910</v>
      </c>
      <c r="E7" s="2340">
        <f ca="1">IF(F7&lt;B2,"已过期",2002110030)</f>
        <v>2002110030</v>
      </c>
      <c r="F7" s="3004">
        <v>46387</v>
      </c>
    </row>
    <row r="8" spans="1:6" ht="20.25" customHeight="1">
      <c r="A8" s="2340" t="s">
        <v>1911</v>
      </c>
      <c r="B8" s="2340">
        <f ca="1">IF(C8&lt;B2,"已过期",1120000080)</f>
        <v>1120000080</v>
      </c>
      <c r="C8" s="3003">
        <v>43849</v>
      </c>
      <c r="D8" s="2340" t="s">
        <v>1911</v>
      </c>
      <c r="E8" s="2340">
        <f ca="1">IF(F8&lt;B2,"已过期",2000110082)</f>
        <v>2000110082</v>
      </c>
      <c r="F8" s="3004">
        <v>46387</v>
      </c>
    </row>
    <row r="9" spans="1:6" ht="20.25" customHeight="1">
      <c r="A9" s="2340" t="s">
        <v>1912</v>
      </c>
      <c r="B9" s="2340">
        <f ca="1">IF(C9&lt;B2,"已过期",1419970001)</f>
        <v>1419970001</v>
      </c>
      <c r="C9" s="3003">
        <v>43867</v>
      </c>
      <c r="D9" s="2340" t="s">
        <v>1912</v>
      </c>
      <c r="E9" s="2340">
        <f ca="1">IF(F9&lt;B2,"已过期",2002110125)</f>
        <v>2002110125</v>
      </c>
      <c r="F9" s="3004">
        <v>47118</v>
      </c>
    </row>
    <row r="10" spans="1:6" ht="20.25" customHeight="1">
      <c r="A10" s="2340" t="s">
        <v>1913</v>
      </c>
      <c r="B10" s="2340">
        <f ca="1">IF(C10&lt;B2,"已过期",1120060040)</f>
        <v>1120060040</v>
      </c>
      <c r="C10" s="3003">
        <v>43483</v>
      </c>
      <c r="D10" s="2340" t="s">
        <v>1913</v>
      </c>
      <c r="E10" s="2340">
        <f ca="1">IF(F10&lt;B2,"已过期",2004110096)</f>
        <v>2004110096</v>
      </c>
      <c r="F10" s="3004">
        <v>47118</v>
      </c>
    </row>
    <row r="11" spans="1:6" ht="20.25" customHeight="1">
      <c r="A11" s="2340" t="s">
        <v>1914</v>
      </c>
      <c r="B11" s="2340">
        <f ca="1">IF(C11&lt;B2,"已过期",1120100036)</f>
        <v>1120100036</v>
      </c>
      <c r="C11" s="3003">
        <v>43622</v>
      </c>
      <c r="D11" s="2340" t="s">
        <v>1914</v>
      </c>
      <c r="E11" s="2340">
        <f ca="1">IF(F11&lt;B2,"已过期",2010110070)</f>
        <v>2010110070</v>
      </c>
      <c r="F11" s="3004">
        <v>47907</v>
      </c>
    </row>
    <row r="12" spans="1:6" ht="20.25" customHeight="1">
      <c r="A12" s="2340" t="s">
        <v>2974</v>
      </c>
      <c r="B12" s="2340">
        <v>1120110054</v>
      </c>
      <c r="C12" s="3003">
        <v>43937</v>
      </c>
      <c r="D12" s="2340" t="s">
        <v>2974</v>
      </c>
      <c r="E12" s="2340">
        <v>2008110060</v>
      </c>
      <c r="F12" s="3004">
        <v>47177</v>
      </c>
    </row>
    <row r="13" spans="1:6" ht="20.25" customHeight="1">
      <c r="A13" s="2340" t="s">
        <v>1915</v>
      </c>
      <c r="B13" s="2340">
        <f ca="1">IF(C13&lt;B2,"已过期",1120070131)</f>
        <v>1120070131</v>
      </c>
      <c r="C13" s="3003">
        <v>43814</v>
      </c>
      <c r="D13" s="2340" t="s">
        <v>1915</v>
      </c>
      <c r="E13" s="2340">
        <v>2014110011</v>
      </c>
      <c r="F13" s="3004">
        <v>49302</v>
      </c>
    </row>
    <row r="14" spans="1:6" ht="20.25" customHeight="1">
      <c r="A14" s="2340" t="s">
        <v>1916</v>
      </c>
      <c r="B14" s="2340">
        <f ca="1">IF(C14&lt;B2,"已过期",1120130020)</f>
        <v>1120130020</v>
      </c>
      <c r="C14" s="3003">
        <v>43622</v>
      </c>
      <c r="D14" s="2340"/>
      <c r="E14" s="2340"/>
      <c r="F14" s="2340"/>
    </row>
    <row r="15" spans="1:6" ht="20.25" customHeight="1">
      <c r="A15" s="2340" t="s">
        <v>2569</v>
      </c>
      <c r="B15" s="2340">
        <v>1120070085</v>
      </c>
      <c r="C15" s="3003">
        <v>43814</v>
      </c>
      <c r="D15" s="2340" t="s">
        <v>2569</v>
      </c>
      <c r="E15" s="2340">
        <v>2004110128</v>
      </c>
      <c r="F15" s="3004">
        <v>47118</v>
      </c>
    </row>
    <row r="16" spans="1:6" ht="20.25" customHeight="1">
      <c r="A16" s="2340" t="s">
        <v>1917</v>
      </c>
      <c r="B16" s="2340">
        <f ca="1">IF(C16&lt;B2,"已过期",1120140022)</f>
        <v>1120140022</v>
      </c>
      <c r="C16" s="3003">
        <v>44029</v>
      </c>
      <c r="D16" s="2340" t="s">
        <v>1917</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1918</v>
      </c>
      <c r="E21" s="2340">
        <f ca="1">IF(F21&lt;B2,"已过期",2011110090)</f>
        <v>2011110090</v>
      </c>
      <c r="F21" s="3004">
        <v>48302</v>
      </c>
    </row>
    <row r="22" spans="1:7" ht="20.25" customHeight="1">
      <c r="A22" s="2340" t="s">
        <v>1919</v>
      </c>
      <c r="B22" s="2340">
        <f ca="1">IF(C22&lt;B2,"已过期",1120020033)</f>
        <v>1120020033</v>
      </c>
      <c r="C22" s="3003">
        <v>44339</v>
      </c>
      <c r="D22" s="2340" t="s">
        <v>1919</v>
      </c>
      <c r="E22" s="2340">
        <f ca="1">IF(F22&lt;B2,"已过期",2000110137)</f>
        <v>2000110137</v>
      </c>
      <c r="F22" s="3004">
        <v>46387</v>
      </c>
    </row>
    <row r="23" spans="1:7" ht="20.25" customHeight="1">
      <c r="A23" s="2340" t="s">
        <v>1920</v>
      </c>
      <c r="B23" s="2340">
        <f ca="1">IF(C23&lt;B2,"已过期",1120130048)</f>
        <v>1120130048</v>
      </c>
      <c r="C23" s="3003">
        <v>43686</v>
      </c>
      <c r="D23" s="2340"/>
      <c r="E23" s="2340"/>
      <c r="F23" s="2340"/>
    </row>
    <row r="24" spans="1:7" s="2344" customFormat="1" ht="20.25" customHeight="1">
      <c r="A24" s="2342" t="s">
        <v>2048</v>
      </c>
      <c r="B24" s="2342" t="s">
        <v>2048</v>
      </c>
      <c r="C24" s="3003"/>
      <c r="D24" s="3005" t="s">
        <v>2048</v>
      </c>
      <c r="E24" s="2342" t="s">
        <v>2048</v>
      </c>
      <c r="F24" s="2343"/>
    </row>
    <row r="25" spans="1:7" ht="20.25" customHeight="1">
      <c r="A25" s="3336" t="s">
        <v>1921</v>
      </c>
      <c r="B25" s="3336"/>
      <c r="C25" s="3336"/>
      <c r="D25" s="3336"/>
      <c r="E25" s="3336"/>
      <c r="F25" s="3336"/>
      <c r="G25" s="3336"/>
    </row>
    <row r="26" spans="1:7" ht="20.25" customHeight="1">
      <c r="A26" s="3337" t="s">
        <v>1922</v>
      </c>
      <c r="B26" s="3337"/>
      <c r="C26" s="3337"/>
      <c r="D26" s="3337" t="s">
        <v>1923</v>
      </c>
      <c r="E26" s="3337"/>
      <c r="F26" s="3337"/>
    </row>
    <row r="27" spans="1:7" s="2348" customFormat="1" ht="20.25" customHeight="1">
      <c r="A27" s="2345" t="s">
        <v>1924</v>
      </c>
      <c r="B27" s="2346" t="s">
        <v>1925</v>
      </c>
      <c r="C27" s="2346" t="s">
        <v>1926</v>
      </c>
      <c r="D27" s="2347" t="s">
        <v>1924</v>
      </c>
      <c r="E27" s="2346" t="s">
        <v>1925</v>
      </c>
      <c r="F27" s="2346" t="s">
        <v>1926</v>
      </c>
    </row>
    <row r="28" spans="1:7" s="2348" customFormat="1" ht="20.25" customHeight="1">
      <c r="A28" s="2349" t="s">
        <v>1927</v>
      </c>
      <c r="B28" s="2349" t="s">
        <v>1928</v>
      </c>
      <c r="C28" s="2350">
        <v>43725</v>
      </c>
      <c r="D28" s="2349" t="s">
        <v>1929</v>
      </c>
      <c r="E28" s="2349" t="s">
        <v>1930</v>
      </c>
      <c r="F28" s="2351">
        <v>44377</v>
      </c>
    </row>
    <row r="29" spans="1:7" s="2348" customFormat="1" ht="20.25" customHeight="1">
      <c r="A29" s="2349"/>
      <c r="B29" s="2349"/>
      <c r="C29" s="2352"/>
      <c r="D29" s="2349" t="s">
        <v>1931</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53" priority="90">
      <formula>AND($C24-TODAY()&lt;30,TODAY()&lt;$C24)</formula>
    </cfRule>
  </conditionalFormatting>
  <conditionalFormatting sqref="C28">
    <cfRule type="expression" dxfId="252" priority="89">
      <formula>AND($C28-TODAY()&lt;30,TODAY()&lt;$C28)</formula>
    </cfRule>
  </conditionalFormatting>
  <conditionalFormatting sqref="C28 F4">
    <cfRule type="cellIs" dxfId="251" priority="91" stopIfTrue="1" operator="lessThan">
      <formula>$B$2</formula>
    </cfRule>
  </conditionalFormatting>
  <conditionalFormatting sqref="F5">
    <cfRule type="cellIs" dxfId="250" priority="87" stopIfTrue="1" operator="lessThan">
      <formula>$B$2</formula>
    </cfRule>
  </conditionalFormatting>
  <conditionalFormatting sqref="F6 F8 F10">
    <cfRule type="cellIs" dxfId="249" priority="85" stopIfTrue="1" operator="lessThan">
      <formula>$B$2</formula>
    </cfRule>
  </conditionalFormatting>
  <conditionalFormatting sqref="C24:D24">
    <cfRule type="expression" dxfId="248" priority="83">
      <formula>AND($C24-TODAY()&lt;30,TODAY()&lt;$C24)</formula>
    </cfRule>
  </conditionalFormatting>
  <conditionalFormatting sqref="F7 F9 F11 C24:D24">
    <cfRule type="cellIs" dxfId="247" priority="84" stopIfTrue="1" operator="lessThan">
      <formula>$B$2</formula>
    </cfRule>
  </conditionalFormatting>
  <conditionalFormatting sqref="F16">
    <cfRule type="cellIs" dxfId="246" priority="57" stopIfTrue="1" operator="lessThan">
      <formula>$B$2</formula>
    </cfRule>
  </conditionalFormatting>
  <conditionalFormatting sqref="F18">
    <cfRule type="cellIs" dxfId="245" priority="56" stopIfTrue="1" operator="lessThan">
      <formula>$B$2</formula>
    </cfRule>
  </conditionalFormatting>
  <conditionalFormatting sqref="F22">
    <cfRule type="cellIs" dxfId="244" priority="55" stopIfTrue="1" operator="lessThan">
      <formula>$B$2</formula>
    </cfRule>
  </conditionalFormatting>
  <conditionalFormatting sqref="F21">
    <cfRule type="cellIs" dxfId="243" priority="54" stopIfTrue="1" operator="lessThan">
      <formula>$B$2</formula>
    </cfRule>
  </conditionalFormatting>
  <conditionalFormatting sqref="F17">
    <cfRule type="cellIs" dxfId="242" priority="53" stopIfTrue="1" operator="lessThan">
      <formula>$B$2</formula>
    </cfRule>
  </conditionalFormatting>
  <conditionalFormatting sqref="B4:B11 E4:E11 E16:E23 B16:B23 B13:B14 E13:E14">
    <cfRule type="cellIs" dxfId="241" priority="52" stopIfTrue="1" operator="equal">
      <formula>"已过期"</formula>
    </cfRule>
  </conditionalFormatting>
  <conditionalFormatting sqref="F28">
    <cfRule type="cellIs" dxfId="240" priority="49" stopIfTrue="1" operator="lessThan">
      <formula>$B$2</formula>
    </cfRule>
  </conditionalFormatting>
  <conditionalFormatting sqref="F29">
    <cfRule type="cellIs" dxfId="239" priority="47" stopIfTrue="1" operator="lessThan">
      <formula>$B$2</formula>
    </cfRule>
  </conditionalFormatting>
  <conditionalFormatting sqref="F28">
    <cfRule type="expression" dxfId="238" priority="93">
      <formula>AND($E28-TODAY()&lt;30,TODAY()&lt;$E28)</formula>
    </cfRule>
  </conditionalFormatting>
  <conditionalFormatting sqref="F29">
    <cfRule type="expression" dxfId="237" priority="94" stopIfTrue="1">
      <formula>AND($E29-TODAY()&lt;30,TODAY()&lt;$E29)</formula>
    </cfRule>
  </conditionalFormatting>
  <conditionalFormatting sqref="C5">
    <cfRule type="expression" dxfId="236" priority="44">
      <formula>AND($C5-TODAY()&lt;30,TODAY()&lt;$C5)</formula>
    </cfRule>
  </conditionalFormatting>
  <conditionalFormatting sqref="C5">
    <cfRule type="cellIs" dxfId="235" priority="45" stopIfTrue="1" operator="lessThan">
      <formula>$B$2</formula>
    </cfRule>
  </conditionalFormatting>
  <conditionalFormatting sqref="C4:C6">
    <cfRule type="expression" dxfId="234" priority="42">
      <formula>AND($C4-TODAY()&lt;30,TODAY()&lt;$C4)</formula>
    </cfRule>
  </conditionalFormatting>
  <conditionalFormatting sqref="C4:C6">
    <cfRule type="cellIs" dxfId="233" priority="43" stopIfTrue="1" operator="lessThan">
      <formula>$B$2</formula>
    </cfRule>
  </conditionalFormatting>
  <conditionalFormatting sqref="C8:C9">
    <cfRule type="expression" dxfId="232" priority="40">
      <formula>AND($C8-TODAY()&lt;30,TODAY()&lt;$C8)</formula>
    </cfRule>
  </conditionalFormatting>
  <conditionalFormatting sqref="C8:C9">
    <cfRule type="cellIs" dxfId="231" priority="41" stopIfTrue="1" operator="lessThan">
      <formula>$B$2</formula>
    </cfRule>
  </conditionalFormatting>
  <conditionalFormatting sqref="B15 E15">
    <cfRule type="cellIs" dxfId="230" priority="28" stopIfTrue="1" operator="equal">
      <formula>"已过期"</formula>
    </cfRule>
  </conditionalFormatting>
  <conditionalFormatting sqref="F15">
    <cfRule type="cellIs" dxfId="229" priority="25" stopIfTrue="1" operator="lessThan">
      <formula>$B$2</formula>
    </cfRule>
  </conditionalFormatting>
  <conditionalFormatting sqref="C7">
    <cfRule type="expression" dxfId="228" priority="23">
      <formula>AND($C7-TODAY()&lt;30,TODAY()&lt;$C7)</formula>
    </cfRule>
  </conditionalFormatting>
  <conditionalFormatting sqref="C7">
    <cfRule type="cellIs" dxfId="227" priority="24" stopIfTrue="1" operator="lessThan">
      <formula>$B$2</formula>
    </cfRule>
  </conditionalFormatting>
  <conditionalFormatting sqref="C10:C11 C13:C21 C23">
    <cfRule type="expression" dxfId="226" priority="21">
      <formula>AND($C10-TODAY()&lt;30,TODAY()&lt;$C10)</formula>
    </cfRule>
  </conditionalFormatting>
  <conditionalFormatting sqref="C10:C11 C13:C21 C23">
    <cfRule type="cellIs" dxfId="225" priority="22" stopIfTrue="1" operator="lessThan">
      <formula>$B$2</formula>
    </cfRule>
  </conditionalFormatting>
  <conditionalFormatting sqref="F13">
    <cfRule type="cellIs" dxfId="224" priority="20" stopIfTrue="1" operator="lessThan">
      <formula>$B$2</formula>
    </cfRule>
  </conditionalFormatting>
  <conditionalFormatting sqref="F12">
    <cfRule type="cellIs" dxfId="223" priority="12" stopIfTrue="1" operator="lessThan">
      <formula>$B$2</formula>
    </cfRule>
  </conditionalFormatting>
  <conditionalFormatting sqref="B12 E12">
    <cfRule type="cellIs" dxfId="222" priority="11" stopIfTrue="1" operator="equal">
      <formula>"已过期"</formula>
    </cfRule>
  </conditionalFormatting>
  <conditionalFormatting sqref="C12">
    <cfRule type="expression" dxfId="221" priority="9">
      <formula>AND($C12-TODAY()&lt;30,TODAY()&lt;$C12)</formula>
    </cfRule>
  </conditionalFormatting>
  <conditionalFormatting sqref="C12">
    <cfRule type="cellIs" dxfId="220" priority="10" stopIfTrue="1" operator="lessThan">
      <formula>$B$2</formula>
    </cfRule>
  </conditionalFormatting>
  <conditionalFormatting sqref="C22">
    <cfRule type="expression" dxfId="219" priority="1">
      <formula>AND($C22-TODAY()&lt;30,TODAY()&lt;$C22)</formula>
    </cfRule>
  </conditionalFormatting>
  <conditionalFormatting sqref="C22">
    <cfRule type="cellIs" dxfId="21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850</v>
      </c>
      <c r="B1" s="5" t="s">
        <v>132</v>
      </c>
      <c r="C1" s="1546" t="s">
        <v>1701</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2540</v>
      </c>
      <c r="R1" s="2579" t="s">
        <v>2534</v>
      </c>
      <c r="S1" s="6" t="s">
        <v>146</v>
      </c>
      <c r="T1" s="7" t="s">
        <v>147</v>
      </c>
      <c r="U1" s="6" t="s">
        <v>148</v>
      </c>
      <c r="V1" s="6" t="s">
        <v>149</v>
      </c>
      <c r="W1" s="1000" t="s">
        <v>868</v>
      </c>
    </row>
    <row r="2" spans="1:23">
      <c r="A2" s="8" t="s">
        <v>73</v>
      </c>
      <c r="B2" s="8" t="s">
        <v>150</v>
      </c>
      <c r="C2" s="1547" t="s">
        <v>1702</v>
      </c>
      <c r="D2" s="9" t="s">
        <v>74</v>
      </c>
      <c r="E2" s="9" t="s">
        <v>127</v>
      </c>
      <c r="F2" s="9" t="s">
        <v>128</v>
      </c>
      <c r="G2" s="9">
        <v>40</v>
      </c>
      <c r="H2" s="9" t="s">
        <v>129</v>
      </c>
      <c r="I2" s="9" t="s">
        <v>130</v>
      </c>
      <c r="J2" s="9" t="s">
        <v>131</v>
      </c>
      <c r="K2" s="9" t="s">
        <v>75</v>
      </c>
      <c r="L2" s="9" t="s">
        <v>75</v>
      </c>
      <c r="M2" s="9" t="s">
        <v>75</v>
      </c>
      <c r="N2" s="9" t="s">
        <v>75</v>
      </c>
      <c r="O2" s="9" t="s">
        <v>75</v>
      </c>
      <c r="P2" s="1002" t="s">
        <v>874</v>
      </c>
      <c r="Q2" s="9" t="s">
        <v>75</v>
      </c>
      <c r="R2" s="1002" t="s">
        <v>2535</v>
      </c>
      <c r="S2" s="9" t="s">
        <v>75</v>
      </c>
      <c r="T2" s="9" t="s">
        <v>76</v>
      </c>
      <c r="U2" s="9" t="s">
        <v>75</v>
      </c>
      <c r="V2" s="9" t="s">
        <v>77</v>
      </c>
      <c r="W2" s="9" t="s">
        <v>869</v>
      </c>
    </row>
    <row r="3" spans="1:23">
      <c r="A3" s="8" t="s">
        <v>78</v>
      </c>
      <c r="B3" s="10" t="s">
        <v>151</v>
      </c>
      <c r="C3" s="1548" t="s">
        <v>1703</v>
      </c>
      <c r="D3" s="9" t="s">
        <v>79</v>
      </c>
      <c r="E3" s="9" t="s">
        <v>6</v>
      </c>
      <c r="F3" s="9" t="s">
        <v>80</v>
      </c>
      <c r="G3" s="9">
        <v>50</v>
      </c>
      <c r="H3" s="9" t="s">
        <v>81</v>
      </c>
      <c r="I3" s="9" t="s">
        <v>82</v>
      </c>
      <c r="J3" s="9" t="s">
        <v>83</v>
      </c>
      <c r="K3" s="9" t="s">
        <v>84</v>
      </c>
      <c r="L3" s="9" t="s">
        <v>84</v>
      </c>
      <c r="M3" s="9" t="s">
        <v>84</v>
      </c>
      <c r="N3" s="9" t="s">
        <v>84</v>
      </c>
      <c r="O3" s="9" t="s">
        <v>84</v>
      </c>
      <c r="P3" s="1002" t="s">
        <v>594</v>
      </c>
      <c r="Q3" s="9" t="s">
        <v>84</v>
      </c>
      <c r="R3" s="1002" t="s">
        <v>2536</v>
      </c>
      <c r="S3" s="9" t="s">
        <v>84</v>
      </c>
      <c r="T3" s="9" t="s">
        <v>85</v>
      </c>
      <c r="U3" s="9" t="s">
        <v>84</v>
      </c>
      <c r="V3" s="9" t="s">
        <v>86</v>
      </c>
      <c r="W3" s="9" t="s">
        <v>870</v>
      </c>
    </row>
    <row r="4" spans="1:23">
      <c r="A4" s="8" t="s">
        <v>87</v>
      </c>
      <c r="B4" s="8" t="s">
        <v>152</v>
      </c>
      <c r="C4" s="1547" t="s">
        <v>1704</v>
      </c>
      <c r="D4" s="9" t="s">
        <v>1989</v>
      </c>
      <c r="E4" s="9" t="s">
        <v>88</v>
      </c>
      <c r="F4" s="9" t="s">
        <v>89</v>
      </c>
      <c r="G4" s="9">
        <v>70</v>
      </c>
      <c r="H4" s="9" t="s">
        <v>90</v>
      </c>
      <c r="I4" s="9" t="s">
        <v>91</v>
      </c>
      <c r="K4" s="9" t="s">
        <v>92</v>
      </c>
      <c r="L4" s="9" t="s">
        <v>92</v>
      </c>
      <c r="M4" s="9" t="s">
        <v>92</v>
      </c>
      <c r="N4" s="9" t="s">
        <v>92</v>
      </c>
      <c r="O4" s="9" t="s">
        <v>92</v>
      </c>
      <c r="P4" s="1002" t="s">
        <v>754</v>
      </c>
      <c r="Q4" s="9" t="s">
        <v>92</v>
      </c>
      <c r="R4" s="1002" t="s">
        <v>2537</v>
      </c>
      <c r="S4" s="9" t="s">
        <v>92</v>
      </c>
      <c r="T4" s="9" t="s">
        <v>93</v>
      </c>
      <c r="U4" s="9" t="s">
        <v>92</v>
      </c>
      <c r="W4" s="9" t="s">
        <v>871</v>
      </c>
    </row>
    <row r="5" spans="1:23">
      <c r="A5" s="8" t="s">
        <v>94</v>
      </c>
      <c r="B5" s="8" t="s">
        <v>153</v>
      </c>
      <c r="C5" s="1547" t="s">
        <v>1705</v>
      </c>
      <c r="F5" s="9" t="s">
        <v>95</v>
      </c>
      <c r="H5" s="9" t="s">
        <v>70</v>
      </c>
      <c r="I5" s="9" t="s">
        <v>96</v>
      </c>
      <c r="K5" s="9" t="s">
        <v>97</v>
      </c>
      <c r="L5" s="9" t="s">
        <v>97</v>
      </c>
      <c r="M5" s="9" t="s">
        <v>97</v>
      </c>
      <c r="N5" s="9" t="s">
        <v>97</v>
      </c>
      <c r="O5" s="9" t="s">
        <v>97</v>
      </c>
      <c r="P5" s="1002" t="s">
        <v>540</v>
      </c>
      <c r="Q5" s="9" t="s">
        <v>97</v>
      </c>
      <c r="R5" s="1002" t="s">
        <v>2538</v>
      </c>
      <c r="S5" s="9" t="s">
        <v>97</v>
      </c>
      <c r="T5" s="9" t="s">
        <v>98</v>
      </c>
      <c r="U5" s="9" t="s">
        <v>97</v>
      </c>
      <c r="W5" s="9" t="s">
        <v>872</v>
      </c>
    </row>
    <row r="6" spans="1:23">
      <c r="A6" s="8" t="s">
        <v>99</v>
      </c>
      <c r="B6" s="1145" t="s">
        <v>1635</v>
      </c>
      <c r="C6" s="1549" t="s">
        <v>1706</v>
      </c>
      <c r="F6" s="9" t="s">
        <v>71</v>
      </c>
      <c r="H6" s="9" t="s">
        <v>72</v>
      </c>
      <c r="I6" s="9" t="s">
        <v>100</v>
      </c>
      <c r="K6" s="9" t="s">
        <v>101</v>
      </c>
      <c r="L6" s="9" t="s">
        <v>101</v>
      </c>
      <c r="M6" s="9" t="s">
        <v>101</v>
      </c>
      <c r="N6" s="9" t="s">
        <v>101</v>
      </c>
      <c r="O6" s="9" t="s">
        <v>101</v>
      </c>
      <c r="P6" s="1002" t="s">
        <v>875</v>
      </c>
      <c r="Q6" s="9" t="s">
        <v>101</v>
      </c>
      <c r="R6" s="1002" t="s">
        <v>2539</v>
      </c>
      <c r="S6" s="9" t="s">
        <v>101</v>
      </c>
      <c r="T6" s="9"/>
      <c r="U6" s="9" t="s">
        <v>101</v>
      </c>
      <c r="W6" s="9" t="s">
        <v>873</v>
      </c>
    </row>
    <row r="7" spans="1:23">
      <c r="A7" s="8" t="s">
        <v>102</v>
      </c>
      <c r="B7" s="8" t="s">
        <v>103</v>
      </c>
      <c r="C7" s="1547" t="s">
        <v>1707</v>
      </c>
      <c r="F7" s="9" t="s">
        <v>154</v>
      </c>
      <c r="H7" s="9" t="s">
        <v>104</v>
      </c>
      <c r="I7" s="9" t="s">
        <v>105</v>
      </c>
    </row>
    <row r="8" spans="1:23">
      <c r="A8" s="8" t="s">
        <v>106</v>
      </c>
      <c r="B8" s="8" t="s">
        <v>107</v>
      </c>
      <c r="C8" s="1547" t="s">
        <v>1708</v>
      </c>
      <c r="F8" s="9" t="s">
        <v>155</v>
      </c>
      <c r="H8" s="9"/>
      <c r="I8" s="9" t="s">
        <v>108</v>
      </c>
    </row>
    <row r="9" spans="1:23">
      <c r="A9" s="8" t="s">
        <v>109</v>
      </c>
      <c r="B9" s="3237" t="s">
        <v>3070</v>
      </c>
      <c r="C9" s="1547" t="s">
        <v>1709</v>
      </c>
      <c r="F9" s="9" t="s">
        <v>110</v>
      </c>
      <c r="H9" s="9"/>
    </row>
    <row r="10" spans="1:23">
      <c r="A10" s="8" t="s">
        <v>111</v>
      </c>
      <c r="B10" s="3237" t="s">
        <v>3071</v>
      </c>
      <c r="C10" s="1547" t="s">
        <v>1710</v>
      </c>
      <c r="F10" s="9" t="s">
        <v>6</v>
      </c>
    </row>
    <row r="11" spans="1:23">
      <c r="A11" s="8" t="s">
        <v>112</v>
      </c>
      <c r="B11" s="3237" t="s">
        <v>3072</v>
      </c>
      <c r="C11" s="1547" t="s">
        <v>1711</v>
      </c>
    </row>
    <row r="12" spans="1:23">
      <c r="A12" s="8" t="s">
        <v>113</v>
      </c>
      <c r="B12" s="3237" t="s">
        <v>3073</v>
      </c>
      <c r="C12" s="1547" t="s">
        <v>1712</v>
      </c>
    </row>
    <row r="13" spans="1:23">
      <c r="A13" s="8" t="s">
        <v>114</v>
      </c>
      <c r="B13" s="3237" t="s">
        <v>3074</v>
      </c>
      <c r="C13" s="1547" t="s">
        <v>1713</v>
      </c>
    </row>
    <row r="14" spans="1:23">
      <c r="A14" s="8" t="s">
        <v>115</v>
      </c>
      <c r="B14" s="3252"/>
      <c r="C14" s="1550" t="s">
        <v>1889</v>
      </c>
    </row>
    <row r="15" spans="1:23">
      <c r="A15" s="8" t="s">
        <v>116</v>
      </c>
      <c r="B15" s="3306" t="s">
        <v>3239</v>
      </c>
      <c r="C15" s="1550"/>
    </row>
    <row r="16" spans="1:23">
      <c r="A16" s="8" t="s">
        <v>117</v>
      </c>
      <c r="B16" s="3306" t="s">
        <v>3238</v>
      </c>
      <c r="C16" s="1550"/>
    </row>
    <row r="17" spans="1:3">
      <c r="A17" s="8" t="s">
        <v>118</v>
      </c>
      <c r="B17" s="8" t="s">
        <v>1676</v>
      </c>
      <c r="C17" s="1550"/>
    </row>
    <row r="18" spans="1:3">
      <c r="A18" s="8" t="s">
        <v>119</v>
      </c>
      <c r="B18" s="3254" t="s">
        <v>2952</v>
      </c>
      <c r="C18" s="1550"/>
    </row>
    <row r="19" spans="1:3">
      <c r="A19" s="3253" t="s">
        <v>120</v>
      </c>
      <c r="B19" s="3255" t="s">
        <v>2960</v>
      </c>
      <c r="C19" s="1550"/>
    </row>
    <row r="20" spans="1:3">
      <c r="A20" s="3253" t="s">
        <v>121</v>
      </c>
      <c r="B20" s="3256" t="s">
        <v>2980</v>
      </c>
      <c r="C20" s="1550"/>
    </row>
    <row r="21" spans="1:3">
      <c r="A21" s="3253" t="s">
        <v>122</v>
      </c>
      <c r="B21" s="3256" t="s">
        <v>2981</v>
      </c>
      <c r="C21" s="1550"/>
    </row>
    <row r="22" spans="1:3">
      <c r="A22" s="3253" t="s">
        <v>123</v>
      </c>
      <c r="B22" s="3256" t="s">
        <v>2982</v>
      </c>
      <c r="C22" s="1550"/>
    </row>
    <row r="23" spans="1:3">
      <c r="A23" s="3253" t="s">
        <v>124</v>
      </c>
      <c r="B23" s="3255" t="s">
        <v>3077</v>
      </c>
      <c r="C23" s="1550"/>
    </row>
    <row r="24" spans="1:3">
      <c r="A24" s="3253" t="s">
        <v>12</v>
      </c>
      <c r="B24" s="3256" t="s">
        <v>3078</v>
      </c>
      <c r="C24" s="1550"/>
    </row>
    <row r="25" spans="1:3">
      <c r="A25" s="3253" t="s">
        <v>125</v>
      </c>
      <c r="B25" s="8" t="s">
        <v>2983</v>
      </c>
      <c r="C25" s="1550"/>
    </row>
    <row r="26" spans="1:3">
      <c r="A26" s="3253" t="s">
        <v>126</v>
      </c>
      <c r="B26" s="8" t="s">
        <v>2984</v>
      </c>
      <c r="C26" s="1550"/>
    </row>
    <row r="27" spans="1:3">
      <c r="A27" s="3253" t="s">
        <v>1636</v>
      </c>
      <c r="B27" s="8" t="s">
        <v>2985</v>
      </c>
      <c r="C27" s="1550"/>
    </row>
    <row r="28" spans="1:3">
      <c r="A28" s="3253" t="s">
        <v>1636</v>
      </c>
      <c r="B28" s="8" t="s">
        <v>3079</v>
      </c>
      <c r="C28" s="1550"/>
    </row>
    <row r="29" spans="1:3">
      <c r="A29" s="3253" t="s">
        <v>1636</v>
      </c>
      <c r="B29" s="8" t="s">
        <v>3080</v>
      </c>
      <c r="C29" s="1550"/>
    </row>
    <row r="30" spans="1:3">
      <c r="A30" s="8" t="s">
        <v>1636</v>
      </c>
      <c r="B30" s="8" t="s">
        <v>2987</v>
      </c>
      <c r="C30" s="1550"/>
    </row>
    <row r="31" spans="1:3">
      <c r="A31" s="8" t="s">
        <v>1636</v>
      </c>
      <c r="B31" s="8" t="s">
        <v>2988</v>
      </c>
      <c r="C31" s="1550"/>
    </row>
    <row r="32" spans="1:3">
      <c r="A32" s="8" t="s">
        <v>1636</v>
      </c>
      <c r="B32" s="8" t="s">
        <v>2989</v>
      </c>
      <c r="C32" s="1550"/>
    </row>
    <row r="33" spans="1:3">
      <c r="A33" s="8" t="s">
        <v>1636</v>
      </c>
      <c r="B33" s="8" t="s">
        <v>3081</v>
      </c>
      <c r="C33" s="1550"/>
    </row>
    <row r="34" spans="1:3">
      <c r="A34" s="8" t="s">
        <v>1636</v>
      </c>
      <c r="B34" s="8" t="s">
        <v>3082</v>
      </c>
      <c r="C34" s="1550"/>
    </row>
    <row r="35" spans="1:3">
      <c r="A35" s="8" t="s">
        <v>1636</v>
      </c>
      <c r="B35" s="3252"/>
      <c r="C35" s="1550"/>
    </row>
    <row r="36" spans="1:3">
      <c r="A36" s="8" t="s">
        <v>1636</v>
      </c>
      <c r="B36" s="10" t="s">
        <v>3088</v>
      </c>
      <c r="C36" s="1550"/>
    </row>
    <row r="37" spans="1:3">
      <c r="A37" s="8" t="s">
        <v>1636</v>
      </c>
      <c r="B37" s="10" t="s">
        <v>3089</v>
      </c>
      <c r="C37" s="1550"/>
    </row>
    <row r="38" spans="1:3">
      <c r="A38" s="8" t="s">
        <v>1636</v>
      </c>
      <c r="B38" s="8" t="s">
        <v>3090</v>
      </c>
      <c r="C38" s="1550"/>
    </row>
    <row r="39" spans="1:3">
      <c r="A39" s="8" t="s">
        <v>1636</v>
      </c>
      <c r="B39" s="3107" t="s">
        <v>3091</v>
      </c>
      <c r="C39" s="1550"/>
    </row>
    <row r="40" spans="1:3">
      <c r="A40" s="8" t="s">
        <v>1636</v>
      </c>
      <c r="B40" s="8" t="s">
        <v>3092</v>
      </c>
      <c r="C40" s="1550"/>
    </row>
    <row r="41" spans="1:3">
      <c r="A41" s="8" t="s">
        <v>1636</v>
      </c>
      <c r="B41" s="8" t="s">
        <v>1636</v>
      </c>
      <c r="C41" s="1550"/>
    </row>
    <row r="42" spans="1:3">
      <c r="A42" s="8" t="s">
        <v>1636</v>
      </c>
      <c r="B42" s="8" t="s">
        <v>1636</v>
      </c>
      <c r="C42" s="1550"/>
    </row>
    <row r="43" spans="1:3">
      <c r="A43" s="8" t="s">
        <v>1636</v>
      </c>
      <c r="B43" s="8" t="s">
        <v>1636</v>
      </c>
      <c r="C43" s="1550"/>
    </row>
    <row r="44" spans="1:3">
      <c r="A44" s="8" t="s">
        <v>1636</v>
      </c>
      <c r="B44" s="8" t="s">
        <v>1636</v>
      </c>
      <c r="C44" s="1550"/>
    </row>
    <row r="45" spans="1:3">
      <c r="A45" s="8" t="s">
        <v>1636</v>
      </c>
      <c r="B45" s="8" t="s">
        <v>1636</v>
      </c>
      <c r="C45" s="1550"/>
    </row>
    <row r="46" spans="1:3">
      <c r="A46" s="8" t="s">
        <v>1636</v>
      </c>
      <c r="B46" s="8" t="s">
        <v>1636</v>
      </c>
      <c r="C46" s="1550"/>
    </row>
    <row r="47" spans="1:3">
      <c r="A47" s="8" t="s">
        <v>1636</v>
      </c>
      <c r="B47" s="8" t="s">
        <v>1636</v>
      </c>
      <c r="C47" s="1550"/>
    </row>
    <row r="48" spans="1:3">
      <c r="A48" s="8" t="s">
        <v>1636</v>
      </c>
      <c r="B48" s="8" t="s">
        <v>1636</v>
      </c>
      <c r="C48" s="1550"/>
    </row>
    <row r="49" spans="1:5">
      <c r="A49" s="8" t="s">
        <v>1636</v>
      </c>
      <c r="B49" s="8" t="s">
        <v>1636</v>
      </c>
      <c r="C49" s="1550"/>
    </row>
    <row r="50" spans="1:5">
      <c r="A50" s="8" t="s">
        <v>1636</v>
      </c>
      <c r="B50" s="8" t="s">
        <v>1636</v>
      </c>
      <c r="C50" s="1550"/>
    </row>
    <row r="51" spans="1:5">
      <c r="A51" s="1762" t="s">
        <v>1937</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1981</v>
      </c>
      <c r="B52" s="1765" t="s">
        <v>1982</v>
      </c>
      <c r="C52" s="1763" t="s">
        <v>1983</v>
      </c>
      <c r="D52" s="1763" t="s">
        <v>1984</v>
      </c>
      <c r="E52" s="1764"/>
    </row>
    <row r="53" spans="1:5">
      <c r="A53" s="3338" t="s">
        <v>1985</v>
      </c>
      <c r="B53" s="1763" t="s">
        <v>1991</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的出让国有建设用地使用权价格。</v>
      </c>
      <c r="D53" s="1764"/>
      <c r="E53" s="1764"/>
    </row>
    <row r="54" spans="1:5">
      <c r="A54" s="3338"/>
      <c r="B54" s="1763" t="s">
        <v>1992</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38"/>
      <c r="B55" s="1763" t="s">
        <v>1986</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38"/>
      <c r="B56" s="1763" t="s">
        <v>1987</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38"/>
      <c r="B57" s="1763" t="s">
        <v>1988</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2044</v>
      </c>
      <c r="B58" s="1763"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134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 结果表汇总</vt:lpstr>
      <vt:lpstr>结果表-住宅</vt:lpstr>
      <vt:lpstr>基准地价-住宅</vt:lpstr>
      <vt:lpstr>剩余法-住宅</vt:lpstr>
      <vt:lpstr>不动产比较法-住宅</vt:lpstr>
      <vt:lpstr>住宅案例</vt:lpstr>
      <vt:lpstr>结果表-商业</vt:lpstr>
      <vt:lpstr>基准地价-商业</vt:lpstr>
      <vt:lpstr>剩余法-商业</vt:lpstr>
      <vt:lpstr>不动产收益法商业</vt:lpstr>
      <vt:lpstr>租金商业</vt:lpstr>
      <vt:lpstr>商业案例</vt:lpstr>
      <vt:lpstr>结果表-办公</vt:lpstr>
      <vt:lpstr>基准地价-办公</vt:lpstr>
      <vt:lpstr>剩余法-办公</vt:lpstr>
      <vt:lpstr>收益还原法-住宅</vt:lpstr>
      <vt:lpstr>收益还原法-商业</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不动产收益法办公</vt:lpstr>
      <vt:lpstr>租金办公</vt:lpstr>
      <vt:lpstr>办公案例</vt:lpstr>
      <vt:lpstr>地价</vt:lpstr>
      <vt:lpstr>酒店收入计算</vt:lpstr>
      <vt:lpstr>成本逼近法</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2018-12-17T08:56:31Z</dcterms:modified>
</cp:coreProperties>
</file>